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9"/>
  <workbookPr filterPrivacy="1"/>
  <xr:revisionPtr revIDLastSave="39" documentId="11_CE35316D49A466253A6EE7A45ABE5B490F1C7B42" xr6:coauthVersionLast="47" xr6:coauthVersionMax="47" xr10:uidLastSave="{E8250C71-1A3C-4636-B9A2-0D49CFDA8BD4}"/>
  <bookViews>
    <workbookView xWindow="0" yWindow="1200" windowWidth="28800" windowHeight="12440" tabRatio="897" activeTab="10" xr2:uid="{00000000-000D-0000-FFFF-FFFF00000000}"/>
  </bookViews>
  <sheets>
    <sheet name="Outline and Notes" sheetId="39" r:id="rId1"/>
    <sheet name="1. SCGHG Cost comparison" sheetId="49" r:id="rId2"/>
    <sheet name="2. Energy Efficiency" sheetId="32" r:id="rId3"/>
    <sheet name="Incremental Cost Sum - test v2" sheetId="12" state="hidden" r:id="rId4"/>
    <sheet name="DER Resources" sheetId="5" state="hidden" r:id="rId5"/>
    <sheet name="Supporting - Grid Mod" sheetId="2" state="hidden" r:id="rId6"/>
    <sheet name="Supporting - DERs" sheetId="7" state="hidden" r:id="rId7"/>
    <sheet name="Supporting - Education" sheetId="3" state="hidden" r:id="rId8"/>
    <sheet name="Supporting Administration" sheetId="4" state="hidden" r:id="rId9"/>
    <sheet name="3. Demand Response" sheetId="50" r:id="rId10"/>
    <sheet name="4. Enablement and Grid Mod Bud" sheetId="47" r:id="rId11"/>
    <sheet name="5. DER Solar and Storage" sheetId="48" r:id="rId12"/>
    <sheet name="6. Comm and Education Costs" sheetId="28" r:id="rId13"/>
    <sheet name="7. Admin" sheetId="29" r:id="rId14"/>
  </sheets>
  <externalReferences>
    <externalReference r:id="rId15"/>
    <externalReference r:id="rId16"/>
    <externalReference r:id="rId17"/>
    <externalReference r:id="rId18"/>
    <externalReference r:id="rId19"/>
    <externalReference r:id="rId20"/>
  </externalReferences>
  <definedNames>
    <definedName name="_Fill" hidden="1">#REF!</definedName>
    <definedName name="_Int_LBNs7PJH">'5. DER Solar and Storage'!$A$11</definedName>
    <definedName name="_Order1">255</definedName>
    <definedName name="_Order2">255</definedName>
    <definedName name="AAAAAAAAAAAAAA" hidden="1">{#N/A,#N/A,FALSE,"Coversheet";#N/A,#N/A,FALSE,"QA"}</definedName>
    <definedName name="AccessDatabase">"I:\COMTREL\FINICLE\TradeSummary.mdb"</definedName>
    <definedName name="AfterTaxWACC">[1]Assumptions!$E$18</definedName>
    <definedName name="AS2DocOpenMode">"AS2DocumentEdit"</definedName>
    <definedName name="AuroraBaseYear">'[2]Aurora_New Resources'!$C$2</definedName>
    <definedName name="b" hidden="1">{#N/A,#N/A,FALSE,"Coversheet";#N/A,#N/A,FALSE,"QA"}</definedName>
    <definedName name="BaseYear">'[2]Thermal Options'!$H$2</definedName>
    <definedName name="BD">#REF!</definedName>
    <definedName name="CBWorkbookPriority" hidden="1">-1894858854</definedName>
    <definedName name="ConversionFactor">[2]Assumptions!$B$13</definedName>
    <definedName name="DELETE01" hidden="1">{#N/A,#N/A,FALSE,"Coversheet";#N/A,#N/A,FALSE,"QA"}</definedName>
    <definedName name="DELETE02" hidden="1">{#N/A,#N/A,FALSE,"Schedule F";#N/A,#N/A,FALSE,"Schedule G"}</definedName>
    <definedName name="Delete06" hidden="1">{#N/A,#N/A,FALSE,"Coversheet";#N/A,#N/A,FALSE,"QA"}</definedName>
    <definedName name="Delete1" hidden="1">{#N/A,#N/A,FALSE,"Coversheet";#N/A,#N/A,FALSE,"QA"}</definedName>
    <definedName name="DOCKET">#REF!</definedName>
    <definedName name="FedTaxRate">[2]Assumptions!$B$15</definedName>
    <definedName name="FF">#REF!</definedName>
    <definedName name="FIT">#REF!</definedName>
    <definedName name="GTInsRate">[2]Assumptions!$B$17</definedName>
    <definedName name="HTML_CodePage">1252</definedName>
    <definedName name="HTML_Control">{"'3P'!$A$1:$L$58"}</definedName>
    <definedName name="HTML_Description">""</definedName>
    <definedName name="HTML_Email">""</definedName>
    <definedName name="HTML_Header">"Attachment 3P"</definedName>
    <definedName name="HTML_LastUpdate">"09/20/2000"</definedName>
    <definedName name="HTML_LineAfter">FALSE</definedName>
    <definedName name="HTML_LineBefore">FALSE</definedName>
    <definedName name="HTML_Name">"BV"</definedName>
    <definedName name="HTML_OBDlg2">TRUE</definedName>
    <definedName name="HTML_OBDlg4">TRUE</definedName>
    <definedName name="HTML_OS">0</definedName>
    <definedName name="HTML_PathFile">"E:\BV Users_D\a50 - Design Engineering\50.2000, Guidelines\MyHTML.htm"</definedName>
    <definedName name="HTML_Title">"51_2101, a3"</definedName>
    <definedName name="inctaxrate">0.4</definedName>
    <definedName name="InsRate">[2]Assumptions!$B$12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vsASD">"V1999-02-28"</definedName>
    <definedName name="NvsAutoDrillOk">"VN"</definedName>
    <definedName name="NvsElapsedTime">0.00604305555316387</definedName>
    <definedName name="NvsEndTime">36245.5384840278</definedName>
    <definedName name="NvsInstSpec">"%,FPPL_SUPP_RES_CTR,TPPL_RPTD_SRC,NFOSSIL"</definedName>
    <definedName name="NvsLayoutType">"M3"</definedName>
    <definedName name="NvsNplSpec">"%,X,RNF..,CZF.."</definedName>
    <definedName name="NvsPanelEffdt">"V1900-01-01"</definedName>
    <definedName name="NvsPanelSetid">"VSHARE"</definedName>
    <definedName name="NvsReqBU">"V10000"</definedName>
    <definedName name="NvsReqBUOnly">"VN"</definedName>
    <definedName name="NvsTransLed">"VN"</definedName>
    <definedName name="NvsTreeASD">"V1999-02-28"</definedName>
    <definedName name="NvsValTbl.ACCOUNT">"GL_ACCOUNT_TBL"</definedName>
    <definedName name="NvsValTbl.BUSINESS_UNIT">"BUS_UNIT_TBL_GL"</definedName>
    <definedName name="NvsValTbl.PPL_ACTIVITY">"PPL_ACT_ALL_VW"</definedName>
    <definedName name="NvsValTbl.PPL_CONS_RES_CTR">"PPL_CRC_ALL_VW"</definedName>
    <definedName name="NvsValTbl.PRODUCT">"PROD_ALL_VW"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PropTaxRate">[2]Assumptions!$B$10</definedName>
    <definedName name="PropTaxRatio">[2]Assumptions!$B$11</definedName>
    <definedName name="PSPL">#REF!</definedName>
    <definedName name="RENAME" hidden="1">#REF!</definedName>
    <definedName name="RENAME2" hidden="1">#REF!</definedName>
    <definedName name="RevBaseYear">'[3]March Point2'!$M$9</definedName>
    <definedName name="RevBaseYear2">'[3]March Point2'!$M$10</definedName>
    <definedName name="RevBaseYear3">'[3]March Point2'!$M$11</definedName>
    <definedName name="solver_eval" hidden="1">0</definedName>
    <definedName name="solver_ntri" hidden="1">1000</definedName>
    <definedName name="solver_rsmp" hidden="1">1</definedName>
    <definedName name="solver_seed" hidden="1">0</definedName>
    <definedName name="StartDate">[1]Assumptions!$B$7</definedName>
    <definedName name="TEst" hidden="1">{#N/A,#N/A,FALSE,"Coversheet";#N/A,#N/A,FALSE,"QA"}</definedName>
    <definedName name="TESTYEAR">#REF!</definedName>
    <definedName name="TotalREC20">[4]LPProblem!$AA$32</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UTG">#REF!</definedName>
    <definedName name="UTN">#REF!</definedName>
    <definedName name="VOMesc">'[2]Aurora_New Resources'!$C$4</definedName>
    <definedName name="w" hidden="1">#REF!</definedName>
    <definedName name="wnp3ex_wkly_vect_input">[5]WNP3_BPA_Exchange!$D$75:$AR$243</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28" l="1"/>
  <c r="B42" i="28"/>
  <c r="B12" i="48"/>
  <c r="C12" i="48"/>
  <c r="D16" i="48"/>
  <c r="C16" i="48"/>
  <c r="D15" i="48"/>
  <c r="F96" i="47"/>
  <c r="F78" i="47"/>
  <c r="F77" i="47"/>
  <c r="D96" i="47"/>
  <c r="D91" i="47"/>
  <c r="D90" i="47"/>
  <c r="D89" i="47"/>
  <c r="D88" i="47"/>
  <c r="D87" i="47"/>
  <c r="D86" i="47"/>
  <c r="D85" i="47"/>
  <c r="D97" i="47" s="1"/>
  <c r="D84" i="47"/>
  <c r="D95" i="47" s="1"/>
  <c r="D83" i="47"/>
  <c r="D80" i="47"/>
  <c r="D76" i="47"/>
  <c r="D75" i="47"/>
  <c r="D74" i="47"/>
  <c r="D73" i="47"/>
  <c r="D72" i="47"/>
  <c r="D71" i="47"/>
  <c r="D70" i="47"/>
  <c r="D69" i="47"/>
  <c r="D68" i="47"/>
  <c r="D67" i="47"/>
  <c r="D66" i="47"/>
  <c r="D65" i="47"/>
  <c r="D64" i="47"/>
  <c r="D63" i="47"/>
  <c r="D62" i="47"/>
  <c r="D61" i="47"/>
  <c r="D60" i="47"/>
  <c r="D59" i="47"/>
  <c r="D58" i="47"/>
  <c r="D57" i="47"/>
  <c r="D56" i="47"/>
  <c r="D55" i="47"/>
  <c r="D54" i="47"/>
  <c r="D53" i="47"/>
  <c r="D52" i="47"/>
  <c r="D51" i="47"/>
  <c r="D50" i="47"/>
  <c r="D49" i="47"/>
  <c r="D48" i="47"/>
  <c r="D47" i="47"/>
  <c r="D46" i="47"/>
  <c r="D45" i="47"/>
  <c r="D44" i="47"/>
  <c r="D43" i="47"/>
  <c r="D42" i="47"/>
  <c r="D41" i="47"/>
  <c r="D40" i="47"/>
  <c r="D39" i="47"/>
  <c r="D38" i="47"/>
  <c r="D37" i="47"/>
  <c r="D36" i="47"/>
  <c r="D35" i="47"/>
  <c r="D34" i="47"/>
  <c r="D33" i="47"/>
  <c r="D32" i="47"/>
  <c r="D31" i="47"/>
  <c r="D30" i="47"/>
  <c r="D29" i="47"/>
  <c r="D28" i="47"/>
  <c r="D27" i="47"/>
  <c r="D26" i="47"/>
  <c r="D25" i="47"/>
  <c r="D24" i="47"/>
  <c r="D23" i="47"/>
  <c r="D22" i="47"/>
  <c r="D21" i="47"/>
  <c r="D78" i="47" s="1"/>
  <c r="D20" i="47"/>
  <c r="D19" i="47"/>
  <c r="D17" i="47"/>
  <c r="D16" i="47"/>
  <c r="D14" i="47"/>
  <c r="D11" i="47"/>
  <c r="D10" i="47"/>
  <c r="D8" i="47"/>
  <c r="D7" i="47"/>
  <c r="D79" i="47" s="1"/>
  <c r="D5" i="47"/>
  <c r="F97" i="47"/>
  <c r="H89" i="47"/>
  <c r="H90" i="47"/>
  <c r="H91" i="47"/>
  <c r="H88" i="47"/>
  <c r="H87" i="47"/>
  <c r="H86" i="47"/>
  <c r="H85" i="47"/>
  <c r="H84" i="47"/>
  <c r="H83" i="47"/>
  <c r="H14" i="47"/>
  <c r="D12" i="48"/>
  <c r="D6" i="48"/>
  <c r="D5" i="48"/>
  <c r="C12" i="29"/>
  <c r="B12" i="29"/>
  <c r="D77" i="47" l="1"/>
  <c r="D99" i="47" s="1"/>
  <c r="D15" i="49"/>
  <c r="D14" i="49"/>
  <c r="D7" i="49"/>
  <c r="D8" i="49"/>
  <c r="D7" i="48" l="1"/>
  <c r="D8" i="48"/>
  <c r="D9" i="48"/>
  <c r="D10" i="48"/>
  <c r="D11" i="48"/>
  <c r="G80" i="47"/>
  <c r="F80" i="47"/>
  <c r="H80" i="47" s="1"/>
  <c r="C10" i="28"/>
  <c r="B10" i="28"/>
  <c r="G89" i="47"/>
  <c r="F89" i="47"/>
  <c r="T5" i="32"/>
  <c r="B33" i="28"/>
  <c r="C31" i="28"/>
  <c r="C30" i="28"/>
  <c r="C29" i="28"/>
  <c r="B29" i="28"/>
  <c r="B30" i="28"/>
  <c r="B31" i="28"/>
  <c r="B41" i="28"/>
  <c r="C34" i="28"/>
  <c r="C42" i="28"/>
  <c r="B40" i="28"/>
  <c r="H97" i="47"/>
  <c r="G97" i="47"/>
  <c r="C97" i="47"/>
  <c r="B97" i="47"/>
  <c r="H96" i="47"/>
  <c r="H95" i="47" s="1"/>
  <c r="G96" i="47"/>
  <c r="C96" i="47"/>
  <c r="B96" i="47"/>
  <c r="B95" i="47" s="1"/>
  <c r="G86" i="47"/>
  <c r="F86" i="47"/>
  <c r="G83" i="47"/>
  <c r="F83" i="47"/>
  <c r="G79" i="47"/>
  <c r="F79" i="47"/>
  <c r="C79" i="47"/>
  <c r="B79" i="47"/>
  <c r="G78" i="47"/>
  <c r="G77" i="47" s="1"/>
  <c r="C78" i="47"/>
  <c r="C77" i="47" s="1"/>
  <c r="B78" i="47"/>
  <c r="H76" i="47"/>
  <c r="H75" i="47"/>
  <c r="G74" i="47"/>
  <c r="F74" i="47"/>
  <c r="H74" i="47" s="1"/>
  <c r="H73" i="47"/>
  <c r="H72" i="47"/>
  <c r="G71" i="47"/>
  <c r="F71" i="47"/>
  <c r="H70" i="47"/>
  <c r="H69" i="47"/>
  <c r="G68" i="47"/>
  <c r="F68" i="47"/>
  <c r="H67" i="47"/>
  <c r="H66" i="47"/>
  <c r="G65" i="47"/>
  <c r="F65" i="47"/>
  <c r="H64" i="47"/>
  <c r="H63" i="47"/>
  <c r="G62" i="47"/>
  <c r="F62" i="47"/>
  <c r="H62" i="47" s="1"/>
  <c r="H61" i="47"/>
  <c r="H60" i="47"/>
  <c r="G59" i="47"/>
  <c r="F59" i="47"/>
  <c r="H58" i="47"/>
  <c r="H57" i="47"/>
  <c r="G56" i="47"/>
  <c r="F56" i="47"/>
  <c r="H56" i="47" s="1"/>
  <c r="H55" i="47"/>
  <c r="H54" i="47"/>
  <c r="G53" i="47"/>
  <c r="F53" i="47"/>
  <c r="H52" i="47"/>
  <c r="H51" i="47"/>
  <c r="G50" i="47"/>
  <c r="F50" i="47"/>
  <c r="H50" i="47" s="1"/>
  <c r="H49" i="47"/>
  <c r="H48" i="47"/>
  <c r="G47" i="47"/>
  <c r="F47" i="47"/>
  <c r="H46" i="47"/>
  <c r="H45" i="47"/>
  <c r="G44" i="47"/>
  <c r="F44" i="47"/>
  <c r="H43" i="47"/>
  <c r="H42" i="47"/>
  <c r="G41" i="47"/>
  <c r="F41" i="47"/>
  <c r="H40" i="47"/>
  <c r="H39" i="47"/>
  <c r="G38" i="47"/>
  <c r="F38" i="47"/>
  <c r="H38" i="47" s="1"/>
  <c r="H37" i="47"/>
  <c r="H36" i="47"/>
  <c r="G35" i="47"/>
  <c r="F35" i="47"/>
  <c r="H34" i="47"/>
  <c r="H33" i="47"/>
  <c r="G32" i="47"/>
  <c r="F32" i="47"/>
  <c r="H32" i="47" s="1"/>
  <c r="H31" i="47"/>
  <c r="H30" i="47"/>
  <c r="G29" i="47"/>
  <c r="F29" i="47"/>
  <c r="H28" i="47"/>
  <c r="H27" i="47"/>
  <c r="G26" i="47"/>
  <c r="F26" i="47"/>
  <c r="H26" i="47" s="1"/>
  <c r="H25" i="47"/>
  <c r="H24" i="47"/>
  <c r="G23" i="47"/>
  <c r="F23" i="47"/>
  <c r="H22" i="47"/>
  <c r="H21" i="47"/>
  <c r="H20" i="47"/>
  <c r="H19" i="47"/>
  <c r="G17" i="47"/>
  <c r="F17" i="47"/>
  <c r="H17" i="47" s="1"/>
  <c r="H16" i="47"/>
  <c r="G14" i="47"/>
  <c r="F14" i="47"/>
  <c r="G11" i="47"/>
  <c r="F11" i="47"/>
  <c r="H11" i="47" s="1"/>
  <c r="H10" i="47"/>
  <c r="G8" i="47"/>
  <c r="F8" i="47"/>
  <c r="H8" i="47" s="1"/>
  <c r="H7" i="47"/>
  <c r="G5" i="47"/>
  <c r="F5" i="47"/>
  <c r="F95" i="47" l="1"/>
  <c r="F99" i="47" s="1"/>
  <c r="G95" i="47"/>
  <c r="G99" i="47" s="1"/>
  <c r="B77" i="47"/>
  <c r="H23" i="47"/>
  <c r="H29" i="47"/>
  <c r="H35" i="47"/>
  <c r="H41" i="47"/>
  <c r="H53" i="47"/>
  <c r="H59" i="47"/>
  <c r="H65" i="47"/>
  <c r="H79" i="47"/>
  <c r="H5" i="47"/>
  <c r="H78" i="47"/>
  <c r="H77" i="47" s="1"/>
  <c r="H99" i="47" s="1"/>
  <c r="B34" i="28"/>
  <c r="H44" i="47"/>
  <c r="H47" i="47"/>
  <c r="H68" i="47"/>
  <c r="H71" i="47"/>
  <c r="C95" i="47"/>
  <c r="C99" i="47" s="1"/>
  <c r="B99" i="47"/>
  <c r="C25" i="28" l="1"/>
  <c r="B25" i="28"/>
  <c r="B44" i="28" l="1"/>
  <c r="F3" i="32" l="1"/>
  <c r="B40" i="32"/>
  <c r="E3" i="32" s="1"/>
  <c r="B3" i="32" l="1"/>
  <c r="C3" i="32" l="1"/>
  <c r="S11" i="32"/>
  <c r="T14" i="32" l="1"/>
  <c r="S19" i="32"/>
  <c r="R19" i="32"/>
  <c r="S28" i="32"/>
  <c r="R28" i="32"/>
  <c r="T28" i="32" l="1"/>
  <c r="T19" i="32"/>
  <c r="S24" i="32"/>
  <c r="R24" i="32"/>
  <c r="T7" i="32"/>
  <c r="T9" i="32"/>
  <c r="S29" i="32" l="1"/>
  <c r="R11" i="32"/>
  <c r="R29" i="32" l="1"/>
  <c r="B6" i="32" s="1"/>
  <c r="T11" i="32"/>
  <c r="B5" i="32" l="1"/>
  <c r="H5" i="32" s="1"/>
  <c r="C6" i="32"/>
  <c r="E6" i="32"/>
  <c r="C5" i="32"/>
  <c r="I5" i="32" s="1"/>
  <c r="E22" i="32"/>
  <c r="F6" i="32"/>
  <c r="E17" i="32"/>
  <c r="F17" i="32"/>
  <c r="F22" i="32"/>
  <c r="T6" i="32" l="1"/>
  <c r="J6" i="32" l="1"/>
  <c r="K6" i="32"/>
  <c r="T10" i="32" l="1"/>
  <c r="T15" i="32"/>
  <c r="T16" i="32"/>
  <c r="T17" i="32"/>
  <c r="T18" i="32"/>
  <c r="T27" i="32"/>
  <c r="E14" i="32" l="1"/>
  <c r="F18" i="32"/>
  <c r="K18" i="32" s="1"/>
  <c r="F16" i="32"/>
  <c r="K16" i="32" s="1"/>
  <c r="E15" i="32"/>
  <c r="J15" i="32" s="1"/>
  <c r="F27" i="32"/>
  <c r="F14" i="32"/>
  <c r="F10" i="32"/>
  <c r="K10" i="32" s="1"/>
  <c r="F7" i="32"/>
  <c r="K7" i="32" s="1"/>
  <c r="F15" i="32"/>
  <c r="K15" i="32" s="1"/>
  <c r="F9" i="32"/>
  <c r="K9" i="32" s="1"/>
  <c r="H6" i="32"/>
  <c r="M6" i="32" s="1"/>
  <c r="E7" i="32"/>
  <c r="J7" i="32" s="1"/>
  <c r="B10" i="32"/>
  <c r="H10" i="32" s="1"/>
  <c r="B7" i="32"/>
  <c r="B8" i="32"/>
  <c r="H8" i="32" s="1"/>
  <c r="B14" i="32"/>
  <c r="B9" i="32"/>
  <c r="H9" i="32" s="1"/>
  <c r="E5" i="32"/>
  <c r="E10" i="32"/>
  <c r="J10" i="32" s="1"/>
  <c r="E27" i="32"/>
  <c r="F23" i="32"/>
  <c r="K23" i="32" s="1"/>
  <c r="B22" i="32"/>
  <c r="B23" i="32"/>
  <c r="H23" i="32" s="1"/>
  <c r="E16" i="32"/>
  <c r="J16" i="32" s="1"/>
  <c r="E9" i="32"/>
  <c r="J9" i="32" s="1"/>
  <c r="C18" i="32"/>
  <c r="I18" i="32" s="1"/>
  <c r="C10" i="32"/>
  <c r="I10" i="32" s="1"/>
  <c r="C14" i="32"/>
  <c r="F8" i="32"/>
  <c r="K8" i="32" s="1"/>
  <c r="B16" i="32"/>
  <c r="H16" i="32" s="1"/>
  <c r="B18" i="32"/>
  <c r="H18" i="32" s="1"/>
  <c r="C9" i="32"/>
  <c r="I9" i="32" s="1"/>
  <c r="B15" i="32"/>
  <c r="H15" i="32" s="1"/>
  <c r="C15" i="32"/>
  <c r="I15" i="32" s="1"/>
  <c r="C7" i="32"/>
  <c r="B27" i="32"/>
  <c r="E18" i="32"/>
  <c r="J18" i="32" s="1"/>
  <c r="C17" i="32"/>
  <c r="I17" i="32" s="1"/>
  <c r="C23" i="32"/>
  <c r="I23" i="32" s="1"/>
  <c r="C27" i="32"/>
  <c r="B17" i="32"/>
  <c r="H17" i="32" s="1"/>
  <c r="E8" i="32"/>
  <c r="J8" i="32" s="1"/>
  <c r="E23" i="32"/>
  <c r="J23" i="32" s="1"/>
  <c r="C8" i="32"/>
  <c r="I8" i="32" s="1"/>
  <c r="C22" i="32"/>
  <c r="C16" i="32"/>
  <c r="I16" i="32" s="1"/>
  <c r="I6" i="32"/>
  <c r="N6" i="32" s="1"/>
  <c r="F5" i="32"/>
  <c r="J5" i="32" l="1"/>
  <c r="J11" i="32" s="1"/>
  <c r="E11" i="32"/>
  <c r="K5" i="32"/>
  <c r="K11" i="32" s="1"/>
  <c r="F11" i="32"/>
  <c r="I7" i="32"/>
  <c r="C11" i="32"/>
  <c r="H7" i="32"/>
  <c r="M7" i="32" s="1"/>
  <c r="B11" i="32"/>
  <c r="M8" i="32"/>
  <c r="N8" i="32"/>
  <c r="C28" i="32"/>
  <c r="I27" i="32"/>
  <c r="I28" i="32" s="1"/>
  <c r="J17" i="32"/>
  <c r="C24" i="32"/>
  <c r="I22" i="32"/>
  <c r="I24" i="32" s="1"/>
  <c r="K14" i="32"/>
  <c r="F24" i="32"/>
  <c r="K22" i="32"/>
  <c r="K24" i="32" s="1"/>
  <c r="J27" i="32"/>
  <c r="J28" i="32" s="1"/>
  <c r="E28" i="32"/>
  <c r="K27" i="32"/>
  <c r="K28" i="32" s="1"/>
  <c r="F28" i="32"/>
  <c r="J14" i="32"/>
  <c r="J22" i="32"/>
  <c r="J24" i="32" s="1"/>
  <c r="E24" i="32"/>
  <c r="H27" i="32"/>
  <c r="H28" i="32" s="1"/>
  <c r="B28" i="32"/>
  <c r="K17" i="32"/>
  <c r="I14" i="32"/>
  <c r="I19" i="32" s="1"/>
  <c r="C19" i="32"/>
  <c r="H22" i="32"/>
  <c r="H24" i="32" s="1"/>
  <c r="B24" i="32"/>
  <c r="H14" i="32"/>
  <c r="H19" i="32" s="1"/>
  <c r="B19" i="32"/>
  <c r="M10" i="32"/>
  <c r="M9" i="32"/>
  <c r="M16" i="32"/>
  <c r="M15" i="32"/>
  <c r="M23" i="32"/>
  <c r="J19" i="32" l="1"/>
  <c r="J29" i="32" s="1"/>
  <c r="K19" i="32"/>
  <c r="K29" i="32" s="1"/>
  <c r="H11" i="32"/>
  <c r="H29" i="32" s="1"/>
  <c r="I11" i="32"/>
  <c r="I29" i="32" s="1"/>
  <c r="M14" i="32"/>
  <c r="E19" i="32"/>
  <c r="E29" i="32" s="1"/>
  <c r="F19" i="32"/>
  <c r="F29" i="32" s="1"/>
  <c r="B29" i="32"/>
  <c r="C29" i="32"/>
  <c r="N15" i="32"/>
  <c r="M18" i="32"/>
  <c r="N14" i="32"/>
  <c r="N23" i="32"/>
  <c r="N9" i="32"/>
  <c r="N5" i="32"/>
  <c r="N22" i="32"/>
  <c r="M5" i="32"/>
  <c r="M11" i="32" s="1"/>
  <c r="N10" i="32"/>
  <c r="M27" i="32"/>
  <c r="M28" i="32" s="1"/>
  <c r="N16" i="32"/>
  <c r="M22" i="32"/>
  <c r="M24" i="32" s="1"/>
  <c r="N27" i="32"/>
  <c r="N28" i="32" s="1"/>
  <c r="N18" i="32"/>
  <c r="N7" i="32"/>
  <c r="N24" i="32" l="1"/>
  <c r="N11" i="32"/>
  <c r="M17" i="32"/>
  <c r="M19" i="32" s="1"/>
  <c r="M29" i="32" s="1"/>
  <c r="N17" i="32"/>
  <c r="N19" i="32" s="1"/>
  <c r="C6" i="49" l="1"/>
  <c r="B6" i="49"/>
  <c r="B9" i="49" s="1"/>
  <c r="N29" i="32"/>
  <c r="C9" i="49" l="1"/>
  <c r="D9" i="49" s="1"/>
  <c r="D6" i="49"/>
  <c r="C13" i="49"/>
  <c r="B13" i="49"/>
  <c r="B16" i="49" s="1"/>
  <c r="C16" i="49" l="1"/>
  <c r="D16" i="49" s="1"/>
  <c r="D13" i="49"/>
  <c r="G2" i="2" l="1"/>
  <c r="M53" i="12" l="1"/>
  <c r="L53" i="12"/>
  <c r="K53" i="12"/>
  <c r="J53" i="12"/>
  <c r="I53" i="12"/>
  <c r="H53" i="12"/>
  <c r="G53" i="12"/>
  <c r="F53" i="12"/>
  <c r="E53" i="12"/>
  <c r="H87" i="12" l="1"/>
  <c r="I87" i="12" s="1"/>
  <c r="J87" i="12" s="1"/>
  <c r="K87" i="12" s="1"/>
  <c r="L87" i="12" s="1"/>
  <c r="M87" i="12" s="1"/>
  <c r="G87" i="12"/>
  <c r="F87" i="12"/>
  <c r="E87" i="12"/>
  <c r="E85" i="12"/>
  <c r="M83" i="12"/>
  <c r="M82" i="12"/>
  <c r="L82" i="12"/>
  <c r="K82" i="12"/>
  <c r="J82" i="12"/>
  <c r="I82" i="12"/>
  <c r="H82" i="12"/>
  <c r="G82" i="12"/>
  <c r="F82" i="12"/>
  <c r="E82" i="12"/>
  <c r="M81" i="12"/>
  <c r="L81" i="12"/>
  <c r="K81" i="12"/>
  <c r="J81" i="12"/>
  <c r="I81" i="12"/>
  <c r="H81" i="12"/>
  <c r="G81" i="12"/>
  <c r="F81" i="12"/>
  <c r="E81" i="12"/>
  <c r="M80" i="12"/>
  <c r="L80" i="12"/>
  <c r="K80" i="12"/>
  <c r="J80" i="12"/>
  <c r="I80" i="12"/>
  <c r="H80" i="12"/>
  <c r="G80" i="12"/>
  <c r="F80" i="12"/>
  <c r="E80" i="12"/>
  <c r="C71" i="12"/>
  <c r="C73" i="12" s="1"/>
  <c r="D70" i="12"/>
  <c r="E70" i="12" s="1"/>
  <c r="F70" i="12" s="1"/>
  <c r="G70" i="12" s="1"/>
  <c r="H70" i="12" s="1"/>
  <c r="I70" i="12" s="1"/>
  <c r="J70" i="12" s="1"/>
  <c r="K70" i="12" s="1"/>
  <c r="L70" i="12" s="1"/>
  <c r="M70" i="12" s="1"/>
  <c r="H58" i="12"/>
  <c r="I58" i="12" s="1"/>
  <c r="J58" i="12" s="1"/>
  <c r="K58" i="12" s="1"/>
  <c r="L58" i="12" s="1"/>
  <c r="M58" i="12" s="1"/>
  <c r="G58" i="12"/>
  <c r="F58" i="12"/>
  <c r="E58" i="12"/>
  <c r="E56" i="12"/>
  <c r="M54" i="12"/>
  <c r="M52" i="12"/>
  <c r="L52" i="12"/>
  <c r="K52" i="12"/>
  <c r="J52" i="12"/>
  <c r="I52" i="12"/>
  <c r="H52" i="12"/>
  <c r="G52" i="12"/>
  <c r="F52" i="12"/>
  <c r="E52" i="12"/>
  <c r="M51" i="12"/>
  <c r="L51" i="12"/>
  <c r="K51" i="12"/>
  <c r="J51" i="12"/>
  <c r="I51" i="12"/>
  <c r="H51" i="12"/>
  <c r="G51" i="12"/>
  <c r="F51" i="12"/>
  <c r="E51" i="12"/>
  <c r="C42" i="12"/>
  <c r="D41" i="12"/>
  <c r="E41" i="12" s="1"/>
  <c r="F41" i="12" s="1"/>
  <c r="G41" i="12" s="1"/>
  <c r="H41" i="12" s="1"/>
  <c r="I41" i="12" s="1"/>
  <c r="J41" i="12" s="1"/>
  <c r="K41" i="12" s="1"/>
  <c r="L41" i="12" s="1"/>
  <c r="M41" i="12" s="1"/>
  <c r="H24" i="12"/>
  <c r="I24" i="12" s="1"/>
  <c r="J24" i="12" s="1"/>
  <c r="K24" i="12" s="1"/>
  <c r="L24" i="12" s="1"/>
  <c r="M24" i="12" s="1"/>
  <c r="G24" i="12"/>
  <c r="F24" i="12"/>
  <c r="E24" i="12"/>
  <c r="E22" i="12"/>
  <c r="M18" i="12"/>
  <c r="L18" i="12"/>
  <c r="K18" i="12"/>
  <c r="J18" i="12"/>
  <c r="I18" i="12"/>
  <c r="H18" i="12"/>
  <c r="G18" i="12"/>
  <c r="F18" i="12"/>
  <c r="E18" i="12"/>
  <c r="M17" i="12"/>
  <c r="L17" i="12"/>
  <c r="K17" i="12"/>
  <c r="J17" i="12"/>
  <c r="I17" i="12"/>
  <c r="H17" i="12"/>
  <c r="G17" i="12"/>
  <c r="F17" i="12"/>
  <c r="E17" i="12"/>
  <c r="M16" i="12"/>
  <c r="L16" i="12"/>
  <c r="K16" i="12"/>
  <c r="J16" i="12"/>
  <c r="I16" i="12"/>
  <c r="H16" i="12"/>
  <c r="G16" i="12"/>
  <c r="F16" i="12"/>
  <c r="E16" i="12"/>
  <c r="C6" i="12"/>
  <c r="C8" i="12" s="1"/>
  <c r="D5" i="12"/>
  <c r="E5" i="12" s="1"/>
  <c r="F5" i="12" s="1"/>
  <c r="G5" i="12" s="1"/>
  <c r="H5" i="12" s="1"/>
  <c r="I5" i="12" s="1"/>
  <c r="J5" i="12" s="1"/>
  <c r="K5" i="12" s="1"/>
  <c r="L5" i="12" s="1"/>
  <c r="M5" i="12" s="1"/>
  <c r="C44" i="12" l="1"/>
  <c r="D42" i="12"/>
  <c r="D6" i="12"/>
  <c r="D71" i="12"/>
  <c r="D73" i="12" s="1"/>
  <c r="E76" i="12" s="1"/>
  <c r="E27" i="12"/>
  <c r="E28" i="12" s="1"/>
  <c r="E90" i="12"/>
  <c r="E91" i="12" s="1"/>
  <c r="D8" i="12"/>
  <c r="E11" i="12" s="1"/>
  <c r="E6" i="12"/>
  <c r="D44" i="12"/>
  <c r="E47" i="12" s="1"/>
  <c r="E42" i="12"/>
  <c r="E61" i="12"/>
  <c r="E71" i="12"/>
  <c r="E12" i="12" l="1"/>
  <c r="F71" i="12"/>
  <c r="E73" i="12"/>
  <c r="E44" i="12"/>
  <c r="F42" i="12"/>
  <c r="E77" i="12"/>
  <c r="E62" i="12"/>
  <c r="E63" i="12" s="1"/>
  <c r="E48" i="12"/>
  <c r="E8" i="12"/>
  <c r="E9" i="12" s="1"/>
  <c r="F6" i="12"/>
  <c r="G71" i="12" l="1"/>
  <c r="F73" i="12"/>
  <c r="F76" i="12" s="1"/>
  <c r="G6" i="12"/>
  <c r="F8" i="12"/>
  <c r="G42" i="12"/>
  <c r="F44" i="12"/>
  <c r="F47" i="12" s="1"/>
  <c r="E13" i="12"/>
  <c r="G8" i="12" l="1"/>
  <c r="G9" i="12" s="1"/>
  <c r="H6" i="12"/>
  <c r="G73" i="12"/>
  <c r="G76" i="12" s="1"/>
  <c r="H71" i="12"/>
  <c r="F48" i="12"/>
  <c r="H42" i="12"/>
  <c r="G44" i="12"/>
  <c r="G47" i="12" s="1"/>
  <c r="F9" i="12"/>
  <c r="F11" i="12"/>
  <c r="F77" i="12"/>
  <c r="G48" i="12" l="1"/>
  <c r="G77" i="12"/>
  <c r="H73" i="12"/>
  <c r="H76" i="12" s="1"/>
  <c r="I71" i="12"/>
  <c r="F12" i="12"/>
  <c r="G11" i="12"/>
  <c r="H44" i="12"/>
  <c r="H47" i="12" s="1"/>
  <c r="I42" i="12"/>
  <c r="H8" i="12"/>
  <c r="H9" i="12" s="1"/>
  <c r="I6" i="12"/>
  <c r="H48" i="12" l="1"/>
  <c r="H77" i="12"/>
  <c r="F13" i="12"/>
  <c r="I44" i="12"/>
  <c r="I47" i="12" s="1"/>
  <c r="J42" i="12"/>
  <c r="I73" i="12"/>
  <c r="I76" i="12" s="1"/>
  <c r="J71" i="12"/>
  <c r="J6" i="12"/>
  <c r="I8" i="12"/>
  <c r="I9" i="12" s="1"/>
  <c r="G12" i="12"/>
  <c r="G13" i="12" s="1"/>
  <c r="H11" i="12"/>
  <c r="I77" i="12" l="1"/>
  <c r="I48" i="12"/>
  <c r="K42" i="12"/>
  <c r="J44" i="12"/>
  <c r="J47" i="12" s="1"/>
  <c r="K6" i="12"/>
  <c r="J8" i="12"/>
  <c r="J9" i="12" s="1"/>
  <c r="H12" i="12"/>
  <c r="O12" i="12" s="1"/>
  <c r="I11" i="12"/>
  <c r="K71" i="12"/>
  <c r="J73" i="12"/>
  <c r="J76" i="12" s="1"/>
  <c r="O77" i="12"/>
  <c r="O48" i="12"/>
  <c r="J77" i="12" l="1"/>
  <c r="J48" i="12"/>
  <c r="I12" i="12"/>
  <c r="J11" i="12"/>
  <c r="H13" i="12"/>
  <c r="K44" i="12"/>
  <c r="K47" i="12" s="1"/>
  <c r="L42" i="12"/>
  <c r="O98" i="12"/>
  <c r="L71" i="12"/>
  <c r="K73" i="12"/>
  <c r="K76" i="12" s="1"/>
  <c r="L6" i="12"/>
  <c r="K8" i="12"/>
  <c r="K9" i="12" s="1"/>
  <c r="L73" i="12" l="1"/>
  <c r="M71" i="12"/>
  <c r="M73" i="12" s="1"/>
  <c r="L44" i="12"/>
  <c r="L47" i="12" s="1"/>
  <c r="M42" i="12"/>
  <c r="M44" i="12" s="1"/>
  <c r="K48" i="12"/>
  <c r="J12" i="12"/>
  <c r="K11" i="12"/>
  <c r="L8" i="12"/>
  <c r="L9" i="12" s="1"/>
  <c r="M6" i="12"/>
  <c r="M8" i="12" s="1"/>
  <c r="M9" i="12" s="1"/>
  <c r="I13" i="12"/>
  <c r="K77" i="12"/>
  <c r="L76" i="12"/>
  <c r="L48" i="12" l="1"/>
  <c r="P48" i="12" s="1"/>
  <c r="M47" i="12"/>
  <c r="J13" i="12"/>
  <c r="L77" i="12"/>
  <c r="P77" i="12" s="1"/>
  <c r="M76" i="12"/>
  <c r="M77" i="12" s="1"/>
  <c r="K12" i="12"/>
  <c r="K13" i="12" s="1"/>
  <c r="L11" i="12"/>
  <c r="Q77" i="12" l="1"/>
  <c r="L12" i="12"/>
  <c r="L13" i="12" s="1"/>
  <c r="M11" i="12"/>
  <c r="M12" i="12" s="1"/>
  <c r="M13" i="12" s="1"/>
  <c r="M48" i="12"/>
  <c r="Q48" i="12" s="1"/>
  <c r="P98" i="12"/>
  <c r="Q12" i="12" l="1"/>
  <c r="P12" i="12"/>
  <c r="Q98" i="12"/>
  <c r="H56" i="12" l="1"/>
  <c r="F56" i="12"/>
  <c r="F61" i="12" s="1"/>
  <c r="G56" i="12"/>
  <c r="G61" i="12" s="1"/>
  <c r="G62" i="12" s="1"/>
  <c r="G63" i="12" s="1"/>
  <c r="F62" i="12" l="1"/>
  <c r="F63" i="12" s="1"/>
  <c r="I56" i="12"/>
  <c r="H61" i="12"/>
  <c r="H62" i="12" s="1"/>
  <c r="H63" i="12" s="1"/>
  <c r="O61" i="12" l="1"/>
  <c r="J56" i="12"/>
  <c r="I61" i="12"/>
  <c r="O100" i="12"/>
  <c r="O63" i="12"/>
  <c r="O64" i="12" s="1"/>
  <c r="O101" i="12" s="1"/>
  <c r="F85" i="12" l="1"/>
  <c r="F90" i="12" s="1"/>
  <c r="F22" i="12"/>
  <c r="F27" i="12" s="1"/>
  <c r="I62" i="12"/>
  <c r="I63" i="12" s="1"/>
  <c r="K56" i="12"/>
  <c r="J61" i="12"/>
  <c r="J62" i="12" s="1"/>
  <c r="J63" i="12" s="1"/>
  <c r="G85" i="12" l="1"/>
  <c r="G90" i="12" s="1"/>
  <c r="G91" i="12" s="1"/>
  <c r="G22" i="12"/>
  <c r="G27" i="12" s="1"/>
  <c r="G28" i="12" s="1"/>
  <c r="L56" i="12"/>
  <c r="K61" i="12"/>
  <c r="F28" i="12"/>
  <c r="F91" i="12"/>
  <c r="M56" i="12" l="1"/>
  <c r="M61" i="12" s="1"/>
  <c r="M62" i="12" s="1"/>
  <c r="M63" i="12" s="1"/>
  <c r="L61" i="12"/>
  <c r="L62" i="12" s="1"/>
  <c r="L63" i="12" s="1"/>
  <c r="H85" i="12"/>
  <c r="H22" i="12"/>
  <c r="K62" i="12"/>
  <c r="K63" i="12" s="1"/>
  <c r="P61" i="12"/>
  <c r="P100" i="12" l="1"/>
  <c r="P63" i="12"/>
  <c r="P64" i="12" s="1"/>
  <c r="P101" i="12" s="1"/>
  <c r="I22" i="12"/>
  <c r="H27" i="12"/>
  <c r="I85" i="12"/>
  <c r="H90" i="12"/>
  <c r="Q61" i="12"/>
  <c r="H28" i="12" l="1"/>
  <c r="O27" i="12"/>
  <c r="H91" i="12"/>
  <c r="O90" i="12"/>
  <c r="J22" i="12"/>
  <c r="I27" i="12"/>
  <c r="Q100" i="12"/>
  <c r="Q63" i="12"/>
  <c r="Q64" i="12" s="1"/>
  <c r="Q101" i="12" s="1"/>
  <c r="J85" i="12"/>
  <c r="I90" i="12"/>
  <c r="O103" i="12" l="1"/>
  <c r="O92" i="12"/>
  <c r="O93" i="12" s="1"/>
  <c r="O104" i="12" s="1"/>
  <c r="O106" i="12"/>
  <c r="O30" i="12"/>
  <c r="O31" i="12" s="1"/>
  <c r="O107" i="12" s="1"/>
  <c r="I91" i="12"/>
  <c r="I28" i="12"/>
  <c r="K85" i="12"/>
  <c r="J90" i="12"/>
  <c r="J91" i="12" s="1"/>
  <c r="K22" i="12"/>
  <c r="J27" i="12"/>
  <c r="J28" i="12" s="1"/>
  <c r="L22" i="12" l="1"/>
  <c r="K27" i="12"/>
  <c r="L85" i="12"/>
  <c r="K90" i="12"/>
  <c r="K28" i="12" l="1"/>
  <c r="M22" i="12"/>
  <c r="M27" i="12" s="1"/>
  <c r="M28" i="12" s="1"/>
  <c r="L27" i="12"/>
  <c r="L28" i="12" s="1"/>
  <c r="K91" i="12"/>
  <c r="M85" i="12"/>
  <c r="M90" i="12" s="1"/>
  <c r="M91" i="12" s="1"/>
  <c r="L90" i="12"/>
  <c r="L91" i="12" s="1"/>
  <c r="P27" i="12" l="1"/>
  <c r="P106" i="12" s="1"/>
  <c r="Q27" i="12"/>
  <c r="P90" i="12"/>
  <c r="Q90" i="12"/>
  <c r="P30" i="12" l="1"/>
  <c r="P31" i="12" s="1"/>
  <c r="P107" i="12" s="1"/>
  <c r="Q106" i="12"/>
  <c r="Q30" i="12"/>
  <c r="Q31" i="12" s="1"/>
  <c r="Q107" i="12" s="1"/>
  <c r="Q103" i="12"/>
  <c r="Q92" i="12"/>
  <c r="Q93" i="12" s="1"/>
  <c r="Q104" i="12" s="1"/>
  <c r="P103" i="12"/>
  <c r="P92" i="12"/>
  <c r="P93" i="12" s="1"/>
  <c r="P104" i="12" s="1"/>
  <c r="H188" i="7" l="1"/>
  <c r="L10" i="4" l="1"/>
  <c r="K10" i="4"/>
  <c r="J10" i="4"/>
  <c r="I10" i="4"/>
  <c r="L9" i="4"/>
  <c r="K9" i="4"/>
  <c r="J9" i="4"/>
  <c r="I9" i="4"/>
  <c r="L8" i="4"/>
  <c r="K8" i="4"/>
  <c r="J8" i="4"/>
  <c r="I8" i="4"/>
  <c r="L7" i="4"/>
  <c r="L21" i="4" s="1"/>
  <c r="K7" i="4"/>
  <c r="K21" i="4" s="1"/>
  <c r="J7" i="4"/>
  <c r="J21" i="4" s="1"/>
  <c r="I7" i="4"/>
  <c r="I21" i="4" s="1"/>
  <c r="H10" i="4"/>
  <c r="H9" i="4"/>
  <c r="H8" i="4"/>
  <c r="H7" i="4"/>
  <c r="H21" i="4" s="1"/>
  <c r="G88" i="12" l="1"/>
  <c r="G59" i="12"/>
  <c r="G25" i="12"/>
  <c r="H25" i="12"/>
  <c r="I25" i="12" s="1"/>
  <c r="J25" i="12" s="1"/>
  <c r="K25" i="12" s="1"/>
  <c r="L25" i="12" s="1"/>
  <c r="M25" i="12" s="1"/>
  <c r="H59" i="12"/>
  <c r="I59" i="12" s="1"/>
  <c r="J59" i="12" s="1"/>
  <c r="K59" i="12" s="1"/>
  <c r="L59" i="12" s="1"/>
  <c r="M59" i="12" s="1"/>
  <c r="H88" i="12"/>
  <c r="I88" i="12" s="1"/>
  <c r="J88" i="12" s="1"/>
  <c r="K88" i="12" s="1"/>
  <c r="L88" i="12" s="1"/>
  <c r="M88" i="12" s="1"/>
  <c r="E25" i="12"/>
  <c r="E88" i="12"/>
  <c r="E59" i="12"/>
  <c r="F88" i="12"/>
  <c r="F25" i="12"/>
  <c r="F59" i="12"/>
  <c r="K267" i="7"/>
  <c r="J267" i="7"/>
  <c r="I267" i="7"/>
  <c r="K266" i="7"/>
  <c r="J266" i="7"/>
  <c r="I266" i="7"/>
  <c r="H267" i="7"/>
  <c r="H266" i="7"/>
  <c r="U39" i="5" l="1"/>
  <c r="U38" i="5"/>
  <c r="U20" i="5"/>
  <c r="T20" i="5"/>
  <c r="T21" i="5" s="1"/>
  <c r="S20" i="5"/>
  <c r="S21" i="5" s="1"/>
  <c r="R20" i="5"/>
  <c r="R21" i="5" s="1"/>
  <c r="Q20" i="5"/>
  <c r="Q21" i="5" s="1"/>
  <c r="U19" i="5"/>
  <c r="U18" i="5"/>
  <c r="D40" i="5"/>
  <c r="D47" i="5" s="1"/>
  <c r="G39" i="5"/>
  <c r="G38" i="5"/>
  <c r="G20" i="5"/>
  <c r="F20" i="5"/>
  <c r="F21" i="5" s="1"/>
  <c r="E20" i="5"/>
  <c r="E21" i="5" s="1"/>
  <c r="D20" i="5"/>
  <c r="D21" i="5" s="1"/>
  <c r="C20" i="5"/>
  <c r="C21" i="5" s="1"/>
  <c r="G19" i="5"/>
  <c r="G18" i="5"/>
  <c r="G21" i="5" l="1"/>
  <c r="U21" i="5"/>
  <c r="Q40" i="5"/>
  <c r="Q47" i="5" s="1"/>
  <c r="R40" i="5"/>
  <c r="R47" i="5" s="1"/>
  <c r="U40" i="5"/>
  <c r="U47" i="5" s="1"/>
  <c r="S40" i="5"/>
  <c r="S47" i="5" s="1"/>
  <c r="E40" i="5"/>
  <c r="E47" i="5" s="1"/>
  <c r="T40" i="5"/>
  <c r="T47" i="5" s="1"/>
  <c r="T28" i="5"/>
  <c r="T29" i="5"/>
  <c r="R28" i="5"/>
  <c r="R29" i="5" s="1"/>
  <c r="S28" i="5"/>
  <c r="S29" i="5" s="1"/>
  <c r="Q28" i="5"/>
  <c r="Q29" i="5" s="1"/>
  <c r="U28" i="5"/>
  <c r="U29" i="5" s="1"/>
  <c r="F28" i="5"/>
  <c r="F29" i="5" s="1"/>
  <c r="D28" i="5"/>
  <c r="D29" i="5" s="1"/>
  <c r="E28" i="5"/>
  <c r="E29" i="5" s="1"/>
  <c r="C28" i="5"/>
  <c r="C29" i="5" s="1"/>
  <c r="G28" i="5"/>
  <c r="G29" i="5" s="1"/>
  <c r="F40" i="5"/>
  <c r="F47" i="5" s="1"/>
  <c r="C40" i="5"/>
  <c r="C47" i="5" s="1"/>
  <c r="G40" i="5"/>
  <c r="G47" i="5" s="1"/>
</calcChain>
</file>

<file path=xl/sharedStrings.xml><?xml version="1.0" encoding="utf-8"?>
<sst xmlns="http://schemas.openxmlformats.org/spreadsheetml/2006/main" count="853" uniqueCount="310">
  <si>
    <t>2023 PSE Biennial CEIP Update - Appendix E</t>
  </si>
  <si>
    <t>Version:  October 1, 2023</t>
  </si>
  <si>
    <t xml:space="preserve">Workbook Summary: </t>
  </si>
  <si>
    <t xml:space="preserve">This workbook captures the forecasted costs outside of AURORA model for complying with CETA.   It includes 6 categories of costs:
1. Energy Efficiency
2. Demand Response
3. DER Enabling and Grid Modernization Costs
4. Communications and Customer Education Costs
5. Monitoring and Reporting Costs
6. DER Solar and Storage </t>
  </si>
  <si>
    <t>Tab Summary:</t>
  </si>
  <si>
    <t>Tab Name</t>
  </si>
  <si>
    <t>Tab Summary</t>
  </si>
  <si>
    <t>Data Source</t>
  </si>
  <si>
    <t>1. SCGHG Cost Comparison</t>
  </si>
  <si>
    <t>Compares the incremental cost between tow portfolios. One portfolio uses the same methodology from the 2021 CEIP. The other one uses an updated metholology for incorporating the SCGHG per CEIP Order Condition 32</t>
  </si>
  <si>
    <t>AURORA portfolio modeling</t>
  </si>
  <si>
    <t>2. Energy Efficiency</t>
  </si>
  <si>
    <t>Estimates Costs of Energy Efficiency Portfolio based on forecast energy efficiency targets for 2024 &amp; 2025</t>
  </si>
  <si>
    <t>Draft 2024 - 2025 Biennial Conservation Plan</t>
  </si>
  <si>
    <t>3. Demand Response</t>
  </si>
  <si>
    <t>Forecast costs for demand response programs</t>
  </si>
  <si>
    <t>PSE Internal Forecast</t>
  </si>
  <si>
    <t>4. Enablement and Grid Mod Bud</t>
  </si>
  <si>
    <t>Shows budgets and allocations to incremental costs for DER enablers and Grid Modernization Costs</t>
  </si>
  <si>
    <t>5. DER Solar and Storage</t>
  </si>
  <si>
    <t>Forecast costs for DER Solar and Storage products that are not captured in Aurora model</t>
  </si>
  <si>
    <t>6. Comm and Education Costs</t>
  </si>
  <si>
    <t>Forecast costs for delivering Communication and customer education costs, including public participation</t>
  </si>
  <si>
    <t>PSE Internal Forecast based on current vendor rates</t>
  </si>
  <si>
    <t>7. Admin Costs</t>
  </si>
  <si>
    <t>Forecast costs for administration, including measurement and reporting</t>
  </si>
  <si>
    <t>Incremental cost of portfolios</t>
  </si>
  <si>
    <t>Per Order 08, Condition 32, PSE performed the projected incremental cost calculation for the limited purpose of complying with Condition 32 and shows the results calculated over a two-year period.</t>
  </si>
  <si>
    <t>Resource</t>
  </si>
  <si>
    <t>2023 Biennial with SCGHG Dispatch</t>
  </si>
  <si>
    <t xml:space="preserve">2023 Biennial CEIP </t>
  </si>
  <si>
    <t>Difference in portfolio costs</t>
  </si>
  <si>
    <t>Energy Efficiency</t>
  </si>
  <si>
    <t>Demand Response</t>
  </si>
  <si>
    <t>Energy Supply Portfolio</t>
  </si>
  <si>
    <t>Total</t>
  </si>
  <si>
    <t>Forecast Energy Efficiency Target Based On No-CETA Portfolio (MWh)</t>
  </si>
  <si>
    <t>Forecast Energy Efficiency Target Based On With-CETA Portfolio (MWh)</t>
  </si>
  <si>
    <t>Energy Efficiency Cost Based on No-CETA Portfolio ($)</t>
  </si>
  <si>
    <t>Energy Efficiency Cost Based on With-CETA Portfolio ($)</t>
  </si>
  <si>
    <t>Incremental Cost ($)</t>
  </si>
  <si>
    <t>BCP Exhibit 1</t>
  </si>
  <si>
    <r>
      <rPr>
        <b/>
        <sz val="10"/>
        <color rgb="FF0000FF"/>
        <rFont val="Arial"/>
        <family val="2"/>
      </rPr>
      <t xml:space="preserve">
</t>
    </r>
    <r>
      <rPr>
        <b/>
        <sz val="10"/>
        <rFont val="Arial"/>
        <family val="2"/>
      </rPr>
      <t>PSE Conservation Rider 
Savings Goals and Budgets</t>
    </r>
  </si>
  <si>
    <t>Program Name</t>
  </si>
  <si>
    <t>MWh savings</t>
  </si>
  <si>
    <t>Electric Budget</t>
  </si>
  <si>
    <t>Budget $/MWh</t>
  </si>
  <si>
    <t>Residential Energy Management</t>
  </si>
  <si>
    <t>Low Income Weatherization</t>
  </si>
  <si>
    <t>Single Family Existing Subtotal</t>
  </si>
  <si>
    <t>Single Family New Construction</t>
  </si>
  <si>
    <t>Moderate Income Residences</t>
  </si>
  <si>
    <t>Multifamily Retrofit</t>
  </si>
  <si>
    <t>Multifamily New Construction</t>
  </si>
  <si>
    <t>Total, Residential Programs</t>
  </si>
  <si>
    <t>Business Energy Management</t>
  </si>
  <si>
    <t>Commercial / Industrial Retrofit</t>
  </si>
  <si>
    <t>Commercial/Industrial New Construction</t>
  </si>
  <si>
    <t>Commercial Strategic Energy Management</t>
  </si>
  <si>
    <t>Large Power User - Self Directed Program - Subtotal</t>
  </si>
  <si>
    <t>Commercial Rebates</t>
  </si>
  <si>
    <t>Subtotal, Business Programs</t>
  </si>
  <si>
    <t>Pilots With Uncertain Savings</t>
  </si>
  <si>
    <t>Residential</t>
  </si>
  <si>
    <t xml:space="preserve">Commercial </t>
  </si>
  <si>
    <t>Subtotal, Pilots</t>
  </si>
  <si>
    <t>Regional Efficiency Programs</t>
  </si>
  <si>
    <t>NW Energy Efficiency Alliance (NEEA)</t>
  </si>
  <si>
    <t>Subtotal, Regional Programs</t>
  </si>
  <si>
    <t>Grand Total</t>
  </si>
  <si>
    <t xml:space="preserve">Forecast Energy Efficiency Target </t>
  </si>
  <si>
    <t>No-CETA Energy Efficiency MWh</t>
  </si>
  <si>
    <t>BCP target</t>
  </si>
  <si>
    <t>Suite 1</t>
  </si>
  <si>
    <t>Total - 2022-2025 CEIP Period</t>
  </si>
  <si>
    <t>Total - 2026-2029 CEIP Period</t>
  </si>
  <si>
    <t>TOTAL through 2030</t>
  </si>
  <si>
    <t>PSE 2019 Electric Sales to Customers (UE-200294 -2.01), escalated at 2.5%</t>
  </si>
  <si>
    <t>Added EE gross-up %, discounted by 50% for actual PSE Cost</t>
  </si>
  <si>
    <t>Electric Sales Grossed up by EE %</t>
  </si>
  <si>
    <t>$ 000</t>
  </si>
  <si>
    <t>Estimated 2% Annual Increase ($000)</t>
  </si>
  <si>
    <t>Estimated 2% Annual Increase ($)</t>
  </si>
  <si>
    <t>Energy Efficiency Incremental Cost</t>
  </si>
  <si>
    <t>Demand Response Incremental Cost</t>
  </si>
  <si>
    <t>Generation Portfolio Incremental Cost</t>
  </si>
  <si>
    <t>Alternative Compliance Cost</t>
  </si>
  <si>
    <t>Enabling Costs - Distributed Resources</t>
  </si>
  <si>
    <t>Enabling Costs - Grid Modernization to support distributed resources</t>
  </si>
  <si>
    <t>Customer - Multilingual community engagement, Outreach, and communication</t>
  </si>
  <si>
    <t>Administration</t>
  </si>
  <si>
    <t>Total Estimated Incremental Cost</t>
  </si>
  <si>
    <t>Suite 6</t>
  </si>
  <si>
    <t>Difference</t>
  </si>
  <si>
    <t>Suite 5</t>
  </si>
  <si>
    <t>CEIP Period 1
(2022-2025)</t>
  </si>
  <si>
    <t>CEIP Period 2
(2026-2029)</t>
  </si>
  <si>
    <t>Total
Through 2030</t>
  </si>
  <si>
    <t>Total 2% Estimate</t>
  </si>
  <si>
    <t>Suite 6 (Preferred)</t>
  </si>
  <si>
    <t>comparison to 2%</t>
  </si>
  <si>
    <t>Suite 5 (Maximum Customer Benefit)</t>
  </si>
  <si>
    <t>Suite1 (Lowest Cost)</t>
  </si>
  <si>
    <t>Annual Costs (from Connor) - Suite 6</t>
  </si>
  <si>
    <t>Annual Costs (from Connor) - Suite 5</t>
  </si>
  <si>
    <t>CSA Estimate</t>
  </si>
  <si>
    <t>2022 - 2025 CEIP Period</t>
  </si>
  <si>
    <t>Source</t>
  </si>
  <si>
    <t>Capacity (MW)</t>
  </si>
  <si>
    <t>Battery Energy Storage</t>
  </si>
  <si>
    <t>BCA Output</t>
  </si>
  <si>
    <t>Solar - Ground and Rooftop</t>
  </si>
  <si>
    <t>2021 IRP Preferred Portfolio</t>
  </si>
  <si>
    <t>Capital Costs ($ M)</t>
  </si>
  <si>
    <t>$/kW</t>
  </si>
  <si>
    <t>$ M</t>
  </si>
  <si>
    <t>Estimate under review</t>
  </si>
  <si>
    <t>Additional Capex Costs ($ M)</t>
  </si>
  <si>
    <t>Estimate to continue current beta testing program</t>
  </si>
  <si>
    <t>Beta Testing</t>
  </si>
  <si>
    <t>Contingency @ 20%</t>
  </si>
  <si>
    <t>TOTAL CAPITAL ESTIMATE</t>
  </si>
  <si>
    <t>Opex (Power Cost) Estimates</t>
  </si>
  <si>
    <t>Resource Only Costs</t>
  </si>
  <si>
    <t>$/kW-year</t>
  </si>
  <si>
    <t>Fixed / variable O&amp;M associated with the resource</t>
  </si>
  <si>
    <t>Weighted Average of IRP Active DR Programs</t>
  </si>
  <si>
    <t>Additional Opex Costs - Program Startup</t>
  </si>
  <si>
    <t xml:space="preserve">Programmatic spending </t>
  </si>
  <si>
    <t>Estimate</t>
  </si>
  <si>
    <t>TOTAL OPEX ESTIMATE</t>
  </si>
  <si>
    <t>Exclusions Not Yet Estimated</t>
  </si>
  <si>
    <t>Impacts on 24/7 Operations</t>
  </si>
  <si>
    <t>Additional Customer Program Operations Costs for Fully Functional Programs (assumed to be included in Resource Only Costs)</t>
  </si>
  <si>
    <t>Allocated Grid Mod Total</t>
  </si>
  <si>
    <t>From Shelly Hagerman, 7/9/21</t>
  </si>
  <si>
    <t>INPUT</t>
  </si>
  <si>
    <t>CEIP DER Enablement Budget</t>
  </si>
  <si>
    <t>CEIP Enablement Milestone</t>
  </si>
  <si>
    <t>Swimlane</t>
  </si>
  <si>
    <t>Existing CSA?</t>
  </si>
  <si>
    <t>CSA</t>
  </si>
  <si>
    <t>CSA Status</t>
  </si>
  <si>
    <t>Notes / Source</t>
  </si>
  <si>
    <t>Budget Owner</t>
  </si>
  <si>
    <t>Enablement Allocation %</t>
  </si>
  <si>
    <t>DER Enablement Milestones</t>
  </si>
  <si>
    <t>Procurement &amp; Vendor Management Strategy</t>
  </si>
  <si>
    <t>Procurement</t>
  </si>
  <si>
    <t>N/A</t>
  </si>
  <si>
    <t>Incremental labor (see Incremental Staffing Needs)</t>
  </si>
  <si>
    <t>Ben Farrow</t>
  </si>
  <si>
    <t>Capital</t>
  </si>
  <si>
    <t>Labor</t>
  </si>
  <si>
    <t>Services</t>
  </si>
  <si>
    <t>Materials</t>
  </si>
  <si>
    <t>IT</t>
  </si>
  <si>
    <t>Expense</t>
  </si>
  <si>
    <t>Market Engagement &amp; Benchmarking</t>
  </si>
  <si>
    <t>No incremental expense needs if framework exists today. However, may involve vendors.</t>
  </si>
  <si>
    <t>Will Einstein</t>
  </si>
  <si>
    <t>Regulatory &amp; Stakeholder Engagement Strategy</t>
  </si>
  <si>
    <t>Strategy &amp; Planning</t>
  </si>
  <si>
    <t>No incremental headcount expected</t>
  </si>
  <si>
    <t>Portfolio Customer Care Strategy</t>
  </si>
  <si>
    <t>Customer</t>
  </si>
  <si>
    <t>Initial upfront strategy + potential incremental customer care FTE</t>
  </si>
  <si>
    <t>Carol Wallace</t>
  </si>
  <si>
    <t>Portfolio Marketing Strategy</t>
  </si>
  <si>
    <t>Any incremental labor need</t>
  </si>
  <si>
    <t>Christina Donegan</t>
  </si>
  <si>
    <t>DER Customer Experience Strategy</t>
  </si>
  <si>
    <t>Customer Relationship Management (CRM) Platform</t>
  </si>
  <si>
    <t>No</t>
  </si>
  <si>
    <t>SAP is developing cost prior to CSA. Get updates from next CSA update file</t>
  </si>
  <si>
    <t>Theresa Burch</t>
  </si>
  <si>
    <t>Customer Enrollment &amp; Education Portal</t>
  </si>
  <si>
    <t>No incremental staff necessary; incremental GRC marketing spend</t>
  </si>
  <si>
    <t>Customer Notification Platform</t>
  </si>
  <si>
    <t>TBD</t>
  </si>
  <si>
    <t>Existing notification platform exists; supposed to get in update</t>
  </si>
  <si>
    <t>Complex Billing Functionality</t>
  </si>
  <si>
    <t>Supposed to get in update CSA file</t>
  </si>
  <si>
    <t>Device Marketplace</t>
  </si>
  <si>
    <t>Potentially expand EE platform; currently 3rd party application</t>
  </si>
  <si>
    <t>Marketing Platform</t>
  </si>
  <si>
    <t>Portfolio &amp; Product Management Strategy</t>
  </si>
  <si>
    <t>Innovation Project / Emerging Technology Process</t>
  </si>
  <si>
    <t>Was in last year's CSA possibly, but not funded right now</t>
  </si>
  <si>
    <t>Asset Management Strategy &amp; Planning</t>
  </si>
  <si>
    <t>Operations</t>
  </si>
  <si>
    <t>Cathy Koch</t>
  </si>
  <si>
    <t>Dispatch &amp; Operations Strategy</t>
  </si>
  <si>
    <t>Paul Wetherbee</t>
  </si>
  <si>
    <t>DER IT/OT Strategy</t>
  </si>
  <si>
    <t>Brian Fellon</t>
  </si>
  <si>
    <t>Virtual Power Plant (VPP)</t>
  </si>
  <si>
    <t>Yes</t>
  </si>
  <si>
    <t>Elaine Markham</t>
  </si>
  <si>
    <t>Capital budget from CSA</t>
  </si>
  <si>
    <t>Total Enablement</t>
  </si>
  <si>
    <t>Grid Modernization</t>
  </si>
  <si>
    <t>NWA Evaluation Tool &amp; Methodology</t>
  </si>
  <si>
    <t>CSA Budget file notes: "very small tool to have its own CSA". Probably rolled into broader Grid Mod CSA. If including, figure out what allocation to use from larger Grid Mod CSA. May be zero.</t>
  </si>
  <si>
    <t>Feeder-level Forecasting Tool</t>
  </si>
  <si>
    <t xml:space="preserve">Existing CSA, in-flight project. Can talk about it in narrative, but not include in enabling budget. May lump grid mod milestones. </t>
  </si>
  <si>
    <t>Hosting Capacity Analysis</t>
  </si>
  <si>
    <t>Locational Pricing &amp; Valuation Tool</t>
  </si>
  <si>
    <t>Jens may be the decision maker; do not have b-case for it. That will be developed next year</t>
  </si>
  <si>
    <t>Advanced Distribution Management System (ADMS)</t>
  </si>
  <si>
    <t>Interconnection Portal Enhancements</t>
  </si>
  <si>
    <t>determine whether included in hosting capacity CSA</t>
  </si>
  <si>
    <t>Heather Mulligan</t>
  </si>
  <si>
    <t>ADMS-integrated DER Management System (DERMS)</t>
  </si>
  <si>
    <t>Have some prefunding for scoping and development but do not have funding for implementation. Prefunding from grid mod catch-all buckets</t>
  </si>
  <si>
    <t>Summary of non-Grid Modernization Costs</t>
  </si>
  <si>
    <t>Customer Education, Community Outreach, and EAG Support Totals</t>
  </si>
  <si>
    <t>CEIP Customer Education and Information</t>
  </si>
  <si>
    <t>Community Outreach</t>
  </si>
  <si>
    <t>EAG Support</t>
  </si>
  <si>
    <t>Source:  6/30/21 Spreadsheet Summary</t>
  </si>
  <si>
    <t>Staffing</t>
  </si>
  <si>
    <t>Unit Cost</t>
  </si>
  <si>
    <t>Overhead</t>
  </si>
  <si>
    <t>Escalation</t>
  </si>
  <si>
    <t>Management</t>
  </si>
  <si>
    <t>Analysts</t>
  </si>
  <si>
    <t>Program Management</t>
  </si>
  <si>
    <t>Additional Resource Analytics</t>
  </si>
  <si>
    <t>Outside Services</t>
  </si>
  <si>
    <t>CBI Data Collection</t>
  </si>
  <si>
    <t>Report Development</t>
  </si>
  <si>
    <t>Demand Response programs forecast - 2024 and 2025</t>
  </si>
  <si>
    <r>
      <t>Calendar Year</t>
    </r>
    <r>
      <rPr>
        <sz val="10"/>
        <color rgb="FFFFFFFF"/>
        <rFont val="Arial"/>
        <charset val="1"/>
      </rPr>
      <t> </t>
    </r>
  </si>
  <si>
    <r>
      <t>Rider Funding </t>
    </r>
    <r>
      <rPr>
        <sz val="10"/>
        <color rgb="FFFFFFFF"/>
        <rFont val="Arial"/>
        <charset val="1"/>
      </rPr>
      <t> </t>
    </r>
  </si>
  <si>
    <r>
      <t>Power Cost</t>
    </r>
    <r>
      <rPr>
        <sz val="10"/>
        <color rgb="FFFFFFFF"/>
        <rFont val="Arial"/>
        <charset val="1"/>
      </rPr>
      <t> </t>
    </r>
  </si>
  <si>
    <r>
      <t>Annual Portfolio Cost</t>
    </r>
    <r>
      <rPr>
        <sz val="10"/>
        <color rgb="FFFFFFFF"/>
        <rFont val="Arial"/>
        <charset val="1"/>
      </rPr>
      <t> </t>
    </r>
  </si>
  <si>
    <t>2024 </t>
  </si>
  <si>
    <t>$4,930,745 </t>
  </si>
  <si>
    <t>$11,391,237 </t>
  </si>
  <si>
    <t>$16,321,982 </t>
  </si>
  <si>
    <t>2025 </t>
  </si>
  <si>
    <t>$5,300,945 </t>
  </si>
  <si>
    <t>$16,618,635 </t>
  </si>
  <si>
    <t>$21,919,580 </t>
  </si>
  <si>
    <t>These costs reflect current program forecasts for demand response. They do not reflect the costs assumed in AURORA modeling.</t>
  </si>
  <si>
    <t>2021 CEIP Budget</t>
  </si>
  <si>
    <t>2023 Biennial CEIP Update Budget</t>
  </si>
  <si>
    <t>Regulatory &amp; Interested Party Engagement Strategy</t>
  </si>
  <si>
    <t>Data Lake And Analytics</t>
  </si>
  <si>
    <t>Labor Expense</t>
  </si>
  <si>
    <t>Substation SCADA</t>
  </si>
  <si>
    <t>Circuit Enablement - DER and Microgrids</t>
  </si>
  <si>
    <t>Resilience Enhancement</t>
  </si>
  <si>
    <t>Grid Modernization - Core</t>
  </si>
  <si>
    <t>Total Grid Modernization</t>
  </si>
  <si>
    <t xml:space="preserve">Updated estimated costs for 2024 and 2025 are provided in this 2023 Biennial Update. </t>
  </si>
  <si>
    <t>Per Final Order 08, Condition 30, PSE removed costs related to DER enablement and grid modernization from the CETA portfolio costs in the Biennial Update, which are highlighted in green above. However, the following items will be recovered through Schedule 141CEI for 2023 and 2024: Hosting Capacity Analysis, Virtual Power Plant, Data Lake and Analytics, Circuit Enablement. Per GRC settlement, Substation SCADA and Resilience Enhancement will be recovered through general rates.</t>
  </si>
  <si>
    <t>DER solar and storage</t>
  </si>
  <si>
    <t>AURORA modeling cost output</t>
  </si>
  <si>
    <t>Product</t>
  </si>
  <si>
    <t>Total in 24-25</t>
  </si>
  <si>
    <t>2023 DSS RFP Solar Offers</t>
  </si>
  <si>
    <t>New PSE Owned Community Solar</t>
  </si>
  <si>
    <t>Existing PSE Owned Community Solar</t>
  </si>
  <si>
    <t>Solar Export Rate</t>
  </si>
  <si>
    <t>Residential Rent-to-Own</t>
  </si>
  <si>
    <t>Green Power Solar Grants</t>
  </si>
  <si>
    <t>DEA Solar Pilot</t>
  </si>
  <si>
    <t>2023 DSS RFP Storage Offers</t>
  </si>
  <si>
    <t>Customer Education and Engagement Projected Costs</t>
  </si>
  <si>
    <t>Updated 10/23/23</t>
  </si>
  <si>
    <t>Per Final Order 08, Condition 31, PSE has removed corporate marketing and promotional costs from the CEIP related costs. Appendix E reflects the updated detailed costs under Communication and Education with none of the line items related to marketing and promotional costs.</t>
  </si>
  <si>
    <t>2021 CEIP Estimates</t>
  </si>
  <si>
    <t>General Education and Engagement</t>
  </si>
  <si>
    <t>Focused Education and Engagement</t>
  </si>
  <si>
    <t>Equity Advisory Group Support</t>
  </si>
  <si>
    <t>Work</t>
  </si>
  <si>
    <t>Clean energy educational campaign, multilingual and named community audiences</t>
  </si>
  <si>
    <t>Multilingual transcreation and translation services for clean energy educational materials</t>
  </si>
  <si>
    <t>Interactive education design and/or curriculum development on clean energy</t>
  </si>
  <si>
    <t>Clean energy education community events, multilingual and named community audiences</t>
  </si>
  <si>
    <t>Clean energy awareness message testing and campaign performance measurement</t>
  </si>
  <si>
    <t>Educational video or digital content development</t>
  </si>
  <si>
    <t>Communications personnel</t>
  </si>
  <si>
    <t>Outreach personnel</t>
  </si>
  <si>
    <t>Outreach Peer to Peer Engagement Model Pilot(s)</t>
  </si>
  <si>
    <t>Community Listening, Facilitation, and Outreach Services, especially focused on tribal and community facing language access barriers</t>
  </si>
  <si>
    <t>Event fees and CBO stipends</t>
  </si>
  <si>
    <t>Total General Education and Engagement Estimate</t>
  </si>
  <si>
    <t>Print and digital materials (production, printing, translation)</t>
  </si>
  <si>
    <t>Feedback and inquiry tracking (CRM and data management)</t>
  </si>
  <si>
    <t>Direct engagement (interviews, events, forums, stipends, etc.)</t>
  </si>
  <si>
    <t>Mailers and surveys</t>
  </si>
  <si>
    <t>Total Estimate</t>
  </si>
  <si>
    <t>Facilitation and support</t>
  </si>
  <si>
    <t>Member stipends</t>
  </si>
  <si>
    <t>Miscellaneous (e.g., travel, meals)</t>
  </si>
  <si>
    <t>Administration Costs</t>
  </si>
  <si>
    <t>2021 CEIP Estimate</t>
  </si>
  <si>
    <t>Details</t>
  </si>
  <si>
    <t>Internal Tracking, Preparation of External Reporting
Evaluation of Baseline Measurements of Energy Indicators
Evaluation of Non-Energy Indicators
Data Monitoring for Customer Benefit Indicators
Participation in Policy and Technical Forums</t>
  </si>
  <si>
    <t>DER Empowerment Pilot</t>
  </si>
  <si>
    <t>Startegic and focused engagement</t>
  </si>
  <si>
    <t>Measurement Plan</t>
  </si>
  <si>
    <t>Update based on additional indicators and data</t>
  </si>
  <si>
    <t>Additional Customer Benefit Indicator Research</t>
  </si>
  <si>
    <t>Assumes 2 comprehenzive research efforts</t>
  </si>
  <si>
    <t>Energy Exemplar</t>
  </si>
  <si>
    <t>Payment for AURORA modeling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</si>
</sst>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quot;$&quot;* #,##0_);_(&quot;$&quot;* \(#,##0\);_(&quot;$&quot;* &quot;-&quot;??_);_(@_)"/>
    <numFmt numFmtId="166" formatCode="_(&quot;$&quot;* #,##0.0_);_(&quot;$&quot;* \(#,##0.0\);_(&quot;$&quot;* &quot;-&quot;??_);_(@_)"/>
    <numFmt numFmtId="167" formatCode="_(* #,##0_);_(* \(#,##0\);_(* &quot;-&quot;??_);_(@_)"/>
    <numFmt numFmtId="168" formatCode="0.000000"/>
    <numFmt numFmtId="169" formatCode="_(&quot;$&quot;* #,##0.0000_);_(&quot;$&quot;* \(#,##0.0000\);_(&quot;$&quot;* &quot;-&quot;????_);_(@_)"/>
    <numFmt numFmtId="170" formatCode="&quot;$&quot;#,##0"/>
    <numFmt numFmtId="171" formatCode="_([$$-409]* #,##0_);_([$$-409]* \(#,##0\);_([$$-409]* &quot;-&quot;??_);_(@_)"/>
    <numFmt numFmtId="172" formatCode="&quot;$&quot;#,##0.00"/>
  </numFmts>
  <fonts count="52">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i/>
      <sz val="11"/>
      <color theme="1"/>
      <name val="Calibri"/>
      <family val="2"/>
      <scheme val="minor"/>
    </font>
    <font>
      <sz val="11"/>
      <color rgb="FF0000FF"/>
      <name val="Calibri"/>
      <family val="2"/>
      <scheme val="minor"/>
    </font>
    <font>
      <b/>
      <sz val="11"/>
      <name val="Calibri"/>
      <family val="2"/>
      <scheme val="minor"/>
    </font>
    <font>
      <b/>
      <sz val="11"/>
      <color rgb="FF0000FF"/>
      <name val="Calibri"/>
      <family val="2"/>
      <scheme val="minor"/>
    </font>
    <font>
      <sz val="11"/>
      <color theme="0" tint="-0.34998626667073579"/>
      <name val="Calibri"/>
      <family val="2"/>
      <scheme val="minor"/>
    </font>
    <font>
      <i/>
      <sz val="11"/>
      <color theme="1"/>
      <name val="Calibri"/>
      <family val="2"/>
      <scheme val="minor"/>
    </font>
    <font>
      <sz val="11"/>
      <color rgb="FF000000"/>
      <name val="Calibri"/>
      <family val="2"/>
      <scheme val="minor"/>
    </font>
    <font>
      <sz val="10"/>
      <name val="Arial"/>
      <family val="2"/>
    </font>
    <font>
      <sz val="11"/>
      <name val="univers (E1)"/>
    </font>
    <font>
      <b/>
      <sz val="10"/>
      <name val="Arial"/>
      <family val="2"/>
    </font>
    <font>
      <b/>
      <sz val="10"/>
      <color indexed="8"/>
      <name val="Arial"/>
      <family val="2"/>
    </font>
    <font>
      <i/>
      <sz val="10"/>
      <color indexed="10"/>
      <name val="Arial"/>
      <family val="2"/>
    </font>
    <font>
      <sz val="10"/>
      <color indexed="8"/>
      <name val="Arial"/>
      <family val="2"/>
    </font>
    <font>
      <sz val="10"/>
      <color rgb="FF000000"/>
      <name val="Calibri"/>
      <family val="2"/>
    </font>
    <font>
      <sz val="10"/>
      <color theme="1"/>
      <name val="Arial"/>
      <family val="2"/>
    </font>
    <font>
      <b/>
      <u/>
      <sz val="10"/>
      <color theme="1"/>
      <name val="Arial"/>
      <family val="2"/>
    </font>
    <font>
      <sz val="10"/>
      <color theme="0" tint="-0.34998626667073579"/>
      <name val="Arial"/>
      <family val="2"/>
    </font>
    <font>
      <b/>
      <sz val="10"/>
      <color rgb="FF0000FF"/>
      <name val="Arial"/>
      <family val="2"/>
    </font>
    <font>
      <sz val="10"/>
      <color theme="0" tint="-0.499984740745262"/>
      <name val="Arial"/>
      <family val="2"/>
    </font>
    <font>
      <b/>
      <sz val="10"/>
      <color indexed="9"/>
      <name val="Arial"/>
      <family val="2"/>
    </font>
    <font>
      <sz val="10"/>
      <color theme="0" tint="-0.14999847407452621"/>
      <name val="Arial"/>
      <family val="2"/>
    </font>
    <font>
      <b/>
      <sz val="10"/>
      <color theme="1"/>
      <name val="Arial"/>
      <family val="2"/>
    </font>
    <font>
      <b/>
      <i/>
      <sz val="10"/>
      <color theme="1"/>
      <name val="Arial"/>
      <family val="2"/>
    </font>
    <font>
      <b/>
      <sz val="10"/>
      <color rgb="FFFFFFFF"/>
      <name val="Calibri"/>
      <family val="2"/>
    </font>
    <font>
      <b/>
      <u/>
      <sz val="11"/>
      <color rgb="FF000000"/>
      <name val="Calibri"/>
      <family val="2"/>
      <scheme val="minor"/>
    </font>
    <font>
      <b/>
      <i/>
      <sz val="11"/>
      <color rgb="FF000000"/>
      <name val="Calibri"/>
      <family val="2"/>
      <scheme val="minor"/>
    </font>
    <font>
      <sz val="10"/>
      <color rgb="FF474C55"/>
      <name val="Arial"/>
      <charset val="1"/>
    </font>
    <font>
      <sz val="10"/>
      <color theme="1"/>
      <name val="Arial"/>
    </font>
    <font>
      <i/>
      <sz val="11"/>
      <color rgb="FF000000"/>
      <name val="Calibri"/>
      <family val="2"/>
      <scheme val="minor"/>
    </font>
    <font>
      <sz val="10"/>
      <color rgb="FFFFFFFF"/>
      <name val="Arial"/>
      <charset val="1"/>
    </font>
    <font>
      <b/>
      <sz val="10"/>
      <color rgb="FFFFFFFF"/>
      <name val="Arial"/>
      <charset val="1"/>
    </font>
    <font>
      <b/>
      <sz val="11"/>
      <color rgb="FFFFFFFF"/>
      <name val="Arial"/>
      <family val="2"/>
    </font>
    <font>
      <b/>
      <i/>
      <sz val="12"/>
      <color rgb="FF000000"/>
      <name val="Calibri"/>
      <family val="2"/>
      <scheme val="minor"/>
    </font>
    <font>
      <sz val="12"/>
      <color rgb="FF000000"/>
      <name val="Calibri"/>
      <family val="2"/>
      <scheme val="minor"/>
    </font>
    <font>
      <sz val="12"/>
      <color theme="1"/>
      <name val="Arial"/>
      <family val="2"/>
    </font>
    <font>
      <b/>
      <u/>
      <sz val="11"/>
      <color theme="1"/>
      <name val="Arial"/>
      <family val="2"/>
    </font>
    <font>
      <i/>
      <sz val="10"/>
      <color rgb="FF474C55"/>
      <name val="Arial"/>
      <family val="2"/>
    </font>
    <font>
      <b/>
      <u/>
      <sz val="11"/>
      <color theme="1"/>
      <name val="Arial"/>
    </font>
    <font>
      <sz val="11"/>
      <color rgb="FFFF0000"/>
      <name val="Arial"/>
    </font>
    <font>
      <sz val="11"/>
      <color theme="1"/>
      <name val="Arial"/>
    </font>
    <font>
      <b/>
      <u/>
      <sz val="20"/>
      <color theme="1"/>
      <name val="Arial"/>
    </font>
    <font>
      <b/>
      <sz val="11"/>
      <color rgb="FFFFFFFF"/>
      <name val="Arial"/>
    </font>
    <font>
      <sz val="10"/>
      <color rgb="FF474C55"/>
      <name val="Arial"/>
    </font>
    <font>
      <sz val="11"/>
      <color rgb="FF000000"/>
      <name val="Arial"/>
    </font>
    <font>
      <b/>
      <sz val="12"/>
      <color theme="1"/>
      <name val="Arial"/>
    </font>
    <font>
      <i/>
      <sz val="11"/>
      <color rgb="FF000000"/>
      <name val="Arial"/>
    </font>
    <font>
      <b/>
      <i/>
      <u/>
      <sz val="16"/>
      <color theme="1"/>
      <name val="Arial"/>
    </font>
    <font>
      <b/>
      <sz val="10"/>
      <color rgb="FFFFFFFF"/>
      <name val="Arial"/>
    </font>
  </fonts>
  <fills count="17">
    <fill>
      <patternFill patternType="none"/>
    </fill>
    <fill>
      <patternFill patternType="gray125"/>
    </fill>
    <fill>
      <patternFill patternType="solid">
        <fgColor theme="7"/>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506DE8"/>
        <bgColor indexed="64"/>
      </patternFill>
    </fill>
    <fill>
      <patternFill patternType="solid">
        <fgColor rgb="FFFD6035"/>
        <bgColor indexed="64"/>
      </patternFill>
    </fill>
    <fill>
      <patternFill patternType="solid">
        <fgColor rgb="FFFFE811"/>
        <bgColor indexed="64"/>
      </patternFill>
    </fill>
    <fill>
      <patternFill patternType="solid">
        <fgColor rgb="FFABC785"/>
        <bgColor indexed="64"/>
      </patternFill>
    </fill>
    <fill>
      <patternFill patternType="solid">
        <fgColor rgb="FF005DAA"/>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006671"/>
        <bgColor indexed="64"/>
      </patternFill>
    </fill>
    <fill>
      <patternFill patternType="solid">
        <fgColor theme="2" tint="-9.9978637043366805E-2"/>
        <bgColor indexed="64"/>
      </patternFill>
    </fill>
  </fills>
  <borders count="48">
    <border>
      <left/>
      <right/>
      <top/>
      <bottom/>
      <diagonal/>
    </border>
    <border>
      <left style="medium">
        <color auto="1"/>
      </left>
      <right/>
      <top/>
      <bottom/>
      <diagonal/>
    </border>
    <border>
      <left/>
      <right style="medium">
        <color auto="1"/>
      </right>
      <top/>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right/>
      <top style="double">
        <color auto="1"/>
      </top>
      <bottom/>
      <diagonal/>
    </border>
    <border>
      <left style="medium">
        <color auto="1"/>
      </left>
      <right/>
      <top style="double">
        <color auto="1"/>
      </top>
      <bottom/>
      <diagonal/>
    </border>
    <border>
      <left/>
      <right style="medium">
        <color auto="1"/>
      </right>
      <top style="double">
        <color auto="1"/>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bottom style="hair">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rgb="FFBFBFBF"/>
      </left>
      <right style="medium">
        <color rgb="FFBFBFBF"/>
      </right>
      <top style="medium">
        <color rgb="FFBFBFBF"/>
      </top>
      <bottom style="medium">
        <color rgb="FFBFBFBF"/>
      </bottom>
      <diagonal/>
    </border>
    <border>
      <left style="thin">
        <color auto="1"/>
      </left>
      <right style="thin">
        <color auto="1"/>
      </right>
      <top style="thin">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right/>
      <top style="thin">
        <color rgb="FF000000"/>
      </top>
      <bottom style="thin">
        <color rgb="FF000000"/>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rgb="FF000000"/>
      </bottom>
      <diagonal/>
    </border>
  </borders>
  <cellStyleXfs count="13">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1" fillId="0" borderId="0">
      <alignment horizontal="left" wrapText="1"/>
    </xf>
    <xf numFmtId="0" fontId="11" fillId="0" borderId="0"/>
    <xf numFmtId="4" fontId="12" fillId="0" borderId="0" applyFont="0" applyFill="0" applyBorder="0" applyAlignment="0" applyProtection="0"/>
    <xf numFmtId="9" fontId="17" fillId="0" borderId="21">
      <alignment horizontal="right" vertical="center" wrapText="1" readingOrder="1"/>
    </xf>
    <xf numFmtId="49" fontId="17" fillId="0" borderId="22">
      <alignment horizontal="left" vertical="center" wrapText="1" readingOrder="1"/>
    </xf>
    <xf numFmtId="49" fontId="27" fillId="11" borderId="22">
      <alignment horizontal="center" vertical="center" wrapText="1" readingOrder="1"/>
    </xf>
    <xf numFmtId="4" fontId="17" fillId="0" borderId="22">
      <alignment horizontal="right" vertical="center" wrapText="1" readingOrder="1"/>
    </xf>
    <xf numFmtId="43" fontId="1" fillId="0" borderId="0" applyFont="0" applyFill="0" applyBorder="0" applyAlignment="0" applyProtection="0"/>
    <xf numFmtId="168" fontId="11" fillId="0" borderId="0">
      <alignment horizontal="left" wrapText="1"/>
    </xf>
  </cellStyleXfs>
  <cellXfs count="294">
    <xf numFmtId="0" fontId="0" fillId="0" borderId="0" xfId="0"/>
    <xf numFmtId="0" fontId="3" fillId="0" borderId="0" xfId="0" applyFont="1"/>
    <xf numFmtId="15" fontId="0" fillId="0" borderId="0" xfId="0" applyNumberFormat="1"/>
    <xf numFmtId="0" fontId="0" fillId="0" borderId="1" xfId="0" applyBorder="1"/>
    <xf numFmtId="0" fontId="0" fillId="0" borderId="2" xfId="0" applyBorder="1"/>
    <xf numFmtId="0" fontId="2" fillId="0" borderId="1" xfId="0" applyFont="1" applyBorder="1"/>
    <xf numFmtId="0" fontId="2" fillId="0" borderId="0" xfId="0" applyFont="1"/>
    <xf numFmtId="0" fontId="2" fillId="0" borderId="2" xfId="0" applyFont="1" applyBorder="1"/>
    <xf numFmtId="0" fontId="4" fillId="0" borderId="0" xfId="0" applyFont="1"/>
    <xf numFmtId="164" fontId="0" fillId="2" borderId="1" xfId="0" applyNumberFormat="1" applyFill="1" applyBorder="1"/>
    <xf numFmtId="164" fontId="0" fillId="2" borderId="0" xfId="0" applyNumberFormat="1" applyFill="1"/>
    <xf numFmtId="164" fontId="0" fillId="2" borderId="2" xfId="0" applyNumberFormat="1" applyFill="1" applyBorder="1"/>
    <xf numFmtId="0" fontId="0" fillId="2" borderId="0" xfId="0" applyFill="1"/>
    <xf numFmtId="0" fontId="4" fillId="3" borderId="0" xfId="0" applyFont="1" applyFill="1"/>
    <xf numFmtId="0" fontId="0" fillId="3" borderId="0" xfId="0" applyFill="1"/>
    <xf numFmtId="0" fontId="0" fillId="3" borderId="1" xfId="0" applyFill="1" applyBorder="1"/>
    <xf numFmtId="0" fontId="0" fillId="3" borderId="2" xfId="0" applyFill="1" applyBorder="1"/>
    <xf numFmtId="165" fontId="0" fillId="0" borderId="0" xfId="1" applyNumberFormat="1" applyFont="1"/>
    <xf numFmtId="165" fontId="0" fillId="2" borderId="1" xfId="1" applyNumberFormat="1" applyFont="1" applyFill="1" applyBorder="1"/>
    <xf numFmtId="165" fontId="0" fillId="2" borderId="0" xfId="1" applyNumberFormat="1" applyFont="1" applyFill="1" applyBorder="1"/>
    <xf numFmtId="165" fontId="0" fillId="2" borderId="2" xfId="1" applyNumberFormat="1" applyFont="1" applyFill="1" applyBorder="1"/>
    <xf numFmtId="165" fontId="0" fillId="2" borderId="0" xfId="1" applyNumberFormat="1" applyFont="1" applyFill="1"/>
    <xf numFmtId="165" fontId="0" fillId="0" borderId="1" xfId="1" applyNumberFormat="1" applyFont="1" applyBorder="1"/>
    <xf numFmtId="165" fontId="0" fillId="0" borderId="0" xfId="1" applyNumberFormat="1" applyFont="1" applyBorder="1"/>
    <xf numFmtId="165" fontId="0" fillId="0" borderId="2" xfId="1" applyNumberFormat="1" applyFont="1" applyBorder="1"/>
    <xf numFmtId="0" fontId="0" fillId="0" borderId="3" xfId="0" applyBorder="1"/>
    <xf numFmtId="165" fontId="0" fillId="0" borderId="3" xfId="1" applyNumberFormat="1" applyFont="1" applyBorder="1"/>
    <xf numFmtId="165" fontId="0" fillId="0" borderId="4" xfId="1" applyNumberFormat="1" applyFont="1" applyBorder="1"/>
    <xf numFmtId="165" fontId="0" fillId="0" borderId="5" xfId="1" applyNumberFormat="1" applyFont="1" applyBorder="1"/>
    <xf numFmtId="166" fontId="0" fillId="0" borderId="6" xfId="0" applyNumberFormat="1" applyBorder="1"/>
    <xf numFmtId="166" fontId="0" fillId="0" borderId="7" xfId="0" applyNumberFormat="1" applyBorder="1"/>
    <xf numFmtId="166" fontId="0" fillId="0" borderId="8" xfId="0" applyNumberFormat="1" applyBorder="1"/>
    <xf numFmtId="166" fontId="0" fillId="0" borderId="1" xfId="0" applyNumberFormat="1" applyBorder="1"/>
    <xf numFmtId="0" fontId="4" fillId="0" borderId="9" xfId="0" applyFont="1" applyBorder="1"/>
    <xf numFmtId="0" fontId="0" fillId="0" borderId="9" xfId="0" applyBorder="1"/>
    <xf numFmtId="165" fontId="0" fillId="0" borderId="10" xfId="0" applyNumberFormat="1" applyBorder="1"/>
    <xf numFmtId="165" fontId="0" fillId="0" borderId="9" xfId="0" applyNumberFormat="1" applyBorder="1"/>
    <xf numFmtId="165" fontId="0" fillId="0" borderId="11" xfId="0" applyNumberFormat="1" applyBorder="1"/>
    <xf numFmtId="166" fontId="0" fillId="0" borderId="0" xfId="1" applyNumberFormat="1" applyFont="1"/>
    <xf numFmtId="166" fontId="0" fillId="2" borderId="1" xfId="1" applyNumberFormat="1" applyFont="1" applyFill="1" applyBorder="1"/>
    <xf numFmtId="166" fontId="0" fillId="2" borderId="0" xfId="1" applyNumberFormat="1" applyFont="1" applyFill="1" applyBorder="1"/>
    <xf numFmtId="166" fontId="0" fillId="2" borderId="2" xfId="1" applyNumberFormat="1" applyFont="1" applyFill="1" applyBorder="1"/>
    <xf numFmtId="166" fontId="0" fillId="0" borderId="1" xfId="1" applyNumberFormat="1" applyFont="1" applyBorder="1"/>
    <xf numFmtId="166" fontId="0" fillId="0" borderId="0" xfId="1" applyNumberFormat="1" applyFont="1" applyBorder="1"/>
    <xf numFmtId="166" fontId="0" fillId="0" borderId="2" xfId="1" applyNumberFormat="1" applyFont="1" applyBorder="1"/>
    <xf numFmtId="166" fontId="0" fillId="0" borderId="10" xfId="0" applyNumberFormat="1" applyBorder="1"/>
    <xf numFmtId="166" fontId="0" fillId="0" borderId="9" xfId="0" applyNumberFormat="1" applyBorder="1"/>
    <xf numFmtId="166" fontId="0" fillId="0" borderId="11" xfId="0" applyNumberFormat="1" applyBorder="1"/>
    <xf numFmtId="165" fontId="0" fillId="0" borderId="0" xfId="0" applyNumberFormat="1"/>
    <xf numFmtId="165" fontId="5" fillId="4" borderId="0" xfId="0" applyNumberFormat="1" applyFont="1" applyFill="1" applyAlignment="1">
      <alignment horizontal="center"/>
    </xf>
    <xf numFmtId="0" fontId="0" fillId="4" borderId="0" xfId="0" applyFill="1"/>
    <xf numFmtId="0" fontId="0" fillId="4" borderId="0" xfId="0" applyFill="1" applyAlignment="1">
      <alignment horizontal="center"/>
    </xf>
    <xf numFmtId="0" fontId="2" fillId="4" borderId="0" xfId="0" applyFont="1" applyFill="1" applyAlignment="1">
      <alignment horizontal="center"/>
    </xf>
    <xf numFmtId="0" fontId="2" fillId="4" borderId="0" xfId="0" applyFont="1" applyFill="1"/>
    <xf numFmtId="0" fontId="2" fillId="4" borderId="0" xfId="0" applyFont="1" applyFill="1" applyAlignment="1">
      <alignment horizontal="center" wrapText="1"/>
    </xf>
    <xf numFmtId="0" fontId="4" fillId="4" borderId="0" xfId="0" applyFont="1" applyFill="1" applyAlignment="1">
      <alignment horizontal="left"/>
    </xf>
    <xf numFmtId="0" fontId="0" fillId="4" borderId="0" xfId="0" applyFill="1" applyAlignment="1">
      <alignment horizontal="left"/>
    </xf>
    <xf numFmtId="165" fontId="2" fillId="4" borderId="0" xfId="1" applyNumberFormat="1" applyFont="1" applyFill="1" applyAlignment="1">
      <alignment horizontal="center"/>
    </xf>
    <xf numFmtId="165" fontId="2" fillId="4" borderId="0" xfId="0" applyNumberFormat="1" applyFont="1" applyFill="1"/>
    <xf numFmtId="165" fontId="0" fillId="4" borderId="0" xfId="1" applyNumberFormat="1" applyFont="1" applyFill="1" applyAlignment="1">
      <alignment horizontal="center"/>
    </xf>
    <xf numFmtId="165" fontId="0" fillId="4" borderId="0" xfId="0" applyNumberFormat="1" applyFill="1"/>
    <xf numFmtId="0" fontId="2" fillId="4" borderId="0" xfId="0" applyFont="1" applyFill="1" applyAlignment="1">
      <alignment horizontal="right"/>
    </xf>
    <xf numFmtId="0" fontId="0" fillId="4" borderId="0" xfId="0" applyFill="1" applyAlignment="1">
      <alignment horizontal="right"/>
    </xf>
    <xf numFmtId="165" fontId="0" fillId="4" borderId="0" xfId="0" applyNumberFormat="1" applyFill="1" applyAlignment="1">
      <alignment horizontal="center"/>
    </xf>
    <xf numFmtId="165" fontId="6" fillId="4" borderId="0" xfId="0" applyNumberFormat="1" applyFont="1" applyFill="1" applyAlignment="1">
      <alignment horizontal="center"/>
    </xf>
    <xf numFmtId="165" fontId="0" fillId="4" borderId="0" xfId="1" applyNumberFormat="1" applyFont="1" applyFill="1"/>
    <xf numFmtId="0" fontId="4" fillId="4" borderId="0" xfId="0" applyFont="1" applyFill="1"/>
    <xf numFmtId="9" fontId="5" fillId="4" borderId="0" xfId="0" applyNumberFormat="1" applyFont="1" applyFill="1" applyAlignment="1">
      <alignment horizontal="center"/>
    </xf>
    <xf numFmtId="165" fontId="2" fillId="4" borderId="0" xfId="0" applyNumberFormat="1" applyFont="1" applyFill="1" applyAlignment="1">
      <alignment horizontal="center"/>
    </xf>
    <xf numFmtId="165" fontId="7" fillId="4" borderId="0" xfId="0" applyNumberFormat="1" applyFont="1" applyFill="1" applyAlignment="1">
      <alignment horizontal="center"/>
    </xf>
    <xf numFmtId="165" fontId="7" fillId="4" borderId="0" xfId="1" applyNumberFormat="1" applyFont="1" applyFill="1" applyAlignment="1">
      <alignment horizontal="center"/>
    </xf>
    <xf numFmtId="0" fontId="2" fillId="4" borderId="12" xfId="0" applyFont="1" applyFill="1" applyBorder="1"/>
    <xf numFmtId="0" fontId="0" fillId="4" borderId="12" xfId="0" applyFill="1" applyBorder="1"/>
    <xf numFmtId="0" fontId="0" fillId="4" borderId="12" xfId="0" applyFill="1" applyBorder="1" applyAlignment="1">
      <alignment horizontal="center"/>
    </xf>
    <xf numFmtId="0" fontId="2" fillId="4" borderId="12" xfId="0" applyFont="1" applyFill="1" applyBorder="1" applyAlignment="1">
      <alignment horizontal="center"/>
    </xf>
    <xf numFmtId="165" fontId="6" fillId="4" borderId="12" xfId="0" applyNumberFormat="1" applyFont="1" applyFill="1" applyBorder="1" applyAlignment="1">
      <alignment horizontal="center"/>
    </xf>
    <xf numFmtId="9" fontId="0" fillId="0" borderId="0" xfId="0" applyNumberFormat="1"/>
    <xf numFmtId="10" fontId="0" fillId="0" borderId="0" xfId="0" applyNumberFormat="1"/>
    <xf numFmtId="9" fontId="0" fillId="0" borderId="0" xfId="2" applyFont="1"/>
    <xf numFmtId="44" fontId="0" fillId="0" borderId="0" xfId="0" applyNumberFormat="1"/>
    <xf numFmtId="0" fontId="0" fillId="5" borderId="0" xfId="0" applyFill="1"/>
    <xf numFmtId="167" fontId="0" fillId="0" borderId="0" xfId="3" applyNumberFormat="1" applyFont="1"/>
    <xf numFmtId="43" fontId="0" fillId="0" borderId="0" xfId="3" applyFont="1"/>
    <xf numFmtId="44" fontId="0" fillId="0" borderId="0" xfId="1" applyFont="1"/>
    <xf numFmtId="165" fontId="8" fillId="0" borderId="0" xfId="0" applyNumberFormat="1" applyFont="1"/>
    <xf numFmtId="165" fontId="8" fillId="0" borderId="0" xfId="1" applyNumberFormat="1" applyFont="1"/>
    <xf numFmtId="0" fontId="9" fillId="0" borderId="0" xfId="0" applyFont="1" applyAlignment="1">
      <alignment horizontal="right"/>
    </xf>
    <xf numFmtId="0" fontId="2" fillId="0" borderId="0" xfId="0" applyFont="1" applyAlignment="1">
      <alignment horizontal="center" wrapText="1"/>
    </xf>
    <xf numFmtId="0" fontId="0" fillId="0" borderId="15" xfId="0" applyBorder="1"/>
    <xf numFmtId="165" fontId="0" fillId="0" borderId="15" xfId="0" applyNumberFormat="1" applyBorder="1"/>
    <xf numFmtId="0" fontId="0" fillId="0" borderId="16" xfId="0" applyBorder="1"/>
    <xf numFmtId="165" fontId="0" fillId="0" borderId="16" xfId="0" applyNumberFormat="1" applyBorder="1"/>
    <xf numFmtId="0" fontId="9" fillId="0" borderId="17" xfId="0" applyFont="1" applyBorder="1" applyAlignment="1">
      <alignment horizontal="right"/>
    </xf>
    <xf numFmtId="9" fontId="9" fillId="0" borderId="17" xfId="2" applyFont="1" applyBorder="1"/>
    <xf numFmtId="9" fontId="9" fillId="0" borderId="17" xfId="0" applyNumberFormat="1" applyFont="1" applyBorder="1"/>
    <xf numFmtId="0" fontId="3" fillId="5" borderId="0" xfId="0" applyFont="1" applyFill="1"/>
    <xf numFmtId="6" fontId="0" fillId="0" borderId="0" xfId="0" applyNumberFormat="1"/>
    <xf numFmtId="6" fontId="0" fillId="0" borderId="0" xfId="0" quotePrefix="1" applyNumberFormat="1"/>
    <xf numFmtId="167" fontId="0" fillId="0" borderId="0" xfId="0" applyNumberFormat="1"/>
    <xf numFmtId="3" fontId="0" fillId="0" borderId="0" xfId="0" applyNumberFormat="1"/>
    <xf numFmtId="3" fontId="10" fillId="0" borderId="0" xfId="0" applyNumberFormat="1" applyFont="1"/>
    <xf numFmtId="167" fontId="11" fillId="0" borderId="0" xfId="3" applyNumberFormat="1" applyFont="1" applyFill="1" applyBorder="1" applyProtection="1"/>
    <xf numFmtId="0" fontId="13" fillId="0" borderId="12" xfId="0" applyFont="1" applyBorder="1"/>
    <xf numFmtId="167" fontId="14" fillId="0" borderId="14" xfId="3" applyNumberFormat="1" applyFont="1" applyBorder="1" applyProtection="1"/>
    <xf numFmtId="0" fontId="15" fillId="0" borderId="0" xfId="0" applyFont="1"/>
    <xf numFmtId="42" fontId="15" fillId="0" borderId="0" xfId="0" applyNumberFormat="1" applyFont="1"/>
    <xf numFmtId="0" fontId="13" fillId="0" borderId="14" xfId="0" applyFont="1" applyBorder="1"/>
    <xf numFmtId="167" fontId="16" fillId="0" borderId="14" xfId="3" applyNumberFormat="1" applyFont="1" applyFill="1" applyBorder="1" applyProtection="1"/>
    <xf numFmtId="167" fontId="16" fillId="0" borderId="14" xfId="3" applyNumberFormat="1" applyFont="1" applyBorder="1" applyProtection="1"/>
    <xf numFmtId="0" fontId="18" fillId="0" borderId="0" xfId="0" applyFont="1"/>
    <xf numFmtId="0" fontId="19" fillId="0" borderId="0" xfId="0" applyFont="1"/>
    <xf numFmtId="0" fontId="18" fillId="0" borderId="0" xfId="0" applyFont="1" applyAlignment="1">
      <alignment horizontal="left" wrapText="1"/>
    </xf>
    <xf numFmtId="0" fontId="20" fillId="0" borderId="0" xfId="0" applyFont="1"/>
    <xf numFmtId="0" fontId="18" fillId="0" borderId="0" xfId="0" applyFont="1" applyAlignment="1">
      <alignment horizontal="center"/>
    </xf>
    <xf numFmtId="167" fontId="18" fillId="0" borderId="14" xfId="3" applyNumberFormat="1" applyFont="1" applyBorder="1"/>
    <xf numFmtId="167" fontId="22" fillId="0" borderId="0" xfId="3" applyNumberFormat="1" applyFont="1"/>
    <xf numFmtId="167" fontId="18" fillId="0" borderId="0" xfId="3" applyNumberFormat="1" applyFont="1"/>
    <xf numFmtId="167" fontId="18" fillId="0" borderId="0" xfId="0" applyNumberFormat="1" applyFont="1"/>
    <xf numFmtId="3" fontId="13" fillId="7" borderId="16" xfId="0" applyNumberFormat="1" applyFont="1" applyFill="1" applyBorder="1"/>
    <xf numFmtId="167" fontId="24" fillId="0" borderId="0" xfId="3" applyNumberFormat="1" applyFont="1" applyBorder="1"/>
    <xf numFmtId="43" fontId="18" fillId="0" borderId="0" xfId="0" applyNumberFormat="1" applyFont="1"/>
    <xf numFmtId="170" fontId="18" fillId="0" borderId="0" xfId="0" applyNumberFormat="1" applyFont="1"/>
    <xf numFmtId="167" fontId="18" fillId="0" borderId="14" xfId="3" applyNumberFormat="1" applyFont="1" applyFill="1" applyBorder="1" applyProtection="1"/>
    <xf numFmtId="167" fontId="18" fillId="0" borderId="14" xfId="0" applyNumberFormat="1" applyFont="1" applyBorder="1"/>
    <xf numFmtId="167" fontId="18" fillId="0" borderId="12" xfId="0" applyNumberFormat="1" applyFont="1" applyBorder="1"/>
    <xf numFmtId="170" fontId="18" fillId="0" borderId="12" xfId="0" applyNumberFormat="1" applyFont="1" applyBorder="1"/>
    <xf numFmtId="0" fontId="23" fillId="8" borderId="12" xfId="0" applyFont="1" applyFill="1" applyBorder="1"/>
    <xf numFmtId="0" fontId="23" fillId="8" borderId="3" xfId="0" applyFont="1" applyFill="1" applyBorder="1"/>
    <xf numFmtId="0" fontId="18" fillId="0" borderId="14" xfId="0" applyFont="1" applyBorder="1"/>
    <xf numFmtId="167" fontId="18" fillId="0" borderId="13" xfId="0" applyNumberFormat="1" applyFont="1" applyBorder="1"/>
    <xf numFmtId="170" fontId="18" fillId="0" borderId="13" xfId="0" applyNumberFormat="1" applyFont="1" applyBorder="1"/>
    <xf numFmtId="0" fontId="24" fillId="0" borderId="0" xfId="0" applyFont="1"/>
    <xf numFmtId="170" fontId="24" fillId="0" borderId="0" xfId="0" applyNumberFormat="1" applyFont="1"/>
    <xf numFmtId="167" fontId="24" fillId="0" borderId="0" xfId="3" applyNumberFormat="1" applyFont="1"/>
    <xf numFmtId="0" fontId="13" fillId="0" borderId="0" xfId="0" applyFont="1" applyAlignment="1">
      <alignment vertical="top" wrapText="1"/>
    </xf>
    <xf numFmtId="0" fontId="18" fillId="0" borderId="0" xfId="0" applyFont="1" applyAlignment="1">
      <alignment horizontal="right"/>
    </xf>
    <xf numFmtId="0" fontId="18" fillId="0" borderId="0" xfId="0" applyFont="1" applyAlignment="1">
      <alignment horizontal="right" wrapText="1"/>
    </xf>
    <xf numFmtId="165" fontId="18" fillId="0" borderId="0" xfId="1" applyNumberFormat="1" applyFont="1" applyFill="1"/>
    <xf numFmtId="0" fontId="25" fillId="0" borderId="0" xfId="0" applyFont="1"/>
    <xf numFmtId="0" fontId="18" fillId="4" borderId="0" xfId="0" applyFont="1" applyFill="1"/>
    <xf numFmtId="0" fontId="25" fillId="4" borderId="0" xfId="0" applyFont="1" applyFill="1" applyAlignment="1">
      <alignment horizontal="center"/>
    </xf>
    <xf numFmtId="0" fontId="25" fillId="4" borderId="0" xfId="0" applyFont="1" applyFill="1"/>
    <xf numFmtId="0" fontId="26" fillId="4" borderId="0" xfId="0" applyFont="1" applyFill="1" applyAlignment="1">
      <alignment horizontal="left"/>
    </xf>
    <xf numFmtId="44" fontId="18" fillId="4" borderId="0" xfId="1" applyFont="1" applyFill="1"/>
    <xf numFmtId="0" fontId="25" fillId="4" borderId="0" xfId="0" applyFont="1" applyFill="1" applyAlignment="1">
      <alignment horizontal="right"/>
    </xf>
    <xf numFmtId="0" fontId="25" fillId="4" borderId="12" xfId="0" applyFont="1" applyFill="1" applyBorder="1"/>
    <xf numFmtId="165" fontId="18" fillId="4" borderId="12" xfId="1" applyNumberFormat="1" applyFont="1" applyFill="1" applyBorder="1" applyAlignment="1">
      <alignment horizontal="center"/>
    </xf>
    <xf numFmtId="0" fontId="25" fillId="4" borderId="19" xfId="0" applyFont="1" applyFill="1" applyBorder="1"/>
    <xf numFmtId="165" fontId="18" fillId="4" borderId="19" xfId="0" applyNumberFormat="1" applyFont="1" applyFill="1" applyBorder="1"/>
    <xf numFmtId="0" fontId="18" fillId="4" borderId="3" xfId="0" applyFont="1" applyFill="1" applyBorder="1"/>
    <xf numFmtId="0" fontId="18" fillId="4" borderId="0" xfId="0" applyFont="1" applyFill="1" applyAlignment="1">
      <alignment horizontal="center"/>
    </xf>
    <xf numFmtId="0" fontId="11" fillId="0" borderId="0" xfId="0" applyFont="1" applyAlignment="1">
      <alignment horizontal="right"/>
    </xf>
    <xf numFmtId="170" fontId="11" fillId="0" borderId="0" xfId="3" applyNumberFormat="1" applyFont="1"/>
    <xf numFmtId="167" fontId="18" fillId="0" borderId="0" xfId="3" applyNumberFormat="1" applyFont="1" applyFill="1" applyBorder="1" applyProtection="1"/>
    <xf numFmtId="167" fontId="14" fillId="0" borderId="0" xfId="1" applyNumberFormat="1" applyFont="1" applyFill="1" applyBorder="1" applyProtection="1"/>
    <xf numFmtId="167" fontId="14" fillId="8" borderId="12" xfId="0" applyNumberFormat="1" applyFont="1" applyFill="1" applyBorder="1"/>
    <xf numFmtId="167" fontId="0" fillId="0" borderId="0" xfId="3" applyNumberFormat="1" applyFont="1" applyFill="1" applyBorder="1"/>
    <xf numFmtId="0" fontId="18" fillId="0" borderId="0" xfId="0" applyFont="1" applyAlignment="1">
      <alignment wrapText="1"/>
    </xf>
    <xf numFmtId="0" fontId="25" fillId="0" borderId="12" xfId="0" applyFont="1" applyBorder="1"/>
    <xf numFmtId="167" fontId="22" fillId="0" borderId="0" xfId="3" applyNumberFormat="1" applyFont="1" applyBorder="1"/>
    <xf numFmtId="0" fontId="23" fillId="7" borderId="16" xfId="0" applyFont="1" applyFill="1" applyBorder="1"/>
    <xf numFmtId="42" fontId="13" fillId="7" borderId="16" xfId="0" applyNumberFormat="1" applyFont="1" applyFill="1" applyBorder="1"/>
    <xf numFmtId="167" fontId="16" fillId="0" borderId="0" xfId="3" applyNumberFormat="1" applyFont="1" applyFill="1" applyBorder="1" applyProtection="1"/>
    <xf numFmtId="0" fontId="13" fillId="9" borderId="3" xfId="0" applyFont="1" applyFill="1" applyBorder="1"/>
    <xf numFmtId="167" fontId="14" fillId="9" borderId="3" xfId="0" applyNumberFormat="1" applyFont="1" applyFill="1" applyBorder="1"/>
    <xf numFmtId="0" fontId="13" fillId="10" borderId="3" xfId="0" applyFont="1" applyFill="1" applyBorder="1"/>
    <xf numFmtId="167" fontId="14" fillId="10" borderId="3" xfId="0" applyNumberFormat="1" applyFont="1" applyFill="1" applyBorder="1"/>
    <xf numFmtId="0" fontId="18" fillId="6" borderId="0" xfId="0" applyFont="1" applyFill="1"/>
    <xf numFmtId="170" fontId="18" fillId="0" borderId="0" xfId="3" applyNumberFormat="1" applyFont="1" applyFill="1" applyBorder="1" applyProtection="1"/>
    <xf numFmtId="170" fontId="18" fillId="0" borderId="0" xfId="1" applyNumberFormat="1" applyFont="1" applyFill="1" applyBorder="1" applyProtection="1"/>
    <xf numFmtId="170" fontId="18" fillId="0" borderId="14" xfId="3" applyNumberFormat="1" applyFont="1" applyFill="1" applyBorder="1" applyProtection="1"/>
    <xf numFmtId="170" fontId="14" fillId="0" borderId="14" xfId="3" applyNumberFormat="1" applyFont="1" applyBorder="1" applyProtection="1"/>
    <xf numFmtId="170" fontId="15" fillId="0" borderId="0" xfId="0" applyNumberFormat="1" applyFont="1"/>
    <xf numFmtId="170" fontId="14" fillId="8" borderId="12" xfId="0" applyNumberFormat="1" applyFont="1" applyFill="1" applyBorder="1"/>
    <xf numFmtId="170" fontId="11" fillId="0" borderId="0" xfId="3" applyNumberFormat="1" applyFont="1" applyFill="1" applyBorder="1" applyProtection="1"/>
    <xf numFmtId="170" fontId="16" fillId="0" borderId="20" xfId="1" applyNumberFormat="1" applyFont="1" applyFill="1" applyBorder="1" applyProtection="1"/>
    <xf numFmtId="170" fontId="14" fillId="9" borderId="3" xfId="0" applyNumberFormat="1" applyFont="1" applyFill="1" applyBorder="1"/>
    <xf numFmtId="170" fontId="16" fillId="0" borderId="0" xfId="1" applyNumberFormat="1" applyFont="1" applyFill="1" applyBorder="1" applyProtection="1"/>
    <xf numFmtId="170" fontId="16" fillId="0" borderId="14" xfId="1" applyNumberFormat="1" applyFont="1" applyFill="1" applyBorder="1" applyProtection="1"/>
    <xf numFmtId="170" fontId="14" fillId="10" borderId="3" xfId="0" applyNumberFormat="1" applyFont="1" applyFill="1" applyBorder="1"/>
    <xf numFmtId="170" fontId="16" fillId="0" borderId="14" xfId="1" applyNumberFormat="1" applyFont="1" applyBorder="1" applyProtection="1"/>
    <xf numFmtId="170" fontId="18" fillId="0" borderId="14" xfId="0" applyNumberFormat="1" applyFont="1" applyBorder="1"/>
    <xf numFmtId="165" fontId="25" fillId="6" borderId="12" xfId="1" applyNumberFormat="1" applyFont="1" applyFill="1" applyBorder="1" applyAlignment="1">
      <alignment horizontal="center"/>
    </xf>
    <xf numFmtId="165" fontId="25" fillId="6" borderId="12" xfId="0" applyNumberFormat="1" applyFont="1" applyFill="1" applyBorder="1"/>
    <xf numFmtId="165" fontId="25" fillId="5" borderId="12" xfId="0" applyNumberFormat="1" applyFont="1" applyFill="1" applyBorder="1"/>
    <xf numFmtId="165" fontId="25" fillId="5" borderId="12" xfId="0" applyNumberFormat="1" applyFont="1" applyFill="1" applyBorder="1" applyAlignment="1">
      <alignment horizontal="center"/>
    </xf>
    <xf numFmtId="0" fontId="25" fillId="12" borderId="12" xfId="0" applyFont="1" applyFill="1" applyBorder="1"/>
    <xf numFmtId="165" fontId="13" fillId="12" borderId="12" xfId="0" applyNumberFormat="1" applyFont="1" applyFill="1" applyBorder="1" applyAlignment="1">
      <alignment horizontal="center"/>
    </xf>
    <xf numFmtId="165" fontId="18" fillId="4" borderId="0" xfId="0" applyNumberFormat="1" applyFont="1" applyFill="1"/>
    <xf numFmtId="0" fontId="26" fillId="4" borderId="14" xfId="0" applyFont="1" applyFill="1" applyBorder="1"/>
    <xf numFmtId="165" fontId="25" fillId="0" borderId="12" xfId="0" applyNumberFormat="1" applyFont="1" applyBorder="1"/>
    <xf numFmtId="165" fontId="25" fillId="0" borderId="12" xfId="0" applyNumberFormat="1" applyFont="1" applyBorder="1" applyAlignment="1">
      <alignment horizontal="center"/>
    </xf>
    <xf numFmtId="0" fontId="25" fillId="0" borderId="12" xfId="0" applyFont="1" applyBorder="1" applyAlignment="1">
      <alignment horizontal="center"/>
    </xf>
    <xf numFmtId="0" fontId="18" fillId="12" borderId="0" xfId="0" applyFont="1" applyFill="1"/>
    <xf numFmtId="170" fontId="18" fillId="12" borderId="0" xfId="0" applyNumberFormat="1" applyFont="1" applyFill="1"/>
    <xf numFmtId="165" fontId="25" fillId="4" borderId="12" xfId="0" applyNumberFormat="1" applyFont="1" applyFill="1" applyBorder="1"/>
    <xf numFmtId="0" fontId="25" fillId="4" borderId="12" xfId="0" applyFont="1" applyFill="1" applyBorder="1" applyAlignment="1">
      <alignment horizontal="center"/>
    </xf>
    <xf numFmtId="0" fontId="25" fillId="4" borderId="19" xfId="0" applyFont="1" applyFill="1" applyBorder="1" applyAlignment="1">
      <alignment horizontal="center"/>
    </xf>
    <xf numFmtId="0" fontId="28" fillId="0" borderId="0" xfId="0" applyFont="1"/>
    <xf numFmtId="0" fontId="10" fillId="0" borderId="0" xfId="0" applyFont="1"/>
    <xf numFmtId="0" fontId="29" fillId="0" borderId="0" xfId="0" applyFont="1"/>
    <xf numFmtId="0" fontId="10" fillId="0" borderId="28" xfId="0" applyFont="1" applyBorder="1"/>
    <xf numFmtId="0" fontId="10" fillId="0" borderId="28" xfId="0" applyFont="1" applyBorder="1" applyAlignment="1">
      <alignment wrapText="1"/>
    </xf>
    <xf numFmtId="0" fontId="10" fillId="0" borderId="30" xfId="0" applyFont="1" applyBorder="1"/>
    <xf numFmtId="6" fontId="10" fillId="0" borderId="31" xfId="0" applyNumberFormat="1" applyFont="1" applyBorder="1"/>
    <xf numFmtId="6" fontId="10" fillId="0" borderId="29" xfId="0" applyNumberFormat="1" applyFont="1" applyBorder="1"/>
    <xf numFmtId="6" fontId="10" fillId="0" borderId="0" xfId="0" applyNumberFormat="1" applyFont="1"/>
    <xf numFmtId="0" fontId="25" fillId="0" borderId="13" xfId="0" applyFont="1" applyBorder="1"/>
    <xf numFmtId="6" fontId="18" fillId="0" borderId="13" xfId="0" applyNumberFormat="1" applyFont="1" applyBorder="1"/>
    <xf numFmtId="0" fontId="25" fillId="13" borderId="0" xfId="0" applyFont="1" applyFill="1"/>
    <xf numFmtId="165" fontId="18" fillId="14" borderId="12" xfId="1" applyNumberFormat="1" applyFont="1" applyFill="1" applyBorder="1" applyAlignment="1">
      <alignment horizontal="center"/>
    </xf>
    <xf numFmtId="165" fontId="18" fillId="14" borderId="19" xfId="0" applyNumberFormat="1" applyFont="1" applyFill="1" applyBorder="1"/>
    <xf numFmtId="0" fontId="10" fillId="0" borderId="32" xfId="0" applyFont="1" applyBorder="1"/>
    <xf numFmtId="6" fontId="10" fillId="0" borderId="33" xfId="0" applyNumberFormat="1" applyFont="1" applyBorder="1"/>
    <xf numFmtId="165" fontId="18" fillId="0" borderId="12" xfId="1" applyNumberFormat="1" applyFont="1" applyFill="1" applyBorder="1" applyAlignment="1">
      <alignment horizontal="center"/>
    </xf>
    <xf numFmtId="6" fontId="10" fillId="4" borderId="33" xfId="0" applyNumberFormat="1" applyFont="1" applyFill="1" applyBorder="1"/>
    <xf numFmtId="0" fontId="0" fillId="0" borderId="26" xfId="0" applyBorder="1"/>
    <xf numFmtId="6" fontId="0" fillId="0" borderId="27" xfId="0" applyNumberFormat="1" applyBorder="1"/>
    <xf numFmtId="0" fontId="0" fillId="0" borderId="28" xfId="0" applyBorder="1"/>
    <xf numFmtId="6" fontId="0" fillId="0" borderId="29" xfId="0" applyNumberFormat="1" applyBorder="1"/>
    <xf numFmtId="0" fontId="10" fillId="0" borderId="0" xfId="0" applyFont="1" applyAlignment="1">
      <alignment wrapText="1"/>
    </xf>
    <xf numFmtId="0" fontId="32" fillId="0" borderId="0" xfId="0" applyFont="1" applyAlignment="1">
      <alignment wrapText="1"/>
    </xf>
    <xf numFmtId="0" fontId="34" fillId="15" borderId="35" xfId="0" applyFont="1" applyFill="1" applyBorder="1" applyAlignment="1">
      <alignment wrapText="1"/>
    </xf>
    <xf numFmtId="0" fontId="34" fillId="15" borderId="36" xfId="0" applyFont="1" applyFill="1" applyBorder="1" applyAlignment="1">
      <alignment wrapText="1"/>
    </xf>
    <xf numFmtId="0" fontId="34" fillId="15" borderId="37" xfId="0" applyFont="1" applyFill="1" applyBorder="1" applyAlignment="1">
      <alignment wrapText="1"/>
    </xf>
    <xf numFmtId="0" fontId="30" fillId="0" borderId="38" xfId="0" applyFont="1" applyBorder="1" applyAlignment="1">
      <alignment wrapText="1"/>
    </xf>
    <xf numFmtId="0" fontId="30" fillId="0" borderId="23" xfId="0" applyFont="1" applyBorder="1" applyAlignment="1">
      <alignment wrapText="1"/>
    </xf>
    <xf numFmtId="0" fontId="30" fillId="0" borderId="39" xfId="0" applyFont="1" applyBorder="1" applyAlignment="1">
      <alignment wrapText="1"/>
    </xf>
    <xf numFmtId="0" fontId="30" fillId="0" borderId="40" xfId="0" applyFont="1" applyBorder="1" applyAlignment="1">
      <alignment wrapText="1"/>
    </xf>
    <xf numFmtId="0" fontId="30" fillId="0" borderId="41" xfId="0" applyFont="1" applyBorder="1" applyAlignment="1">
      <alignment wrapText="1"/>
    </xf>
    <xf numFmtId="0" fontId="30" fillId="0" borderId="42" xfId="0" applyFont="1" applyBorder="1" applyAlignment="1">
      <alignment wrapText="1"/>
    </xf>
    <xf numFmtId="165" fontId="18" fillId="12" borderId="0" xfId="0" applyNumberFormat="1" applyFont="1" applyFill="1"/>
    <xf numFmtId="0" fontId="18" fillId="0" borderId="43" xfId="0" applyFont="1" applyBorder="1"/>
    <xf numFmtId="171" fontId="18" fillId="0" borderId="43" xfId="0" applyNumberFormat="1" applyFont="1" applyBorder="1"/>
    <xf numFmtId="0" fontId="0" fillId="0" borderId="0" xfId="0" applyAlignment="1">
      <alignment horizontal="center" vertical="center"/>
    </xf>
    <xf numFmtId="0" fontId="35" fillId="15" borderId="23" xfId="0" applyFont="1" applyFill="1" applyBorder="1" applyAlignment="1">
      <alignment horizontal="center" vertical="center"/>
    </xf>
    <xf numFmtId="6" fontId="10" fillId="0" borderId="23" xfId="0" applyNumberFormat="1" applyFont="1" applyBorder="1"/>
    <xf numFmtId="6" fontId="18" fillId="0" borderId="29" xfId="0" applyNumberFormat="1" applyFont="1" applyBorder="1"/>
    <xf numFmtId="0" fontId="10" fillId="0" borderId="24" xfId="0" applyFont="1" applyBorder="1" applyAlignment="1">
      <alignment wrapText="1"/>
    </xf>
    <xf numFmtId="6" fontId="10" fillId="0" borderId="17" xfId="0" applyNumberFormat="1" applyFont="1" applyBorder="1"/>
    <xf numFmtId="6" fontId="10" fillId="0" borderId="25" xfId="0" applyNumberFormat="1" applyFont="1" applyBorder="1"/>
    <xf numFmtId="0" fontId="35" fillId="15" borderId="44" xfId="0" applyFont="1" applyFill="1" applyBorder="1" applyAlignment="1">
      <alignment horizontal="center" vertical="center"/>
    </xf>
    <xf numFmtId="0" fontId="36" fillId="16" borderId="45" xfId="0" applyFont="1" applyFill="1" applyBorder="1"/>
    <xf numFmtId="0" fontId="37" fillId="16" borderId="15" xfId="0" applyFont="1" applyFill="1" applyBorder="1"/>
    <xf numFmtId="0" fontId="38" fillId="16" borderId="46" xfId="0" applyFont="1" applyFill="1" applyBorder="1"/>
    <xf numFmtId="165" fontId="38" fillId="16" borderId="15" xfId="1" applyNumberFormat="1" applyFont="1" applyFill="1" applyBorder="1"/>
    <xf numFmtId="165" fontId="38" fillId="16" borderId="46" xfId="1" applyNumberFormat="1" applyFont="1" applyFill="1" applyBorder="1"/>
    <xf numFmtId="0" fontId="18" fillId="0" borderId="0" xfId="0" applyFont="1" applyAlignment="1">
      <alignment vertical="center"/>
    </xf>
    <xf numFmtId="165" fontId="18" fillId="0" borderId="0" xfId="0" applyNumberFormat="1" applyFont="1" applyAlignment="1">
      <alignment vertical="center"/>
    </xf>
    <xf numFmtId="165" fontId="31" fillId="0" borderId="0" xfId="0" applyNumberFormat="1" applyFont="1" applyAlignment="1">
      <alignment vertical="center"/>
    </xf>
    <xf numFmtId="6" fontId="18" fillId="0" borderId="0" xfId="0" applyNumberFormat="1" applyFont="1" applyAlignment="1">
      <alignment vertical="center"/>
    </xf>
    <xf numFmtId="6" fontId="31" fillId="0" borderId="0" xfId="0" applyNumberFormat="1" applyFont="1" applyAlignment="1">
      <alignment vertical="center"/>
    </xf>
    <xf numFmtId="0" fontId="39" fillId="0" borderId="0" xfId="0" applyFont="1"/>
    <xf numFmtId="0" fontId="20" fillId="0" borderId="0" xfId="0" applyFont="1" applyAlignment="1">
      <alignment vertical="center"/>
    </xf>
    <xf numFmtId="0" fontId="41" fillId="0" borderId="0" xfId="0" applyFont="1"/>
    <xf numFmtId="0" fontId="43" fillId="0" borderId="0" xfId="0" applyFont="1"/>
    <xf numFmtId="0" fontId="45" fillId="15" borderId="23" xfId="0" applyFont="1" applyFill="1" applyBorder="1" applyAlignment="1">
      <alignment horizontal="center" vertical="center"/>
    </xf>
    <xf numFmtId="0" fontId="46" fillId="0" borderId="23" xfId="0" applyFont="1" applyBorder="1"/>
    <xf numFmtId="172" fontId="43" fillId="0" borderId="23" xfId="0" applyNumberFormat="1" applyFont="1" applyBorder="1"/>
    <xf numFmtId="0" fontId="43" fillId="0" borderId="23" xfId="0" applyFont="1" applyBorder="1"/>
    <xf numFmtId="172" fontId="47" fillId="0" borderId="23" xfId="0" applyNumberFormat="1" applyFont="1" applyBorder="1"/>
    <xf numFmtId="172" fontId="43" fillId="0" borderId="0" xfId="0" applyNumberFormat="1" applyFont="1"/>
    <xf numFmtId="0" fontId="47" fillId="0" borderId="23" xfId="0" applyFont="1" applyBorder="1"/>
    <xf numFmtId="0" fontId="48" fillId="0" borderId="0" xfId="0" applyFont="1"/>
    <xf numFmtId="0" fontId="49" fillId="0" borderId="14" xfId="0" applyFont="1" applyBorder="1" applyAlignment="1">
      <alignment horizontal="left" vertical="top" wrapText="1"/>
    </xf>
    <xf numFmtId="0" fontId="51" fillId="15" borderId="36" xfId="0" applyFont="1" applyFill="1" applyBorder="1" applyAlignment="1">
      <alignment wrapText="1"/>
    </xf>
    <xf numFmtId="6" fontId="43" fillId="0" borderId="23" xfId="0" applyNumberFormat="1" applyFont="1" applyBorder="1"/>
    <xf numFmtId="170" fontId="43" fillId="0" borderId="23" xfId="0" applyNumberFormat="1" applyFont="1" applyBorder="1"/>
    <xf numFmtId="0" fontId="48" fillId="0" borderId="23" xfId="0" applyFont="1" applyBorder="1"/>
    <xf numFmtId="6" fontId="48" fillId="0" borderId="23" xfId="0" applyNumberFormat="1" applyFont="1" applyBorder="1"/>
    <xf numFmtId="0" fontId="43" fillId="0" borderId="34" xfId="0" applyFont="1" applyBorder="1"/>
    <xf numFmtId="6" fontId="43" fillId="0" borderId="0" xfId="0" applyNumberFormat="1" applyFont="1"/>
    <xf numFmtId="0" fontId="19" fillId="0" borderId="0" xfId="0" applyFont="1" applyAlignment="1">
      <alignment vertical="top"/>
    </xf>
    <xf numFmtId="165" fontId="18" fillId="4" borderId="47" xfId="0" applyNumberFormat="1" applyFont="1" applyFill="1" applyBorder="1"/>
    <xf numFmtId="0" fontId="18" fillId="0" borderId="0" xfId="0" applyFont="1" applyAlignment="1">
      <alignment horizontal="left" vertical="top" wrapText="1"/>
    </xf>
    <xf numFmtId="0" fontId="50" fillId="0" borderId="23" xfId="0" applyFont="1" applyBorder="1" applyAlignment="1">
      <alignment horizontal="center" vertical="center"/>
    </xf>
    <xf numFmtId="0" fontId="49" fillId="0" borderId="14" xfId="0" applyFont="1" applyBorder="1" applyAlignment="1">
      <alignment horizontal="left" vertical="top" wrapText="1"/>
    </xf>
    <xf numFmtId="0" fontId="25" fillId="0" borderId="18" xfId="0" applyFont="1" applyBorder="1" applyAlignment="1">
      <alignment horizontal="center" vertical="center"/>
    </xf>
    <xf numFmtId="0" fontId="25" fillId="0" borderId="12" xfId="0" applyFont="1" applyBorder="1" applyAlignment="1">
      <alignment horizontal="center" vertical="center"/>
    </xf>
    <xf numFmtId="0" fontId="25" fillId="5" borderId="0" xfId="0" applyFont="1" applyFill="1" applyAlignment="1">
      <alignment horizontal="center"/>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4" fillId="0" borderId="1" xfId="0" applyFont="1" applyBorder="1" applyAlignment="1">
      <alignment horizontal="center"/>
    </xf>
    <xf numFmtId="0" fontId="4" fillId="0" borderId="0" xfId="0" applyFont="1" applyAlignment="1">
      <alignment horizontal="center"/>
    </xf>
    <xf numFmtId="0" fontId="4" fillId="0" borderId="2" xfId="0" applyFont="1" applyBorder="1" applyAlignment="1">
      <alignment horizontal="center"/>
    </xf>
    <xf numFmtId="0" fontId="2" fillId="0" borderId="0" xfId="0" applyFont="1" applyAlignment="1">
      <alignment horizontal="center"/>
    </xf>
    <xf numFmtId="0" fontId="40" fillId="0" borderId="0" xfId="0" applyFont="1" applyAlignment="1">
      <alignment horizontal="left" wrapText="1"/>
    </xf>
    <xf numFmtId="0" fontId="2" fillId="4" borderId="0" xfId="0" applyFont="1" applyFill="1" applyAlignment="1">
      <alignment horizontal="center"/>
    </xf>
    <xf numFmtId="0" fontId="18" fillId="4" borderId="0" xfId="0" applyFont="1" applyFill="1" applyAlignment="1">
      <alignment horizontal="left" vertical="top" wrapText="1"/>
    </xf>
    <xf numFmtId="0" fontId="25" fillId="4" borderId="12" xfId="0" applyFont="1" applyFill="1" applyBorder="1" applyAlignment="1">
      <alignment horizontal="center"/>
    </xf>
    <xf numFmtId="0" fontId="25" fillId="4" borderId="19" xfId="0" applyFont="1" applyFill="1" applyBorder="1" applyAlignment="1">
      <alignment horizontal="center"/>
    </xf>
    <xf numFmtId="0" fontId="25" fillId="5" borderId="12" xfId="0" applyFont="1" applyFill="1" applyBorder="1" applyAlignment="1">
      <alignment horizontal="center"/>
    </xf>
    <xf numFmtId="0" fontId="42" fillId="0" borderId="0" xfId="0" applyFont="1" applyAlignment="1">
      <alignment horizontal="left" wrapText="1"/>
    </xf>
    <xf numFmtId="0" fontId="44" fillId="0" borderId="0" xfId="0" applyFont="1" applyAlignment="1">
      <alignment horizontal="center"/>
    </xf>
  </cellXfs>
  <cellStyles count="13">
    <cellStyle name="1_Header 3" xfId="9" xr:uid="{00000000-0005-0000-0000-000000000000}"/>
    <cellStyle name="3_RowTitle" xfId="8" xr:uid="{00000000-0005-0000-0000-000001000000}"/>
    <cellStyle name="4_Percent" xfId="7" xr:uid="{00000000-0005-0000-0000-000002000000}"/>
    <cellStyle name="Comma" xfId="3" builtinId="3"/>
    <cellStyle name="Comma 2" xfId="6" xr:uid="{00000000-0005-0000-0000-000004000000}"/>
    <cellStyle name="Comma 7" xfId="11" xr:uid="{00000000-0005-0000-0000-000005000000}"/>
    <cellStyle name="Currency" xfId="1" builtinId="4"/>
    <cellStyle name="Normal" xfId="0" builtinId="0"/>
    <cellStyle name="Normal 3" xfId="5" xr:uid="{00000000-0005-0000-0000-000008000000}"/>
    <cellStyle name="Normal 8" xfId="4" xr:uid="{00000000-0005-0000-0000-000009000000}"/>
    <cellStyle name="Number" xfId="10" xr:uid="{00000000-0005-0000-0000-00000A000000}"/>
    <cellStyle name="Percent" xfId="2" builtinId="5"/>
    <cellStyle name="Style 1" xfId="12" xr:uid="{00000000-0005-0000-0000-00000C000000}"/>
  </cellStyles>
  <dxfs count="1">
    <dxf>
      <fill>
        <patternFill>
          <bgColor theme="2" tint="-9.9948118533890809E-2"/>
        </patternFill>
      </fill>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800" b="1"/>
              <a:t>Incremental Cost Estimate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361653910126344E-2"/>
          <c:y val="0.10146067415730337"/>
          <c:w val="0.60375524378270273"/>
          <c:h val="0.85509687693532688"/>
        </c:manualLayout>
      </c:layout>
      <c:lineChart>
        <c:grouping val="standard"/>
        <c:varyColors val="0"/>
        <c:ser>
          <c:idx val="0"/>
          <c:order val="0"/>
          <c:tx>
            <c:v>Estimated 2% Rate Increase</c:v>
          </c:tx>
          <c:spPr>
            <a:ln w="28575" cap="rnd">
              <a:solidFill>
                <a:schemeClr val="accent1"/>
              </a:solidFill>
              <a:round/>
            </a:ln>
            <a:effectLst/>
          </c:spPr>
          <c:marker>
            <c:symbol val="none"/>
          </c:marker>
          <c:cat>
            <c:strRef>
              <c:f>'[6]6'!$E$3:$H$3</c:f>
              <c:strCache>
                <c:ptCount val="4"/>
              </c:strCache>
            </c:strRef>
          </c:cat>
          <c:val>
            <c:numRef>
              <c:f>'[6]6'!$E$10:$H$10</c:f>
              <c:numCache>
                <c:formatCode>General</c:formatCode>
                <c:ptCount val="4"/>
              </c:numCache>
            </c:numRef>
          </c:val>
          <c:smooth val="0"/>
          <c:extLst>
            <c:ext xmlns:c16="http://schemas.microsoft.com/office/drawing/2014/chart" uri="{C3380CC4-5D6E-409C-BE32-E72D297353CC}">
              <c16:uniqueId val="{00000000-0EE4-444F-9E1A-8D632D700D9D}"/>
            </c:ext>
          </c:extLst>
        </c:ser>
        <c:ser>
          <c:idx val="1"/>
          <c:order val="1"/>
          <c:tx>
            <c:v>Balanced Distributed Energy Resources</c:v>
          </c:tx>
          <c:spPr>
            <a:ln w="28575" cap="rnd">
              <a:solidFill>
                <a:schemeClr val="accent2"/>
              </a:solidFill>
              <a:round/>
            </a:ln>
            <a:effectLst/>
          </c:spPr>
          <c:marker>
            <c:symbol val="none"/>
          </c:marker>
          <c:cat>
            <c:strRef>
              <c:f>'[6]6'!$E$3:$H$3</c:f>
              <c:strCache>
                <c:ptCount val="4"/>
              </c:strCache>
            </c:strRef>
          </c:cat>
          <c:val>
            <c:numRef>
              <c:f>'[6]6'!$E$57:$H$57</c:f>
              <c:numCache>
                <c:formatCode>General</c:formatCode>
                <c:ptCount val="4"/>
              </c:numCache>
            </c:numRef>
          </c:val>
          <c:smooth val="0"/>
          <c:extLst>
            <c:ext xmlns:c16="http://schemas.microsoft.com/office/drawing/2014/chart" uri="{C3380CC4-5D6E-409C-BE32-E72D297353CC}">
              <c16:uniqueId val="{00000001-0EE4-444F-9E1A-8D632D700D9D}"/>
            </c:ext>
          </c:extLst>
        </c:ser>
        <c:ser>
          <c:idx val="2"/>
          <c:order val="2"/>
          <c:tx>
            <c:v>Maximum Customer Benefit Distributed Energy Resources</c:v>
          </c:tx>
          <c:spPr>
            <a:ln w="28575" cap="rnd">
              <a:solidFill>
                <a:schemeClr val="accent3"/>
              </a:solidFill>
              <a:round/>
            </a:ln>
            <a:effectLst/>
          </c:spPr>
          <c:marker>
            <c:symbol val="none"/>
          </c:marker>
          <c:cat>
            <c:strRef>
              <c:f>'[6]6'!$E$3:$H$3</c:f>
              <c:strCache>
                <c:ptCount val="4"/>
              </c:strCache>
            </c:strRef>
          </c:cat>
          <c:val>
            <c:numRef>
              <c:f>'[6]6'!$E$86:$H$86</c:f>
              <c:numCache>
                <c:formatCode>General</c:formatCode>
                <c:ptCount val="4"/>
              </c:numCache>
            </c:numRef>
          </c:val>
          <c:smooth val="0"/>
          <c:extLst>
            <c:ext xmlns:c16="http://schemas.microsoft.com/office/drawing/2014/chart" uri="{C3380CC4-5D6E-409C-BE32-E72D297353CC}">
              <c16:uniqueId val="{00000002-0EE4-444F-9E1A-8D632D700D9D}"/>
            </c:ext>
          </c:extLst>
        </c:ser>
        <c:ser>
          <c:idx val="3"/>
          <c:order val="3"/>
          <c:tx>
            <c:v>Lowest Cost Distributed Energy Resources</c:v>
          </c:tx>
          <c:spPr>
            <a:ln w="28575" cap="rnd">
              <a:solidFill>
                <a:schemeClr val="accent4"/>
              </a:solidFill>
              <a:round/>
            </a:ln>
            <a:effectLst/>
          </c:spPr>
          <c:marker>
            <c:symbol val="none"/>
          </c:marker>
          <c:cat>
            <c:strRef>
              <c:f>'[6]6'!$E$3:$H$3</c:f>
              <c:strCache>
                <c:ptCount val="4"/>
              </c:strCache>
            </c:strRef>
          </c:cat>
          <c:val>
            <c:numRef>
              <c:f>'[6]6'!$E$23:$H$23</c:f>
              <c:numCache>
                <c:formatCode>General</c:formatCode>
                <c:ptCount val="4"/>
              </c:numCache>
            </c:numRef>
          </c:val>
          <c:smooth val="0"/>
          <c:extLst>
            <c:ext xmlns:c16="http://schemas.microsoft.com/office/drawing/2014/chart" uri="{C3380CC4-5D6E-409C-BE32-E72D297353CC}">
              <c16:uniqueId val="{00000003-0EE4-444F-9E1A-8D632D700D9D}"/>
            </c:ext>
          </c:extLst>
        </c:ser>
        <c:dLbls>
          <c:showLegendKey val="0"/>
          <c:showVal val="0"/>
          <c:showCatName val="0"/>
          <c:showSerName val="0"/>
          <c:showPercent val="0"/>
          <c:showBubbleSize val="0"/>
        </c:dLbls>
        <c:smooth val="0"/>
        <c:axId val="1329977488"/>
        <c:axId val="1329977160"/>
      </c:lineChart>
      <c:catAx>
        <c:axId val="132997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160"/>
        <c:crosses val="autoZero"/>
        <c:auto val="1"/>
        <c:lblAlgn val="ctr"/>
        <c:lblOffset val="100"/>
        <c:noMultiLvlLbl val="0"/>
      </c:catAx>
      <c:valAx>
        <c:axId val="1329977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t>Annual</a:t>
                </a:r>
                <a:r>
                  <a:rPr lang="en-US" sz="1400" b="1" baseline="0"/>
                  <a:t> Incremental Cost ($000)</a:t>
                </a:r>
                <a:endParaRPr lang="en-US" sz="1400" b="1"/>
              </a:p>
            </c:rich>
          </c:tx>
          <c:layout>
            <c:manualLayout>
              <c:xMode val="edge"/>
              <c:yMode val="edge"/>
              <c:x val="9.2439103466524803E-3"/>
              <c:y val="0.301620933746918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9977488"/>
        <c:crosses val="autoZero"/>
        <c:crossBetween val="between"/>
      </c:valAx>
      <c:spPr>
        <a:noFill/>
        <a:ln>
          <a:noFill/>
        </a:ln>
        <a:effectLst/>
      </c:spPr>
    </c:plotArea>
    <c:legend>
      <c:legendPos val="r"/>
      <c:layout>
        <c:manualLayout>
          <c:xMode val="edge"/>
          <c:yMode val="edge"/>
          <c:x val="0.74628956771969768"/>
          <c:y val="0.33947064201244509"/>
          <c:w val="0.23463412705941877"/>
          <c:h val="0.30641452121855556"/>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889001</xdr:colOff>
      <xdr:row>95</xdr:row>
      <xdr:rowOff>155575</xdr:rowOff>
    </xdr:from>
    <xdr:to>
      <xdr:col>8</xdr:col>
      <xdr:colOff>946150</xdr:colOff>
      <xdr:row>131</xdr:row>
      <xdr:rowOff>85725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EIP\W2%20Outp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doole\Downloads\PSE%20Resources_Aurora%20Inputs_2021%20IRP_01242021_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nsarru\My%20Documents\PriceEstFor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19%20IRP\Aurora\LTCE\2019%20IRP%20Final%20Portfolio\2019%20IRP%20Base%20Offshore%20Test\old%20Files\PSM%20III%2025.8_2018%20RFP_Base%20No%20CO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011IRP%20-%20Post%20Analysis\Aurora\Model%20Runs\RFP%20Phase%20II\Rev12_Base_Oct2011Gasprice\XMP_DB_2010-02_2011RFP_PhaseII_Oct2011GasPrice_111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6.%20Incremental%20Cos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Summary=&gt;"/>
      <sheetName val="Evaluation Summary"/>
      <sheetName val="Resource Additions Table"/>
      <sheetName val="Metrics"/>
      <sheetName val="Yearly Breakdown Tables"/>
      <sheetName val="LTCE Summary_Capacity"/>
      <sheetName val="LTCE Summary_Unit"/>
      <sheetName val="Alternative Compliance"/>
      <sheetName val="Charts for Slides=&gt;"/>
      <sheetName val="Energy by Resource Type Aggv2"/>
      <sheetName val="Energy by Resource Type Aggr"/>
      <sheetName val="ExistingEnergy_No Generics"/>
      <sheetName val="Peak Capacity Need"/>
      <sheetName val="CETA Need Chart_MWh Agg"/>
      <sheetName val="Emissions Chart by Resource"/>
      <sheetName val="Existing GFG CF"/>
      <sheetName val="Data Check=&gt;"/>
      <sheetName val="Planning Margin"/>
      <sheetName val="Constraint Check"/>
      <sheetName val="DSM"/>
      <sheetName val="LTCE New Build_Units Data"/>
      <sheetName val="LTCE New Build_Capacity Data"/>
      <sheetName val="LTCE Nameplate_for Cummulative"/>
      <sheetName val="Emissions=&gt;"/>
      <sheetName val="Emissions Costs_Calc"/>
      <sheetName val="Emissions Amount"/>
      <sheetName val="Emissions Amount_no Upstream"/>
      <sheetName val="Emissions Costs_Aurora"/>
      <sheetName val="Tables=&gt;"/>
      <sheetName val="Assumptions"/>
      <sheetName val="CETA Analysis"/>
      <sheetName val="Load Check"/>
      <sheetName val="Energy Summary"/>
      <sheetName val="Costs Summary"/>
      <sheetName val="GFG Capacity Factor"/>
      <sheetName val="GFG Detail"/>
      <sheetName val="Resource Peak Capacity"/>
      <sheetName val="NG Plants"/>
      <sheetName val="Aurora Output=&gt;"/>
      <sheetName val="Energy"/>
      <sheetName val="Costs"/>
      <sheetName val="$ per MWh"/>
      <sheetName val="Emissions"/>
      <sheetName val="AllEmissions"/>
      <sheetName val="Emissions_Costs"/>
      <sheetName val="Capacity Factor"/>
      <sheetName val="Aurora Peak Capacity"/>
      <sheetName val="Portfolio Summary"/>
      <sheetName val="Mapping"/>
      <sheetName val="Other Charts Not used=&gt;"/>
      <sheetName val="Existing GFG CF (2)"/>
      <sheetName val="Energy by Resource Type"/>
      <sheetName val="Energy by Resource Type No Sale"/>
      <sheetName val="Cummulative Build Capacity"/>
      <sheetName val="New Build Capacity"/>
      <sheetName val="New Build Count"/>
      <sheetName val="Existing Resources"/>
      <sheetName val="Peak Cap by resourc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Jennifer"/>
      <sheetName val="Change_Log"/>
      <sheetName val="To do"/>
      <sheetName val="Aurora_TSAnnual"/>
      <sheetName val="Existing Contracts"/>
      <sheetName val="To Aurora _Ancillary Services"/>
      <sheetName val="To Aurora_Resources"/>
      <sheetName val="Existing Thermal_21IRP"/>
      <sheetName val="21IRP Reliable Capacity"/>
      <sheetName val="Reliable Capacity"/>
      <sheetName val="New ELCC Sheet"/>
      <sheetName val="Aurora_New Resources"/>
      <sheetName val="Aurora_Portfolio Resources"/>
      <sheetName val="Aurora_Portfolio Contracts"/>
      <sheetName val="To Aurora_Fuel"/>
      <sheetName val="CETA"/>
      <sheetName val="To Aurora_TS Monthly"/>
      <sheetName val="To Aurora_TS Weekly"/>
      <sheetName val="To Aurora_DemandMo"/>
      <sheetName val="To Aurora_Storage"/>
      <sheetName val="To Aurora_Esc Demand"/>
      <sheetName val="To Aurora_General Info"/>
      <sheetName val="To Aurora_Hydro Vectors"/>
      <sheetName val="To Aurora_Emission Rate"/>
      <sheetName val="To Aurora_Constraint"/>
      <sheetName val="Ancillary Services"/>
      <sheetName val="Generic Fuel Adder"/>
      <sheetName val="Existing Thermal"/>
      <sheetName val="Existing Gas Transport &amp; TX"/>
      <sheetName val="Existing Fixed O&amp;M"/>
      <sheetName val="Colstrip Dispatch Costs"/>
      <sheetName val="Chart - Cost curve"/>
      <sheetName val="Thermal Options"/>
      <sheetName val="Energy Storage Summary"/>
      <sheetName val="Renewable Resource Summary"/>
      <sheetName val="Combo Resource Summary"/>
      <sheetName val="CC_HR"/>
      <sheetName val="P_HR"/>
      <sheetName val="Saturation Curves"/>
      <sheetName val="Aero Peaker"/>
      <sheetName val="Gas Transport Costs"/>
      <sheetName val="PTC"/>
      <sheetName val="Cost curves"/>
      <sheetName val="Assumptions"/>
      <sheetName val="CCCT"/>
      <sheetName val="Frame Peaker"/>
      <sheetName val="Recip Peaker"/>
      <sheetName val="WA Wind"/>
      <sheetName val="WA Wind + 2 Hr Li-Ion"/>
      <sheetName val="MT Wind + PHES"/>
      <sheetName val="ID Wind"/>
      <sheetName val="WY West Wind"/>
      <sheetName val="WY East Wind"/>
      <sheetName val="MT Wind"/>
      <sheetName val="Offshore Wind"/>
      <sheetName val="Solar with ITC Levelized Costs"/>
      <sheetName val="Solar + Battery w ITC Lev Costs"/>
      <sheetName val="Solar_No ITC"/>
      <sheetName val="ID Solar ITC 2020-2023 30%"/>
      <sheetName val="AntiWY Solar ITC 2020-2023 30%"/>
      <sheetName val="WWY Solar ITC 2020-2023 30%"/>
      <sheetName val="Solar ITC 2020-2023 30%"/>
      <sheetName val="ID Solar ITC 2024 26%"/>
      <sheetName val="AntiWY Solar ITC 2024 26%"/>
      <sheetName val="WWY Solar ITC 2024 26%"/>
      <sheetName val="Solar ITC 2024 26%"/>
      <sheetName val="ID Solar ITC 2025 22%"/>
      <sheetName val="AntiWY Solar ITC 2025 22%"/>
      <sheetName val="WWY Solar ITC 2025 22%"/>
      <sheetName val="Solar ITC 2025 22%"/>
      <sheetName val="ID Solar ITC  &gt;2025 10%"/>
      <sheetName val="AntiWY Solar ITC  &gt;2025 10%"/>
      <sheetName val="WWY Solar ITC  &gt;2025 10%"/>
      <sheetName val="Solar ITC  &gt;2025 10%"/>
      <sheetName val="Ground DER Solar, ITC 10%"/>
      <sheetName val="Roof DER Solar, ITC 10%"/>
      <sheetName val="Battery ITC 2020-2023 30%"/>
      <sheetName val="Battery ITC 2024 24%"/>
      <sheetName val="Battery ITC 2025 19%"/>
      <sheetName val="Battery ITC  &gt;2025 10%"/>
      <sheetName val="Biomass"/>
      <sheetName val="2hr Li-Ion Battery"/>
      <sheetName val="4hr Li-Ion Battery"/>
      <sheetName val="4hr Flow Battery"/>
      <sheetName val="6hr Flow Battery"/>
      <sheetName val="Pumped Storage Hydro"/>
      <sheetName val="Test Calc"/>
      <sheetName val="Transmission"/>
      <sheetName val="TX Updates"/>
      <sheetName val="DSM"/>
      <sheetName val="Electron"/>
      <sheetName val="Oil Backup"/>
      <sheetName val="Decomissioning Costs"/>
      <sheetName val="Demand Response"/>
      <sheetName val="Mid C Capacity"/>
      <sheetName val="Mid-C Hydro Monthly"/>
      <sheetName val="Wells Extension"/>
      <sheetName val="Market emissions rate"/>
      <sheetName val="Flex cost savings"/>
      <sheetName val="SCC Adder_Base no CETA"/>
      <sheetName val="SCC Adder_Base"/>
      <sheetName val="SCC"/>
      <sheetName val="DER Potential"/>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ma_Kulshan"/>
      <sheetName val="March Point1"/>
      <sheetName val="March Point2"/>
      <sheetName val="GDP Forecast"/>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_DATA_"/>
      <sheetName val="Metrics"/>
      <sheetName val="Evaluation Summary"/>
      <sheetName val="Comments"/>
      <sheetName val="LPProblem"/>
      <sheetName val="Peak Capacity Need"/>
      <sheetName val="Assumptions"/>
      <sheetName val="Aurora_LTBuildReport"/>
      <sheetName val="AuroraEnergyAll"/>
      <sheetName val="AuroraCostAll"/>
      <sheetName val="AuroraRevenueAll"/>
      <sheetName val="AuroraCO2EmissionsAll"/>
      <sheetName val="Peak Inputs"/>
      <sheetName val="CO2_Emissions"/>
      <sheetName val="Load_Market_DSM"/>
      <sheetName val="REC Credit"/>
      <sheetName val="Thermal Acq Inputs"/>
      <sheetName val="Renewable Acq Inputs"/>
      <sheetName val="Renewable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Biomass"/>
      <sheetName val="Batteries_1"/>
      <sheetName val="Batteries_1 (2)"/>
      <sheetName val="Batteries_2"/>
      <sheetName val="Batteries_3"/>
      <sheetName val="Batteries_3 (2)"/>
      <sheetName val="Batteries_4"/>
      <sheetName val="Pumped Storage"/>
      <sheetName val="Wind"/>
      <sheetName val="MT Wind"/>
      <sheetName val="Solar"/>
      <sheetName val="Solar (2)"/>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Battery_2 Replacement Rev Req"/>
      <sheetName val="Battery_3 Replacement Rev Req"/>
      <sheetName val="Battery_4 Replacement Rev Req"/>
      <sheetName val="PSH Replacement Rev Req"/>
      <sheetName val="WACC"/>
      <sheetName val="Colstrip Inputs"/>
      <sheetName val="Colstrip 1&amp;2"/>
      <sheetName val="Colstrip 3&amp;4"/>
      <sheetName val="Colstrip 3&amp;4 Add'l Share"/>
      <sheetName val="Colstrip Transmission"/>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RORA_Input_Databases_Follow"/>
      <sheetName val="Annual_Vectors_11GRC_060111"/>
      <sheetName val="Mo_Vectors_11GRC_060111"/>
      <sheetName val="Weekly_Vectors_11GRC_060111"/>
      <sheetName val="Gas_Price_Data_Follow"/>
      <sheetName val="Gas Price Nominal Input"/>
      <sheetName val="Stanfield_Convert_Real"/>
      <sheetName val="Kingsgate_Convert_Real"/>
      <sheetName val="PGECityG_Convert_Real"/>
      <sheetName val="HH_Convert_Real"/>
      <sheetName val="Rockies_Convert_Real"/>
      <sheetName val="San_Juan_Convert_Real"/>
      <sheetName val="Topock_Convert_Real"/>
      <sheetName val="Klamath_Convert_Real "/>
      <sheetName val="Malin_Convert_Real"/>
      <sheetName val="AECO_Convert_Real"/>
      <sheetName val="Sumas_Convert_Real"/>
      <sheetName val="WNP3_Return_Convert_Real"/>
      <sheetName val="Encogen_Convert_Real"/>
      <sheetName val="Whitehorn_23_Convert_Real"/>
      <sheetName val="Fredonia_34_Convert_Real"/>
      <sheetName val="Fredonia_12_Convert_Real"/>
      <sheetName val="Fred_12_Convert_Real"/>
      <sheetName val="Sumas_Full_NWP_Con_Real"/>
      <sheetName val="Sumas_Cogen_Con_Real"/>
      <sheetName val="Frederickson_CC_Con_Real"/>
      <sheetName val="Mint_Farm_Con_Real "/>
      <sheetName val="Mint_Farm_ DFiring_C_Real"/>
      <sheetName val="Goldendale_Con_Real"/>
      <sheetName val="Goldendale DFiring_C_Real"/>
      <sheetName val="Sumas_Var_NWP_Con_Real"/>
      <sheetName val="Emission_Charges"/>
      <sheetName val="Coal_Price_Data"/>
      <sheetName val="Coal_Price_Data_IRP2009"/>
      <sheetName val="Contract_Data_Follow"/>
      <sheetName val="Baker_Replacement"/>
      <sheetName val="BC_Hydro_Point_Roberts"/>
      <sheetName val="CEAEA"/>
      <sheetName val="Nooksack_Hydro"/>
      <sheetName val="North_Wasco"/>
      <sheetName val="PG_E_Exchange_in"/>
      <sheetName val="PG_E_Exchange_out"/>
      <sheetName val="Qualco"/>
      <sheetName val="QF_Koma_Kulshan"/>
      <sheetName val="QF_Port_Townsend_Hydro"/>
      <sheetName val="QF_Spokane_MSW"/>
      <sheetName val="QF_Sygitowicz"/>
      <sheetName val="QF_Twin_Falls"/>
      <sheetName val="QF_Weeks_Falls"/>
      <sheetName val="Short Term Contracts"/>
      <sheetName val="Klondike III PPA"/>
      <sheetName val="WNP3_BPA_Exchange"/>
      <sheetName val="Priest_Rapids_Displacement_Prod"/>
      <sheetName val="Sch91"/>
      <sheetName val="Resource_Data_Follow"/>
      <sheetName val="Resource_Data"/>
      <sheetName val="NUG_Contract_Data"/>
      <sheetName val="Klamath"/>
      <sheetName val="WildHorse"/>
      <sheetName val="Hopkins"/>
      <sheetName val="KlondikeWind"/>
      <sheetName val="LSR1"/>
      <sheetName val="NewGenericResourceFOM"/>
      <sheetName val="RPS"/>
      <sheetName val="PTCs"/>
      <sheetName val="Regional Dema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2:H17"/>
  <sheetViews>
    <sheetView zoomScale="120" zoomScaleNormal="120" zoomScalePageLayoutView="85" workbookViewId="0">
      <selection activeCell="A2" sqref="A2"/>
    </sheetView>
  </sheetViews>
  <sheetFormatPr defaultColWidth="9.140625" defaultRowHeight="12.6"/>
  <cols>
    <col min="1" max="1" width="30.7109375" style="109" customWidth="1"/>
    <col min="2" max="2" width="100.42578125" style="109" customWidth="1"/>
    <col min="3" max="3" width="65.7109375" style="109" customWidth="1"/>
    <col min="4" max="4" width="30.28515625" style="109" customWidth="1"/>
    <col min="5" max="16384" width="9.140625" style="109"/>
  </cols>
  <sheetData>
    <row r="2" spans="1:8" ht="12.95">
      <c r="A2" s="138" t="s">
        <v>0</v>
      </c>
    </row>
    <row r="3" spans="1:8" ht="12.95">
      <c r="A3" s="138" t="s">
        <v>1</v>
      </c>
    </row>
    <row r="5" spans="1:8" ht="92.25" customHeight="1">
      <c r="A5" s="272" t="s">
        <v>2</v>
      </c>
      <c r="B5" s="274" t="s">
        <v>3</v>
      </c>
      <c r="C5" s="274"/>
      <c r="D5" s="274"/>
      <c r="E5" s="274"/>
      <c r="F5" s="274"/>
      <c r="G5" s="274"/>
      <c r="H5" s="274"/>
    </row>
    <row r="7" spans="1:8" ht="12.95">
      <c r="A7" s="110" t="s">
        <v>4</v>
      </c>
    </row>
    <row r="8" spans="1:8" ht="12.95">
      <c r="A8" s="110" t="s">
        <v>5</v>
      </c>
      <c r="B8" s="110" t="s">
        <v>6</v>
      </c>
      <c r="C8" s="110" t="s">
        <v>7</v>
      </c>
      <c r="D8" s="110"/>
    </row>
    <row r="9" spans="1:8" ht="24.95">
      <c r="A9" s="109" t="s">
        <v>8</v>
      </c>
      <c r="B9" s="111" t="s">
        <v>9</v>
      </c>
      <c r="C9" s="109" t="s">
        <v>10</v>
      </c>
    </row>
    <row r="10" spans="1:8" ht="13.5" customHeight="1">
      <c r="A10" s="109" t="s">
        <v>11</v>
      </c>
      <c r="B10" s="111" t="s">
        <v>12</v>
      </c>
      <c r="C10" s="109" t="s">
        <v>13</v>
      </c>
    </row>
    <row r="11" spans="1:8" ht="13.5" customHeight="1">
      <c r="A11" s="109" t="s">
        <v>14</v>
      </c>
      <c r="B11" s="111" t="s">
        <v>15</v>
      </c>
      <c r="C11" s="109" t="s">
        <v>16</v>
      </c>
    </row>
    <row r="12" spans="1:8">
      <c r="A12" s="109" t="s">
        <v>17</v>
      </c>
      <c r="B12" s="111" t="s">
        <v>18</v>
      </c>
      <c r="C12" s="109" t="s">
        <v>16</v>
      </c>
    </row>
    <row r="13" spans="1:8">
      <c r="A13" s="109" t="s">
        <v>19</v>
      </c>
      <c r="B13" s="111" t="s">
        <v>20</v>
      </c>
      <c r="C13" s="109" t="s">
        <v>16</v>
      </c>
    </row>
    <row r="14" spans="1:8">
      <c r="A14" s="109" t="s">
        <v>21</v>
      </c>
      <c r="B14" s="111" t="s">
        <v>22</v>
      </c>
      <c r="C14" s="109" t="s">
        <v>23</v>
      </c>
    </row>
    <row r="15" spans="1:8">
      <c r="A15" s="109" t="s">
        <v>24</v>
      </c>
      <c r="B15" s="111" t="s">
        <v>25</v>
      </c>
      <c r="C15" s="109" t="s">
        <v>16</v>
      </c>
    </row>
    <row r="16" spans="1:8">
      <c r="B16" s="111"/>
    </row>
    <row r="17" spans="2:2">
      <c r="B17" s="111"/>
    </row>
  </sheetData>
  <mergeCells count="1">
    <mergeCell ref="B5:H5"/>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&amp;LOctober 1, 2023&amp;C&amp;P of &amp;N&amp;RPuget Sound Energy</oddFooter>
  </headerFooter>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B1" zoomScale="145" zoomScaleNormal="145" workbookViewId="0">
      <selection activeCell="D5" sqref="D5"/>
    </sheetView>
  </sheetViews>
  <sheetFormatPr defaultRowHeight="14.45"/>
  <cols>
    <col min="1" max="4" width="29.5703125" customWidth="1"/>
  </cols>
  <sheetData>
    <row r="1" spans="1:4">
      <c r="A1" s="285" t="s">
        <v>232</v>
      </c>
      <c r="B1" s="285"/>
      <c r="C1" s="285"/>
      <c r="D1" s="285"/>
    </row>
    <row r="3" spans="1:4">
      <c r="A3" s="222" t="s">
        <v>233</v>
      </c>
      <c r="B3" s="223" t="s">
        <v>234</v>
      </c>
      <c r="C3" s="223" t="s">
        <v>235</v>
      </c>
      <c r="D3" s="224" t="s">
        <v>236</v>
      </c>
    </row>
    <row r="4" spans="1:4">
      <c r="A4" s="225" t="s">
        <v>237</v>
      </c>
      <c r="B4" s="226" t="s">
        <v>238</v>
      </c>
      <c r="C4" s="226" t="s">
        <v>239</v>
      </c>
      <c r="D4" s="227" t="s">
        <v>240</v>
      </c>
    </row>
    <row r="5" spans="1:4">
      <c r="A5" s="228" t="s">
        <v>241</v>
      </c>
      <c r="B5" s="229" t="s">
        <v>242</v>
      </c>
      <c r="C5" s="229" t="s">
        <v>243</v>
      </c>
      <c r="D5" s="230" t="s">
        <v>244</v>
      </c>
    </row>
    <row r="7" spans="1:4" ht="38.450000000000003" customHeight="1">
      <c r="A7" s="286" t="s">
        <v>245</v>
      </c>
      <c r="B7" s="286"/>
    </row>
  </sheetData>
  <mergeCells count="2">
    <mergeCell ref="A1:D1"/>
    <mergeCell ref="A7:B7"/>
  </mergeCells>
  <pageMargins left="0.7" right="0.7" top="0.75" bottom="0.75" header="0.3" footer="0.3"/>
  <pageSetup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E137"/>
  <sheetViews>
    <sheetView zoomScale="115" zoomScaleNormal="115" workbookViewId="0">
      <pane xSplit="1" topLeftCell="B1" activePane="topRight" state="frozen"/>
      <selection pane="topRight" activeCell="J102" sqref="J102"/>
    </sheetView>
  </sheetViews>
  <sheetFormatPr defaultColWidth="8.7109375" defaultRowHeight="12.75" customHeight="1"/>
  <cols>
    <col min="1" max="1" width="52.140625" style="139" customWidth="1"/>
    <col min="2" max="2" width="15.140625" style="139" customWidth="1"/>
    <col min="3" max="3" width="17.7109375" style="139" customWidth="1"/>
    <col min="4" max="4" width="17.42578125" style="139" customWidth="1"/>
    <col min="5" max="5" width="4.42578125" style="109" customWidth="1"/>
    <col min="6" max="6" width="15.28515625" style="139" customWidth="1"/>
    <col min="7" max="7" width="14" style="139" customWidth="1"/>
    <col min="8" max="8" width="14.140625" style="139" customWidth="1"/>
    <col min="9" max="9" width="11.140625" style="139" bestFit="1" customWidth="1"/>
    <col min="10" max="10" width="13.7109375" style="139" bestFit="1" customWidth="1"/>
    <col min="11" max="12" width="12.7109375" style="139" bestFit="1" customWidth="1"/>
    <col min="13" max="13" width="13.85546875" style="139" bestFit="1" customWidth="1"/>
    <col min="14" max="16384" width="8.7109375" style="139"/>
  </cols>
  <sheetData>
    <row r="1" spans="1:12" s="149" customFormat="1" ht="12.95" customHeight="1">
      <c r="B1" s="291" t="s">
        <v>246</v>
      </c>
      <c r="C1" s="291"/>
      <c r="D1" s="291"/>
      <c r="E1" s="192"/>
      <c r="F1" s="289" t="s">
        <v>247</v>
      </c>
      <c r="G1" s="289"/>
      <c r="H1" s="290"/>
    </row>
    <row r="2" spans="1:12">
      <c r="A2" s="140" t="s">
        <v>138</v>
      </c>
      <c r="B2" s="196">
        <v>2024</v>
      </c>
      <c r="C2" s="196">
        <v>2025</v>
      </c>
      <c r="D2" s="145" t="s">
        <v>35</v>
      </c>
      <c r="E2" s="158"/>
      <c r="F2" s="196">
        <v>2024</v>
      </c>
      <c r="G2" s="196">
        <v>2025</v>
      </c>
      <c r="H2" s="197" t="s">
        <v>35</v>
      </c>
    </row>
    <row r="3" spans="1:12">
      <c r="A3" s="140"/>
      <c r="B3" s="145"/>
      <c r="C3" s="145"/>
      <c r="D3" s="145"/>
      <c r="E3" s="158"/>
      <c r="F3" s="196"/>
      <c r="G3" s="196"/>
      <c r="H3" s="147"/>
    </row>
    <row r="4" spans="1:12">
      <c r="A4" s="142" t="s">
        <v>146</v>
      </c>
      <c r="B4" s="145"/>
      <c r="C4" s="145"/>
      <c r="D4" s="145"/>
      <c r="E4" s="158"/>
      <c r="F4" s="196"/>
      <c r="G4" s="196"/>
      <c r="H4" s="147"/>
    </row>
    <row r="5" spans="1:12">
      <c r="A5" s="141" t="s">
        <v>147</v>
      </c>
      <c r="B5" s="182">
        <v>382500</v>
      </c>
      <c r="C5" s="182">
        <v>382500</v>
      </c>
      <c r="D5" s="182">
        <f>SUM(B5:C5)</f>
        <v>765000</v>
      </c>
      <c r="E5" s="190"/>
      <c r="F5" s="146">
        <f>F6+F7</f>
        <v>0</v>
      </c>
      <c r="G5" s="146">
        <f>G6+G7</f>
        <v>0</v>
      </c>
      <c r="H5" s="148">
        <f>SUM(F5:G5)</f>
        <v>0</v>
      </c>
      <c r="J5" s="143"/>
    </row>
    <row r="6" spans="1:12">
      <c r="A6" s="144" t="s">
        <v>152</v>
      </c>
      <c r="B6" s="183">
        <v>0</v>
      </c>
      <c r="C6" s="183">
        <v>0</v>
      </c>
      <c r="D6" s="183"/>
      <c r="E6" s="190"/>
      <c r="F6" s="146">
        <v>0</v>
      </c>
      <c r="G6" s="146">
        <v>0</v>
      </c>
      <c r="H6" s="148"/>
      <c r="J6" s="143"/>
    </row>
    <row r="7" spans="1:12">
      <c r="A7" s="144" t="s">
        <v>157</v>
      </c>
      <c r="B7" s="183">
        <v>382500</v>
      </c>
      <c r="C7" s="183">
        <v>382500</v>
      </c>
      <c r="D7" s="183">
        <f>SUM(B7:C7)</f>
        <v>765000</v>
      </c>
      <c r="E7" s="190"/>
      <c r="F7" s="146">
        <v>0</v>
      </c>
      <c r="G7" s="146">
        <v>0</v>
      </c>
      <c r="H7" s="148">
        <f>SUM(F7:G7)</f>
        <v>0</v>
      </c>
      <c r="J7" s="143"/>
    </row>
    <row r="8" spans="1:12">
      <c r="A8" s="141" t="s">
        <v>158</v>
      </c>
      <c r="B8" s="182">
        <v>0</v>
      </c>
      <c r="C8" s="182">
        <v>200000</v>
      </c>
      <c r="D8" s="182">
        <f>SUM(B8:C8)</f>
        <v>200000</v>
      </c>
      <c r="E8" s="190"/>
      <c r="F8" s="146">
        <f>F9+F10</f>
        <v>0</v>
      </c>
      <c r="G8" s="146">
        <f>G9+G10</f>
        <v>0</v>
      </c>
      <c r="H8" s="148">
        <f>SUM(F8:G8)</f>
        <v>0</v>
      </c>
    </row>
    <row r="9" spans="1:12">
      <c r="A9" s="144" t="s">
        <v>152</v>
      </c>
      <c r="B9" s="183">
        <v>0</v>
      </c>
      <c r="C9" s="183">
        <v>0</v>
      </c>
      <c r="D9" s="183">
        <v>0</v>
      </c>
      <c r="E9" s="190"/>
      <c r="F9" s="146">
        <v>0</v>
      </c>
      <c r="G9" s="146">
        <v>0</v>
      </c>
      <c r="H9" s="148">
        <v>0</v>
      </c>
    </row>
    <row r="10" spans="1:12">
      <c r="A10" s="144" t="s">
        <v>157</v>
      </c>
      <c r="B10" s="183">
        <v>0</v>
      </c>
      <c r="C10" s="183">
        <v>200000</v>
      </c>
      <c r="D10" s="183">
        <f>SUM(B10:C10)</f>
        <v>200000</v>
      </c>
      <c r="E10" s="190"/>
      <c r="F10" s="146">
        <v>0</v>
      </c>
      <c r="G10" s="146">
        <v>0</v>
      </c>
      <c r="H10" s="148">
        <f>SUM(F10:G10)</f>
        <v>0</v>
      </c>
    </row>
    <row r="11" spans="1:12">
      <c r="A11" s="141" t="s">
        <v>248</v>
      </c>
      <c r="B11" s="182">
        <v>0</v>
      </c>
      <c r="C11" s="182">
        <v>0</v>
      </c>
      <c r="D11" s="182">
        <f>SUM(B11:C11)</f>
        <v>0</v>
      </c>
      <c r="E11" s="190"/>
      <c r="F11" s="146">
        <f>F12+F13</f>
        <v>0</v>
      </c>
      <c r="G11" s="146">
        <f>G12+G13</f>
        <v>0</v>
      </c>
      <c r="H11" s="148">
        <f>SUM(F11:G11)</f>
        <v>0</v>
      </c>
    </row>
    <row r="12" spans="1:12">
      <c r="A12" s="144" t="s">
        <v>152</v>
      </c>
      <c r="B12" s="184">
        <v>0</v>
      </c>
      <c r="C12" s="184">
        <v>0</v>
      </c>
      <c r="D12" s="184">
        <v>0</v>
      </c>
      <c r="E12" s="190"/>
      <c r="F12" s="146">
        <v>0</v>
      </c>
      <c r="G12" s="146">
        <v>0</v>
      </c>
      <c r="H12" s="148">
        <v>0</v>
      </c>
    </row>
    <row r="13" spans="1:12">
      <c r="A13" s="144" t="s">
        <v>157</v>
      </c>
      <c r="B13" s="184">
        <v>0</v>
      </c>
      <c r="C13" s="184">
        <v>0</v>
      </c>
      <c r="D13" s="184">
        <v>0</v>
      </c>
      <c r="E13" s="190"/>
      <c r="F13" s="146">
        <v>0</v>
      </c>
      <c r="G13" s="146">
        <v>0</v>
      </c>
      <c r="H13" s="148">
        <v>0</v>
      </c>
    </row>
    <row r="14" spans="1:12">
      <c r="A14" s="141" t="s">
        <v>164</v>
      </c>
      <c r="B14" s="182">
        <v>162010</v>
      </c>
      <c r="C14" s="182">
        <v>162010</v>
      </c>
      <c r="D14" s="182">
        <f>SUM(B14:C14)</f>
        <v>324020</v>
      </c>
      <c r="E14" s="190"/>
      <c r="F14" s="146">
        <f>F15+F16</f>
        <v>125000</v>
      </c>
      <c r="G14" s="146">
        <f>G15+G16</f>
        <v>0</v>
      </c>
      <c r="H14" s="148">
        <f>SUM(F14:G14)</f>
        <v>125000</v>
      </c>
    </row>
    <row r="15" spans="1:12">
      <c r="A15" s="144" t="s">
        <v>152</v>
      </c>
      <c r="B15" s="184">
        <v>0</v>
      </c>
      <c r="C15" s="184">
        <v>0</v>
      </c>
      <c r="D15" s="184">
        <v>0</v>
      </c>
      <c r="E15" s="190"/>
      <c r="F15" s="146">
        <v>0</v>
      </c>
      <c r="G15" s="146">
        <v>0</v>
      </c>
      <c r="H15" s="148">
        <v>0</v>
      </c>
    </row>
    <row r="16" spans="1:12">
      <c r="A16" s="144" t="s">
        <v>157</v>
      </c>
      <c r="B16" s="184">
        <v>162010</v>
      </c>
      <c r="C16" s="184">
        <v>162010</v>
      </c>
      <c r="D16" s="184">
        <f>SUM(B16:C16)</f>
        <v>324020</v>
      </c>
      <c r="E16" s="190"/>
      <c r="F16" s="146">
        <v>125000</v>
      </c>
      <c r="G16" s="146">
        <v>0</v>
      </c>
      <c r="H16" s="148">
        <f>SUM(F16:G16)</f>
        <v>125000</v>
      </c>
      <c r="L16" s="188"/>
    </row>
    <row r="17" spans="1:8">
      <c r="A17" s="141" t="s">
        <v>168</v>
      </c>
      <c r="B17" s="182">
        <v>36711.5</v>
      </c>
      <c r="C17" s="182">
        <v>36711.5</v>
      </c>
      <c r="D17" s="182">
        <f>SUM(B17:C17)</f>
        <v>73423</v>
      </c>
      <c r="E17" s="190"/>
      <c r="F17" s="146">
        <f>F18+F19</f>
        <v>162000</v>
      </c>
      <c r="G17" s="146">
        <f>G18+G19</f>
        <v>0</v>
      </c>
      <c r="H17" s="148">
        <f>SUM(F17:G17)</f>
        <v>162000</v>
      </c>
    </row>
    <row r="18" spans="1:8">
      <c r="A18" s="144" t="s">
        <v>152</v>
      </c>
      <c r="B18" s="184">
        <v>0</v>
      </c>
      <c r="C18" s="184">
        <v>0</v>
      </c>
      <c r="D18" s="184">
        <v>0</v>
      </c>
      <c r="E18" s="190"/>
      <c r="F18" s="146">
        <v>0</v>
      </c>
      <c r="G18" s="146">
        <v>0</v>
      </c>
      <c r="H18" s="148">
        <v>0</v>
      </c>
    </row>
    <row r="19" spans="1:8">
      <c r="A19" s="144" t="s">
        <v>157</v>
      </c>
      <c r="B19" s="184">
        <v>36711.5</v>
      </c>
      <c r="C19" s="184">
        <v>36711.5</v>
      </c>
      <c r="D19" s="184">
        <f>SUM(B19:C19)</f>
        <v>73423</v>
      </c>
      <c r="E19" s="190"/>
      <c r="F19" s="146">
        <v>162000</v>
      </c>
      <c r="G19" s="146">
        <v>0</v>
      </c>
      <c r="H19" s="148">
        <f>SUM(F19:G19)</f>
        <v>162000</v>
      </c>
    </row>
    <row r="20" spans="1:8">
      <c r="A20" s="141" t="s">
        <v>171</v>
      </c>
      <c r="B20" s="182">
        <v>0</v>
      </c>
      <c r="C20" s="182">
        <v>0</v>
      </c>
      <c r="D20" s="182">
        <f>SUM(B20:C20)</f>
        <v>0</v>
      </c>
      <c r="E20" s="190"/>
      <c r="F20" s="146">
        <v>0</v>
      </c>
      <c r="G20" s="146">
        <v>0</v>
      </c>
      <c r="H20" s="148">
        <f>SUM(F20:G20)</f>
        <v>0</v>
      </c>
    </row>
    <row r="21" spans="1:8">
      <c r="A21" s="144" t="s">
        <v>152</v>
      </c>
      <c r="B21" s="184">
        <v>0</v>
      </c>
      <c r="C21" s="184">
        <v>0</v>
      </c>
      <c r="D21" s="184">
        <f>SUM(B21:C21)</f>
        <v>0</v>
      </c>
      <c r="E21" s="190"/>
      <c r="F21" s="146">
        <v>0</v>
      </c>
      <c r="G21" s="146">
        <v>0</v>
      </c>
      <c r="H21" s="148">
        <f>SUM(F21:G21)</f>
        <v>0</v>
      </c>
    </row>
    <row r="22" spans="1:8">
      <c r="A22" s="144" t="s">
        <v>157</v>
      </c>
      <c r="B22" s="184">
        <v>0</v>
      </c>
      <c r="C22" s="184">
        <v>0</v>
      </c>
      <c r="D22" s="184">
        <f>SUM(B22:C22)</f>
        <v>0</v>
      </c>
      <c r="E22" s="190"/>
      <c r="F22" s="146">
        <v>0</v>
      </c>
      <c r="G22" s="146">
        <v>0</v>
      </c>
      <c r="H22" s="148">
        <f>SUM(F22:G22)</f>
        <v>0</v>
      </c>
    </row>
    <row r="23" spans="1:8">
      <c r="A23" s="141" t="s">
        <v>172</v>
      </c>
      <c r="B23" s="182">
        <v>1239000</v>
      </c>
      <c r="C23" s="182">
        <v>225000</v>
      </c>
      <c r="D23" s="182">
        <f>SUM(B23:C23)</f>
        <v>1464000</v>
      </c>
      <c r="E23" s="190"/>
      <c r="F23" s="146">
        <f>F24+F25</f>
        <v>3167000</v>
      </c>
      <c r="G23" s="146">
        <f>G24+G25</f>
        <v>0</v>
      </c>
      <c r="H23" s="148">
        <f>SUM(F23:G23)</f>
        <v>3167000</v>
      </c>
    </row>
    <row r="24" spans="1:8">
      <c r="A24" s="144" t="s">
        <v>152</v>
      </c>
      <c r="B24" s="182">
        <v>1014000</v>
      </c>
      <c r="C24" s="182">
        <v>0</v>
      </c>
      <c r="D24" s="182">
        <f>SUM(B24:C24)</f>
        <v>1014000</v>
      </c>
      <c r="E24" s="190"/>
      <c r="F24" s="214">
        <v>3167000</v>
      </c>
      <c r="G24" s="146">
        <v>0</v>
      </c>
      <c r="H24" s="148">
        <f>SUM(F24:G24)</f>
        <v>3167000</v>
      </c>
    </row>
    <row r="25" spans="1:8">
      <c r="A25" s="144" t="s">
        <v>157</v>
      </c>
      <c r="B25" s="182">
        <v>225000</v>
      </c>
      <c r="C25" s="182">
        <v>225000</v>
      </c>
      <c r="D25" s="182">
        <f>SUM(B25:C25)</f>
        <v>450000</v>
      </c>
      <c r="E25" s="190"/>
      <c r="F25" s="214">
        <v>0</v>
      </c>
      <c r="G25" s="146">
        <v>0</v>
      </c>
      <c r="H25" s="148">
        <f>SUM(F25:G25)</f>
        <v>0</v>
      </c>
    </row>
    <row r="26" spans="1:8">
      <c r="A26" s="141" t="s">
        <v>176</v>
      </c>
      <c r="B26" s="182">
        <v>0</v>
      </c>
      <c r="C26" s="182">
        <v>0</v>
      </c>
      <c r="D26" s="182">
        <f>SUM(B26:C26)</f>
        <v>0</v>
      </c>
      <c r="E26" s="190"/>
      <c r="F26" s="146">
        <f>F27+F28</f>
        <v>5794913</v>
      </c>
      <c r="G26" s="146">
        <f>G27+G28</f>
        <v>6599778</v>
      </c>
      <c r="H26" s="148">
        <f>SUM(F26:G26)</f>
        <v>12394691</v>
      </c>
    </row>
    <row r="27" spans="1:8">
      <c r="A27" s="144" t="s">
        <v>152</v>
      </c>
      <c r="B27" s="184">
        <v>0</v>
      </c>
      <c r="C27" s="184">
        <v>0</v>
      </c>
      <c r="D27" s="184">
        <f>SUM(B27:C27)</f>
        <v>0</v>
      </c>
      <c r="E27" s="190"/>
      <c r="F27" s="146">
        <v>5492500</v>
      </c>
      <c r="G27" s="146">
        <v>5500000</v>
      </c>
      <c r="H27" s="148">
        <f>SUM(F27:G27)</f>
        <v>10992500</v>
      </c>
    </row>
    <row r="28" spans="1:8">
      <c r="A28" s="144" t="s">
        <v>157</v>
      </c>
      <c r="B28" s="184">
        <v>0</v>
      </c>
      <c r="C28" s="184">
        <v>0</v>
      </c>
      <c r="D28" s="184">
        <f>SUM(B28:C28)</f>
        <v>0</v>
      </c>
      <c r="E28" s="190"/>
      <c r="F28" s="146">
        <v>302413</v>
      </c>
      <c r="G28" s="146">
        <v>1099778</v>
      </c>
      <c r="H28" s="148">
        <f>SUM(F28:G28)</f>
        <v>1402191</v>
      </c>
    </row>
    <row r="29" spans="1:8">
      <c r="A29" s="141" t="s">
        <v>178</v>
      </c>
      <c r="B29" s="182">
        <v>522740</v>
      </c>
      <c r="C29" s="182">
        <v>122740</v>
      </c>
      <c r="D29" s="182">
        <f>SUM(B29:C29)</f>
        <v>645480</v>
      </c>
      <c r="E29" s="190"/>
      <c r="F29" s="146">
        <f>F30+F31</f>
        <v>0</v>
      </c>
      <c r="G29" s="146">
        <f>G30+G31</f>
        <v>0</v>
      </c>
      <c r="H29" s="148">
        <f>SUM(F29:G29)</f>
        <v>0</v>
      </c>
    </row>
    <row r="30" spans="1:8">
      <c r="A30" s="144" t="s">
        <v>152</v>
      </c>
      <c r="B30" s="184">
        <v>400000</v>
      </c>
      <c r="C30" s="184">
        <v>0</v>
      </c>
      <c r="D30" s="184">
        <f>SUM(B30:C30)</f>
        <v>400000</v>
      </c>
      <c r="E30" s="190"/>
      <c r="F30" s="146">
        <v>0</v>
      </c>
      <c r="G30" s="146">
        <v>0</v>
      </c>
      <c r="H30" s="148">
        <f>SUM(F30:G30)</f>
        <v>0</v>
      </c>
    </row>
    <row r="31" spans="1:8">
      <c r="A31" s="144" t="s">
        <v>157</v>
      </c>
      <c r="B31" s="184">
        <v>122740</v>
      </c>
      <c r="C31" s="184">
        <v>122740</v>
      </c>
      <c r="D31" s="184">
        <f>SUM(B31:C31)</f>
        <v>245480</v>
      </c>
      <c r="E31" s="190"/>
      <c r="F31" s="146">
        <v>0</v>
      </c>
      <c r="G31" s="146">
        <v>0</v>
      </c>
      <c r="H31" s="148">
        <f>SUM(F31:G31)</f>
        <v>0</v>
      </c>
    </row>
    <row r="32" spans="1:8">
      <c r="A32" s="141" t="s">
        <v>181</v>
      </c>
      <c r="B32" s="182">
        <v>5050000</v>
      </c>
      <c r="C32" s="182">
        <v>50000</v>
      </c>
      <c r="D32" s="182">
        <f>SUM(B32:C32)</f>
        <v>5100000</v>
      </c>
      <c r="E32" s="190"/>
      <c r="F32" s="146">
        <f>F33+F34</f>
        <v>5198000</v>
      </c>
      <c r="G32" s="146">
        <f>G33+G34</f>
        <v>430000</v>
      </c>
      <c r="H32" s="148">
        <f>SUM(F32:G32)</f>
        <v>5628000</v>
      </c>
    </row>
    <row r="33" spans="1:8">
      <c r="A33" s="144" t="s">
        <v>152</v>
      </c>
      <c r="B33" s="184">
        <v>5000000</v>
      </c>
      <c r="C33" s="184">
        <v>0</v>
      </c>
      <c r="D33" s="184">
        <f>SUM(B33:C33)</f>
        <v>5000000</v>
      </c>
      <c r="E33" s="190"/>
      <c r="F33" s="146">
        <v>5198000</v>
      </c>
      <c r="G33" s="146">
        <v>0</v>
      </c>
      <c r="H33" s="148">
        <f>SUM(F33:G33)</f>
        <v>5198000</v>
      </c>
    </row>
    <row r="34" spans="1:8">
      <c r="A34" s="144" t="s">
        <v>157</v>
      </c>
      <c r="B34" s="184">
        <v>50000</v>
      </c>
      <c r="C34" s="184">
        <v>50000</v>
      </c>
      <c r="D34" s="184">
        <f>SUM(B34:C34)</f>
        <v>100000</v>
      </c>
      <c r="E34" s="190"/>
      <c r="F34" s="146"/>
      <c r="G34" s="146">
        <v>430000</v>
      </c>
      <c r="H34" s="148">
        <f>SUM(F34:G34)</f>
        <v>430000</v>
      </c>
    </row>
    <row r="35" spans="1:8">
      <c r="A35" s="141" t="s">
        <v>183</v>
      </c>
      <c r="B35" s="182">
        <v>400000</v>
      </c>
      <c r="C35" s="182">
        <v>550000</v>
      </c>
      <c r="D35" s="182">
        <f>SUM(B35:C35)</f>
        <v>950000</v>
      </c>
      <c r="E35" s="190"/>
      <c r="F35" s="146">
        <f>F36+F37</f>
        <v>0</v>
      </c>
      <c r="G35" s="146">
        <f>G36+G37</f>
        <v>0</v>
      </c>
      <c r="H35" s="148">
        <f>SUM(F35:G35)</f>
        <v>0</v>
      </c>
    </row>
    <row r="36" spans="1:8">
      <c r="A36" s="144" t="s">
        <v>152</v>
      </c>
      <c r="B36" s="184">
        <v>400000</v>
      </c>
      <c r="C36" s="184">
        <v>550000</v>
      </c>
      <c r="D36" s="184">
        <f>SUM(B36:C36)</f>
        <v>950000</v>
      </c>
      <c r="E36" s="190"/>
      <c r="F36" s="146">
        <v>0</v>
      </c>
      <c r="G36" s="146">
        <v>0</v>
      </c>
      <c r="H36" s="148">
        <f>SUM(F36:G36)</f>
        <v>0</v>
      </c>
    </row>
    <row r="37" spans="1:8">
      <c r="A37" s="144" t="s">
        <v>157</v>
      </c>
      <c r="B37" s="184">
        <v>0</v>
      </c>
      <c r="C37" s="184">
        <v>0</v>
      </c>
      <c r="D37" s="184">
        <f>SUM(B37:C37)</f>
        <v>0</v>
      </c>
      <c r="E37" s="190"/>
      <c r="F37" s="146">
        <v>0</v>
      </c>
      <c r="G37" s="146">
        <v>0</v>
      </c>
      <c r="H37" s="148">
        <f>SUM(F37:G37)</f>
        <v>0</v>
      </c>
    </row>
    <row r="38" spans="1:8">
      <c r="A38" s="141" t="s">
        <v>185</v>
      </c>
      <c r="B38" s="182">
        <v>0</v>
      </c>
      <c r="C38" s="182">
        <v>0</v>
      </c>
      <c r="D38" s="182">
        <f>SUM(B38:C38)</f>
        <v>0</v>
      </c>
      <c r="E38" s="190"/>
      <c r="F38" s="146">
        <f>F39+F40</f>
        <v>0</v>
      </c>
      <c r="G38" s="146">
        <f>G39+G40</f>
        <v>0</v>
      </c>
      <c r="H38" s="148">
        <f>SUM(F38:G38)</f>
        <v>0</v>
      </c>
    </row>
    <row r="39" spans="1:8">
      <c r="A39" s="144" t="s">
        <v>152</v>
      </c>
      <c r="B39" s="184">
        <v>0</v>
      </c>
      <c r="C39" s="184">
        <v>0</v>
      </c>
      <c r="D39" s="184">
        <f>SUM(B39:C39)</f>
        <v>0</v>
      </c>
      <c r="E39" s="190"/>
      <c r="F39" s="146">
        <v>0</v>
      </c>
      <c r="G39" s="146">
        <v>0</v>
      </c>
      <c r="H39" s="148">
        <f>SUM(F39:G39)</f>
        <v>0</v>
      </c>
    </row>
    <row r="40" spans="1:8">
      <c r="A40" s="144" t="s">
        <v>157</v>
      </c>
      <c r="B40" s="184">
        <v>0</v>
      </c>
      <c r="C40" s="184">
        <v>0</v>
      </c>
      <c r="D40" s="184">
        <f>SUM(B40:C40)</f>
        <v>0</v>
      </c>
      <c r="E40" s="190"/>
      <c r="F40" s="146">
        <v>0</v>
      </c>
      <c r="G40" s="146">
        <v>0</v>
      </c>
      <c r="H40" s="148">
        <f>SUM(F40:G40)</f>
        <v>0</v>
      </c>
    </row>
    <row r="41" spans="1:8">
      <c r="A41" s="141" t="s">
        <v>186</v>
      </c>
      <c r="B41" s="182">
        <v>162010</v>
      </c>
      <c r="C41" s="182">
        <v>162010</v>
      </c>
      <c r="D41" s="182">
        <f>SUM(B41:C41)</f>
        <v>324020</v>
      </c>
      <c r="E41" s="190"/>
      <c r="F41" s="146">
        <f>F42+F43</f>
        <v>0</v>
      </c>
      <c r="G41" s="146">
        <f>G42+G43</f>
        <v>0</v>
      </c>
      <c r="H41" s="148">
        <f>SUM(F41:G41)</f>
        <v>0</v>
      </c>
    </row>
    <row r="42" spans="1:8">
      <c r="A42" s="144" t="s">
        <v>152</v>
      </c>
      <c r="B42" s="184">
        <v>0</v>
      </c>
      <c r="C42" s="184">
        <v>0</v>
      </c>
      <c r="D42" s="184">
        <f>SUM(B42:C42)</f>
        <v>0</v>
      </c>
      <c r="E42" s="190"/>
      <c r="F42" s="146">
        <v>0</v>
      </c>
      <c r="G42" s="146">
        <v>0</v>
      </c>
      <c r="H42" s="148">
        <f>SUM(F42:G42)</f>
        <v>0</v>
      </c>
    </row>
    <row r="43" spans="1:8">
      <c r="A43" s="144" t="s">
        <v>157</v>
      </c>
      <c r="B43" s="184">
        <v>162010</v>
      </c>
      <c r="C43" s="184">
        <v>162010</v>
      </c>
      <c r="D43" s="184">
        <f>SUM(B43:C43)</f>
        <v>324020</v>
      </c>
      <c r="E43" s="190"/>
      <c r="F43" s="146">
        <v>0</v>
      </c>
      <c r="G43" s="146">
        <v>0</v>
      </c>
      <c r="H43" s="148">
        <f>SUM(F43:G43)</f>
        <v>0</v>
      </c>
    </row>
    <row r="44" spans="1:8">
      <c r="A44" s="141" t="s">
        <v>187</v>
      </c>
      <c r="B44" s="182">
        <v>0</v>
      </c>
      <c r="C44" s="182">
        <v>0</v>
      </c>
      <c r="D44" s="182">
        <f>SUM(B44:C44)</f>
        <v>0</v>
      </c>
      <c r="E44" s="190"/>
      <c r="F44" s="146">
        <f>F45+F46</f>
        <v>3876000</v>
      </c>
      <c r="G44" s="146">
        <f>G45+G46</f>
        <v>9111000</v>
      </c>
      <c r="H44" s="148">
        <f>SUM(F44:G44)</f>
        <v>12987000</v>
      </c>
    </row>
    <row r="45" spans="1:8">
      <c r="A45" s="144" t="s">
        <v>152</v>
      </c>
      <c r="B45" s="184">
        <v>0</v>
      </c>
      <c r="C45" s="184">
        <v>0</v>
      </c>
      <c r="D45" s="184">
        <f>SUM(B45:C45)</f>
        <v>0</v>
      </c>
      <c r="E45" s="190"/>
      <c r="F45" s="146">
        <v>3819000</v>
      </c>
      <c r="G45" s="146">
        <v>9054000</v>
      </c>
      <c r="H45" s="148">
        <f>SUM(F45:G45)</f>
        <v>12873000</v>
      </c>
    </row>
    <row r="46" spans="1:8">
      <c r="A46" s="144" t="s">
        <v>157</v>
      </c>
      <c r="B46" s="184">
        <v>0</v>
      </c>
      <c r="C46" s="184">
        <v>0</v>
      </c>
      <c r="D46" s="184">
        <f>SUM(B46:C46)</f>
        <v>0</v>
      </c>
      <c r="E46" s="190"/>
      <c r="F46" s="146">
        <v>57000</v>
      </c>
      <c r="G46" s="146">
        <v>57000</v>
      </c>
      <c r="H46" s="148">
        <f>SUM(F46:G46)</f>
        <v>114000</v>
      </c>
    </row>
    <row r="47" spans="1:8">
      <c r="A47" s="141" t="s">
        <v>189</v>
      </c>
      <c r="B47" s="182">
        <v>162010</v>
      </c>
      <c r="C47" s="182">
        <v>162010</v>
      </c>
      <c r="D47" s="182">
        <f>SUM(B47:C47)</f>
        <v>324020</v>
      </c>
      <c r="E47" s="190"/>
      <c r="F47" s="146">
        <f>F48+F49</f>
        <v>402840</v>
      </c>
      <c r="G47" s="146">
        <f>G48+G49</f>
        <v>0</v>
      </c>
      <c r="H47" s="148">
        <f>SUM(F47:G47)</f>
        <v>402840</v>
      </c>
    </row>
    <row r="48" spans="1:8">
      <c r="A48" s="144" t="s">
        <v>152</v>
      </c>
      <c r="B48" s="184">
        <v>0</v>
      </c>
      <c r="C48" s="184">
        <v>0</v>
      </c>
      <c r="D48" s="184">
        <f>SUM(B48:C48)</f>
        <v>0</v>
      </c>
      <c r="E48" s="190"/>
      <c r="F48" s="146">
        <v>0</v>
      </c>
      <c r="G48" s="146">
        <v>0</v>
      </c>
      <c r="H48" s="148">
        <f>SUM(F48:G48)</f>
        <v>0</v>
      </c>
    </row>
    <row r="49" spans="1:9">
      <c r="A49" s="144" t="s">
        <v>157</v>
      </c>
      <c r="B49" s="184">
        <v>162010</v>
      </c>
      <c r="C49" s="184">
        <v>162010</v>
      </c>
      <c r="D49" s="184">
        <f>SUM(B49:C49)</f>
        <v>324020</v>
      </c>
      <c r="E49" s="190"/>
      <c r="F49" s="214">
        <v>402840</v>
      </c>
      <c r="G49" s="146">
        <v>0</v>
      </c>
      <c r="H49" s="148">
        <f>SUM(F49:G49)</f>
        <v>402840</v>
      </c>
    </row>
    <row r="50" spans="1:9">
      <c r="A50" s="141" t="s">
        <v>192</v>
      </c>
      <c r="B50" s="182">
        <v>775710</v>
      </c>
      <c r="C50" s="182">
        <v>775710</v>
      </c>
      <c r="D50" s="182">
        <f>SUM(B50:C50)</f>
        <v>1551420</v>
      </c>
      <c r="E50" s="190"/>
      <c r="F50" s="146">
        <f>F51+F52</f>
        <v>691875</v>
      </c>
      <c r="G50" s="146">
        <f>G51+G52</f>
        <v>709172</v>
      </c>
      <c r="H50" s="148">
        <f>SUM(F50:G50)</f>
        <v>1401047</v>
      </c>
    </row>
    <row r="51" spans="1:9">
      <c r="A51" s="144" t="s">
        <v>152</v>
      </c>
      <c r="B51" s="184">
        <v>0</v>
      </c>
      <c r="C51" s="184">
        <v>0</v>
      </c>
      <c r="D51" s="184">
        <f>SUM(B51:C51)</f>
        <v>0</v>
      </c>
      <c r="E51" s="190"/>
      <c r="F51" s="146">
        <v>0</v>
      </c>
      <c r="G51" s="146">
        <v>0</v>
      </c>
      <c r="H51" s="148">
        <f>SUM(F51:G51)</f>
        <v>0</v>
      </c>
    </row>
    <row r="52" spans="1:9">
      <c r="A52" s="144" t="s">
        <v>157</v>
      </c>
      <c r="B52" s="184">
        <v>775710</v>
      </c>
      <c r="C52" s="184">
        <v>775710</v>
      </c>
      <c r="D52" s="184">
        <f>SUM(B52:C52)</f>
        <v>1551420</v>
      </c>
      <c r="E52" s="190"/>
      <c r="F52" s="146">
        <v>691875</v>
      </c>
      <c r="G52" s="146">
        <v>709172</v>
      </c>
      <c r="H52" s="148">
        <f>SUM(F52:G52)</f>
        <v>1401047</v>
      </c>
    </row>
    <row r="53" spans="1:9">
      <c r="A53" s="141" t="s">
        <v>194</v>
      </c>
      <c r="B53" s="182">
        <v>490960</v>
      </c>
      <c r="C53" s="182">
        <v>490960</v>
      </c>
      <c r="D53" s="182">
        <f>SUM(B53:C53)</f>
        <v>981920</v>
      </c>
      <c r="E53" s="190"/>
      <c r="F53" s="146">
        <f>F54+F55</f>
        <v>0</v>
      </c>
      <c r="G53" s="146">
        <f>G54+G55</f>
        <v>0</v>
      </c>
      <c r="H53" s="148">
        <f>SUM(F53:G53)</f>
        <v>0</v>
      </c>
    </row>
    <row r="54" spans="1:9">
      <c r="A54" s="144" t="s">
        <v>152</v>
      </c>
      <c r="B54" s="184">
        <v>0</v>
      </c>
      <c r="C54" s="184">
        <v>0</v>
      </c>
      <c r="D54" s="184">
        <f>SUM(B54:C54)</f>
        <v>0</v>
      </c>
      <c r="E54" s="190"/>
      <c r="F54" s="146">
        <v>0</v>
      </c>
      <c r="G54" s="146">
        <v>0</v>
      </c>
      <c r="H54" s="148">
        <f>SUM(F54:G54)</f>
        <v>0</v>
      </c>
    </row>
    <row r="55" spans="1:9">
      <c r="A55" s="144" t="s">
        <v>157</v>
      </c>
      <c r="B55" s="184">
        <v>490960</v>
      </c>
      <c r="C55" s="184">
        <v>490960</v>
      </c>
      <c r="D55" s="184">
        <f>SUM(B55:C55)</f>
        <v>981920</v>
      </c>
      <c r="E55" s="190"/>
      <c r="F55" s="146">
        <v>0</v>
      </c>
      <c r="G55" s="146">
        <v>0</v>
      </c>
      <c r="H55" s="148">
        <f>SUM(F55:G55)</f>
        <v>0</v>
      </c>
    </row>
    <row r="56" spans="1:9">
      <c r="A56" s="209" t="s">
        <v>196</v>
      </c>
      <c r="B56" s="182">
        <v>455260</v>
      </c>
      <c r="C56" s="182">
        <v>455260</v>
      </c>
      <c r="D56" s="182">
        <f>SUM(B56:C56)</f>
        <v>910520</v>
      </c>
      <c r="E56" s="139"/>
      <c r="F56" s="210">
        <f>F57+F58</f>
        <v>0</v>
      </c>
      <c r="G56" s="210">
        <f>G57+G58</f>
        <v>0</v>
      </c>
      <c r="H56" s="211">
        <f>SUM(F56:G56)</f>
        <v>0</v>
      </c>
    </row>
    <row r="57" spans="1:9">
      <c r="A57" s="144" t="s">
        <v>152</v>
      </c>
      <c r="B57" s="184">
        <v>0</v>
      </c>
      <c r="C57" s="184">
        <v>0</v>
      </c>
      <c r="D57" s="184">
        <f>SUM(B57:C57)</f>
        <v>0</v>
      </c>
      <c r="E57" s="139"/>
      <c r="F57" s="146">
        <v>0</v>
      </c>
      <c r="G57" s="146">
        <v>0</v>
      </c>
      <c r="H57" s="148">
        <f>SUM(F57:G57)</f>
        <v>0</v>
      </c>
    </row>
    <row r="58" spans="1:9">
      <c r="A58" s="144" t="s">
        <v>157</v>
      </c>
      <c r="B58" s="184">
        <v>455260</v>
      </c>
      <c r="C58" s="184">
        <v>455260</v>
      </c>
      <c r="D58" s="184">
        <f>SUM(B58:C58)</f>
        <v>910520</v>
      </c>
      <c r="E58" s="139"/>
      <c r="F58" s="146">
        <v>0</v>
      </c>
      <c r="G58" s="146">
        <v>0</v>
      </c>
      <c r="H58" s="148">
        <f>SUM(F58:G58)</f>
        <v>0</v>
      </c>
    </row>
    <row r="59" spans="1:9">
      <c r="A59" s="209" t="s">
        <v>249</v>
      </c>
      <c r="B59" s="182">
        <v>1130000</v>
      </c>
      <c r="C59" s="182">
        <v>1640000</v>
      </c>
      <c r="D59" s="182">
        <f>SUM(B59:C59)</f>
        <v>2770000</v>
      </c>
      <c r="E59" s="139"/>
      <c r="F59" s="210">
        <f>F60+F61</f>
        <v>0</v>
      </c>
      <c r="G59" s="210">
        <f>G60+G61</f>
        <v>0</v>
      </c>
      <c r="H59" s="211">
        <f>SUM(F59:G59)</f>
        <v>0</v>
      </c>
    </row>
    <row r="60" spans="1:9">
      <c r="A60" s="144" t="s">
        <v>152</v>
      </c>
      <c r="B60" s="182">
        <v>1130000</v>
      </c>
      <c r="C60" s="182">
        <v>1640000</v>
      </c>
      <c r="D60" s="182">
        <f>SUM(B60:C60)</f>
        <v>2770000</v>
      </c>
      <c r="E60" s="139"/>
      <c r="F60" s="146">
        <v>0</v>
      </c>
      <c r="G60" s="146">
        <v>0</v>
      </c>
      <c r="H60" s="148">
        <f>SUM(F60:G60)</f>
        <v>0</v>
      </c>
      <c r="I60" s="188"/>
    </row>
    <row r="61" spans="1:9">
      <c r="A61" s="144" t="s">
        <v>157</v>
      </c>
      <c r="B61" s="184">
        <v>0</v>
      </c>
      <c r="C61" s="184">
        <v>0</v>
      </c>
      <c r="D61" s="184">
        <f>SUM(B61:C61)</f>
        <v>0</v>
      </c>
      <c r="E61" s="139"/>
      <c r="F61" s="146">
        <v>0</v>
      </c>
      <c r="G61" s="146">
        <v>0</v>
      </c>
      <c r="H61" s="148">
        <f>SUM(F61:G61)</f>
        <v>0</v>
      </c>
    </row>
    <row r="62" spans="1:9">
      <c r="A62" s="141" t="s">
        <v>204</v>
      </c>
      <c r="B62" s="184">
        <v>0</v>
      </c>
      <c r="C62" s="184">
        <v>0</v>
      </c>
      <c r="D62" s="184">
        <f>SUM(B62:C62)</f>
        <v>0</v>
      </c>
      <c r="E62" s="139"/>
      <c r="F62" s="146">
        <f>F63+F64</f>
        <v>53000</v>
      </c>
      <c r="G62" s="146">
        <f>G63+G64</f>
        <v>53000</v>
      </c>
      <c r="H62" s="148">
        <f>SUM(F62:G62)</f>
        <v>106000</v>
      </c>
    </row>
    <row r="63" spans="1:9">
      <c r="A63" s="144" t="s">
        <v>152</v>
      </c>
      <c r="B63" s="185">
        <v>0</v>
      </c>
      <c r="C63" s="185">
        <v>0</v>
      </c>
      <c r="D63" s="185">
        <f>SUM(B63:C63)</f>
        <v>0</v>
      </c>
      <c r="E63" s="139"/>
      <c r="F63" s="146">
        <v>0</v>
      </c>
      <c r="G63" s="146">
        <v>0</v>
      </c>
      <c r="H63" s="148">
        <f>SUM(F63:G63)</f>
        <v>0</v>
      </c>
    </row>
    <row r="64" spans="1:9">
      <c r="A64" s="144" t="s">
        <v>157</v>
      </c>
      <c r="B64" s="184">
        <v>0</v>
      </c>
      <c r="C64" s="184">
        <v>0</v>
      </c>
      <c r="D64" s="184">
        <f>SUM(B64:C64)</f>
        <v>0</v>
      </c>
      <c r="E64" s="139"/>
      <c r="F64" s="146">
        <v>53000</v>
      </c>
      <c r="G64" s="146">
        <v>53000</v>
      </c>
      <c r="H64" s="148">
        <f>SUM(F64:G64)</f>
        <v>106000</v>
      </c>
    </row>
    <row r="65" spans="1:135">
      <c r="A65" s="209" t="s">
        <v>206</v>
      </c>
      <c r="B65" s="182">
        <v>493447</v>
      </c>
      <c r="C65" s="182">
        <v>493447</v>
      </c>
      <c r="D65" s="182">
        <f>SUM(B65:C65)</f>
        <v>986894</v>
      </c>
      <c r="E65" s="139"/>
      <c r="F65" s="210">
        <f>F66+F67</f>
        <v>0</v>
      </c>
      <c r="G65" s="210">
        <f>G66+G67</f>
        <v>0</v>
      </c>
      <c r="H65" s="211">
        <f>SUM(F65:G65)</f>
        <v>0</v>
      </c>
    </row>
    <row r="66" spans="1:135">
      <c r="A66" s="144" t="s">
        <v>152</v>
      </c>
      <c r="B66" s="185">
        <v>30000</v>
      </c>
      <c r="C66" s="185">
        <v>30000</v>
      </c>
      <c r="D66" s="185">
        <f>SUM(B66:C66)</f>
        <v>60000</v>
      </c>
      <c r="E66" s="139"/>
      <c r="F66" s="146">
        <v>0</v>
      </c>
      <c r="G66" s="146">
        <v>0</v>
      </c>
      <c r="H66" s="148">
        <f>SUM(F66:G66)</f>
        <v>0</v>
      </c>
    </row>
    <row r="67" spans="1:135">
      <c r="A67" s="144" t="s">
        <v>157</v>
      </c>
      <c r="B67" s="184">
        <v>463447</v>
      </c>
      <c r="C67" s="184">
        <v>463447</v>
      </c>
      <c r="D67" s="184">
        <f>SUM(B67:C67)</f>
        <v>926894</v>
      </c>
      <c r="E67" s="139"/>
      <c r="F67" s="146">
        <v>0</v>
      </c>
      <c r="G67" s="146">
        <v>0</v>
      </c>
      <c r="H67" s="148">
        <f>SUM(F67:G67)</f>
        <v>0</v>
      </c>
    </row>
    <row r="68" spans="1:135">
      <c r="A68" s="141" t="s">
        <v>207</v>
      </c>
      <c r="B68" s="182">
        <v>0</v>
      </c>
      <c r="C68" s="182">
        <v>0</v>
      </c>
      <c r="D68" s="182">
        <f>SUM(B68:C68)</f>
        <v>0</v>
      </c>
      <c r="E68" s="139"/>
      <c r="F68" s="146">
        <f>F69+F70</f>
        <v>0</v>
      </c>
      <c r="G68" s="146">
        <f>G69+G70</f>
        <v>0</v>
      </c>
      <c r="H68" s="148">
        <f>SUM(F68:G68)</f>
        <v>0</v>
      </c>
    </row>
    <row r="69" spans="1:135">
      <c r="A69" s="144" t="s">
        <v>152</v>
      </c>
      <c r="B69" s="182">
        <v>0</v>
      </c>
      <c r="C69" s="182">
        <v>0</v>
      </c>
      <c r="D69" s="182">
        <f>SUM(B69:C69)</f>
        <v>0</v>
      </c>
      <c r="E69" s="190"/>
      <c r="F69" s="146">
        <v>0</v>
      </c>
      <c r="G69" s="146">
        <v>0</v>
      </c>
      <c r="H69" s="148">
        <f>SUM(F69:G69)</f>
        <v>0</v>
      </c>
    </row>
    <row r="70" spans="1:135">
      <c r="A70" s="144" t="s">
        <v>157</v>
      </c>
      <c r="B70" s="182">
        <v>0</v>
      </c>
      <c r="C70" s="182">
        <v>0</v>
      </c>
      <c r="D70" s="182">
        <f>SUM(B70:C70)</f>
        <v>0</v>
      </c>
      <c r="E70" s="190"/>
      <c r="F70" s="146">
        <v>0</v>
      </c>
      <c r="G70" s="146">
        <v>0</v>
      </c>
      <c r="H70" s="148">
        <f>SUM(F70:G70)</f>
        <v>0</v>
      </c>
    </row>
    <row r="71" spans="1:135">
      <c r="A71" s="141" t="s">
        <v>209</v>
      </c>
      <c r="B71" s="182">
        <v>0</v>
      </c>
      <c r="C71" s="182">
        <v>0</v>
      </c>
      <c r="D71" s="182">
        <f>SUM(B71:C71)</f>
        <v>0</v>
      </c>
      <c r="E71" s="190"/>
      <c r="F71" s="146">
        <f>F72+F73</f>
        <v>4100000</v>
      </c>
      <c r="G71" s="146">
        <f>G72+G73</f>
        <v>4050000</v>
      </c>
      <c r="H71" s="148">
        <f>SUM(F71:G71)</f>
        <v>8150000</v>
      </c>
    </row>
    <row r="72" spans="1:135">
      <c r="A72" s="144" t="s">
        <v>152</v>
      </c>
      <c r="B72" s="182">
        <v>0</v>
      </c>
      <c r="C72" s="182">
        <v>0</v>
      </c>
      <c r="D72" s="182">
        <f>SUM(B72:C72)</f>
        <v>0</v>
      </c>
      <c r="E72" s="191"/>
      <c r="F72" s="146">
        <v>4100000</v>
      </c>
      <c r="G72" s="146">
        <v>4050000</v>
      </c>
      <c r="H72" s="148">
        <f>SUM(F72:G72)</f>
        <v>8150000</v>
      </c>
    </row>
    <row r="73" spans="1:135">
      <c r="A73" s="144" t="s">
        <v>157</v>
      </c>
      <c r="B73" s="184">
        <v>0</v>
      </c>
      <c r="C73" s="184">
        <v>0</v>
      </c>
      <c r="D73" s="184">
        <f>SUM(B73:C73)</f>
        <v>0</v>
      </c>
      <c r="E73" s="190"/>
      <c r="F73" s="146">
        <v>0</v>
      </c>
      <c r="G73" s="146">
        <v>0</v>
      </c>
      <c r="H73" s="148">
        <f>SUM(F73:G73)</f>
        <v>0</v>
      </c>
    </row>
    <row r="74" spans="1:135">
      <c r="A74" s="141" t="s">
        <v>213</v>
      </c>
      <c r="B74" s="182">
        <v>475000</v>
      </c>
      <c r="C74" s="182">
        <v>3500000</v>
      </c>
      <c r="D74" s="182">
        <f>SUM(B74:C74)</f>
        <v>3975000</v>
      </c>
      <c r="E74" s="190"/>
      <c r="F74" s="146">
        <f>F75+F76</f>
        <v>0</v>
      </c>
      <c r="G74" s="146">
        <f>G75+G76</f>
        <v>475000</v>
      </c>
      <c r="H74" s="148">
        <f>SUM(F74:G74)</f>
        <v>475000</v>
      </c>
    </row>
    <row r="75" spans="1:135">
      <c r="A75" s="144" t="s">
        <v>152</v>
      </c>
      <c r="B75" s="184">
        <v>475000</v>
      </c>
      <c r="C75" s="184">
        <v>3500000</v>
      </c>
      <c r="D75" s="184">
        <f>SUM(B75:C75)</f>
        <v>3975000</v>
      </c>
      <c r="E75" s="190"/>
      <c r="F75" s="146">
        <v>0</v>
      </c>
      <c r="G75" s="146">
        <v>475000</v>
      </c>
      <c r="H75" s="148">
        <f>SUM(F75:G75)</f>
        <v>475000</v>
      </c>
    </row>
    <row r="76" spans="1:135">
      <c r="A76" s="144" t="s">
        <v>157</v>
      </c>
      <c r="B76" s="184">
        <v>0</v>
      </c>
      <c r="C76" s="184">
        <v>0</v>
      </c>
      <c r="D76" s="184">
        <f>SUM(B76:C76)</f>
        <v>0</v>
      </c>
      <c r="E76" s="190"/>
      <c r="F76" s="146">
        <v>0</v>
      </c>
      <c r="G76" s="146">
        <v>0</v>
      </c>
      <c r="H76" s="148">
        <f>SUM(F76:G76)</f>
        <v>0</v>
      </c>
    </row>
    <row r="77" spans="1:135">
      <c r="A77" s="186" t="s">
        <v>200</v>
      </c>
      <c r="B77" s="187">
        <f t="shared" ref="B77:D77" si="0">B78+B79</f>
        <v>11937358.5</v>
      </c>
      <c r="C77" s="187">
        <f t="shared" si="0"/>
        <v>9408358.5</v>
      </c>
      <c r="D77" s="187">
        <f t="shared" si="0"/>
        <v>21345717</v>
      </c>
      <c r="E77" s="187"/>
      <c r="F77" s="187">
        <f>F78+F79+F80</f>
        <v>24082944</v>
      </c>
      <c r="G77" s="187">
        <f>G78+G79+G80</f>
        <v>21956164</v>
      </c>
      <c r="H77" s="187">
        <f t="shared" ref="H77" si="1">H78+H79</f>
        <v>44998578</v>
      </c>
    </row>
    <row r="78" spans="1:135" s="193" customFormat="1">
      <c r="A78" s="193" t="s">
        <v>152</v>
      </c>
      <c r="B78" s="194">
        <f>SUMIF($A$5:$A$76,"Capital",B$5:B$76)</f>
        <v>8449000</v>
      </c>
      <c r="C78" s="194">
        <f>SUMIF($A$5:$A$76,"Capital",C$5:C$76)</f>
        <v>5720000</v>
      </c>
      <c r="D78" s="194">
        <f>SUMIF($A$5:$A$76,"Capital",D$5:D$76)</f>
        <v>14169000</v>
      </c>
      <c r="F78" s="194">
        <f>SUMIF($A$5:$A$76,"Capital",F$5:F$76)</f>
        <v>21776500</v>
      </c>
      <c r="G78" s="194">
        <f>SUMIF($A$5:$A$76,"Capital",G$5:G$76)</f>
        <v>19079000</v>
      </c>
      <c r="H78" s="194">
        <f>SUMIF($A$5:$A$76,"Capital",H$5:H$76)</f>
        <v>40855500</v>
      </c>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39"/>
      <c r="CJ78" s="139"/>
      <c r="CK78" s="139"/>
      <c r="CL78" s="139"/>
      <c r="CM78" s="139"/>
      <c r="CN78" s="139"/>
      <c r="CO78" s="139"/>
      <c r="CP78" s="139"/>
      <c r="CQ78" s="139"/>
      <c r="CR78" s="139"/>
      <c r="CS78" s="139"/>
      <c r="CT78" s="139"/>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c r="EC78" s="139"/>
      <c r="ED78" s="139"/>
      <c r="EE78" s="139"/>
    </row>
    <row r="79" spans="1:135" s="193" customFormat="1">
      <c r="A79" s="193" t="s">
        <v>157</v>
      </c>
      <c r="B79" s="194">
        <f>SUMIF($A$5:$A$76,"Expense",B$5:B$76)</f>
        <v>3488358.5</v>
      </c>
      <c r="C79" s="194">
        <f>SUMIF($A$5:$A$76,"Expense",C$5:C$76)</f>
        <v>3688358.5</v>
      </c>
      <c r="D79" s="194">
        <f>SUMIF($A$5:$A$76,"Expense",D$5:D$76)</f>
        <v>7176717</v>
      </c>
      <c r="F79" s="194">
        <f>SUMIF($A$5:$A$76,"Expense",F$5:F$76)</f>
        <v>1794128</v>
      </c>
      <c r="G79" s="194">
        <f>SUMIF($A$5:$A$76,"Expense",G$5:G$76)</f>
        <v>2348950</v>
      </c>
      <c r="H79" s="194">
        <f>SUMIF($A$5:$A$76,"Expense",H$5:H$76)</f>
        <v>4143078</v>
      </c>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139"/>
      <c r="BF79" s="139"/>
      <c r="BG79" s="139"/>
      <c r="BH79" s="139"/>
      <c r="BI79" s="139"/>
      <c r="BJ79" s="139"/>
      <c r="BK79" s="139"/>
      <c r="BL79" s="139"/>
      <c r="BM79" s="139"/>
      <c r="BN79" s="139"/>
      <c r="BO79" s="139"/>
      <c r="BP79" s="139"/>
      <c r="BQ79" s="139"/>
      <c r="BR79" s="139"/>
      <c r="BS79" s="139"/>
      <c r="BT79" s="139"/>
      <c r="BU79" s="139"/>
      <c r="BV79" s="139"/>
      <c r="BW79" s="139"/>
      <c r="BX79" s="139"/>
      <c r="BY79" s="139"/>
      <c r="BZ79" s="139"/>
      <c r="CA79" s="139"/>
      <c r="CB79" s="139"/>
      <c r="CC79" s="139"/>
      <c r="CD79" s="139"/>
      <c r="CE79" s="139"/>
      <c r="CF79" s="139"/>
      <c r="CG79" s="139"/>
      <c r="CH79" s="139"/>
      <c r="CI79" s="139"/>
      <c r="CJ79" s="139"/>
      <c r="CK79" s="139"/>
      <c r="CL79" s="139"/>
      <c r="CM79" s="139"/>
      <c r="CN79" s="139"/>
      <c r="CO79" s="139"/>
      <c r="CP79" s="139"/>
      <c r="CQ79" s="139"/>
      <c r="CR79" s="139"/>
      <c r="CS79" s="139"/>
      <c r="CT79" s="139"/>
      <c r="CU79" s="139"/>
      <c r="CV79" s="139"/>
      <c r="CW79" s="139"/>
      <c r="CX79" s="139"/>
      <c r="CY79" s="139"/>
      <c r="CZ79" s="139"/>
      <c r="DA79" s="139"/>
      <c r="DB79" s="139"/>
      <c r="DC79" s="139"/>
      <c r="DD79" s="139"/>
      <c r="DE79" s="139"/>
      <c r="DF79" s="139"/>
      <c r="DG79" s="139"/>
      <c r="DH79" s="139"/>
      <c r="DI79" s="139"/>
      <c r="DJ79" s="139"/>
      <c r="DK79" s="139"/>
      <c r="DL79" s="139"/>
      <c r="DM79" s="139"/>
      <c r="DN79" s="139"/>
      <c r="DO79" s="139"/>
      <c r="DP79" s="139"/>
      <c r="DQ79" s="139"/>
      <c r="DR79" s="139"/>
      <c r="DS79" s="139"/>
      <c r="DT79" s="139"/>
      <c r="DU79" s="139"/>
      <c r="DV79" s="139"/>
      <c r="DW79" s="139"/>
      <c r="DX79" s="139"/>
      <c r="DY79" s="139"/>
      <c r="DZ79" s="139"/>
      <c r="EA79" s="139"/>
      <c r="EB79" s="139"/>
      <c r="EC79" s="139"/>
      <c r="ED79" s="139"/>
      <c r="EE79" s="139"/>
    </row>
    <row r="80" spans="1:135">
      <c r="A80" s="193" t="s">
        <v>250</v>
      </c>
      <c r="B80" s="193"/>
      <c r="C80" s="193"/>
      <c r="D80" s="193">
        <f>B80+C80</f>
        <v>0</v>
      </c>
      <c r="E80" s="231"/>
      <c r="F80" s="194">
        <f>310683+201633</f>
        <v>512316</v>
      </c>
      <c r="G80" s="194">
        <f>320324+207890</f>
        <v>528214</v>
      </c>
      <c r="H80" s="194">
        <f>F80+G80</f>
        <v>1040530</v>
      </c>
    </row>
    <row r="81" spans="1:135">
      <c r="E81" s="139"/>
    </row>
    <row r="82" spans="1:135">
      <c r="A82" s="189" t="s">
        <v>201</v>
      </c>
    </row>
    <row r="83" spans="1:135">
      <c r="A83" s="209" t="s">
        <v>251</v>
      </c>
      <c r="B83" s="182">
        <v>14079999.999999745</v>
      </c>
      <c r="C83" s="182">
        <v>14079999.999999745</v>
      </c>
      <c r="D83" s="182">
        <f>SUM(B83:C83)</f>
        <v>28159999.99999949</v>
      </c>
      <c r="E83" s="190"/>
      <c r="F83" s="210">
        <f>F84+F85</f>
        <v>0</v>
      </c>
      <c r="G83" s="210">
        <f>G84+G85</f>
        <v>0</v>
      </c>
      <c r="H83" s="211">
        <f>SUM(F83:G83)</f>
        <v>0</v>
      </c>
    </row>
    <row r="84" spans="1:135">
      <c r="A84" s="144" t="s">
        <v>152</v>
      </c>
      <c r="B84" s="182">
        <v>14079999.999999745</v>
      </c>
      <c r="C84" s="182">
        <v>14079999.999999745</v>
      </c>
      <c r="D84" s="182">
        <f>SUM(B84:C84)</f>
        <v>28159999.99999949</v>
      </c>
      <c r="E84" s="190"/>
      <c r="F84" s="146">
        <v>0</v>
      </c>
      <c r="G84" s="146">
        <v>0</v>
      </c>
      <c r="H84" s="273">
        <f>SUM(F84:G84)</f>
        <v>0</v>
      </c>
    </row>
    <row r="85" spans="1:135">
      <c r="A85" s="144" t="s">
        <v>157</v>
      </c>
      <c r="B85" s="184">
        <v>0</v>
      </c>
      <c r="C85" s="184">
        <v>0</v>
      </c>
      <c r="D85" s="184">
        <f>SUM(B85:C85)</f>
        <v>0</v>
      </c>
      <c r="E85" s="190"/>
      <c r="F85" s="146">
        <v>0</v>
      </c>
      <c r="G85" s="146">
        <v>0</v>
      </c>
      <c r="H85" s="273">
        <f>SUM(F85:G85)</f>
        <v>0</v>
      </c>
    </row>
    <row r="86" spans="1:135">
      <c r="A86" s="209" t="s">
        <v>252</v>
      </c>
      <c r="B86" s="182">
        <v>17500000</v>
      </c>
      <c r="C86" s="182">
        <v>25000000</v>
      </c>
      <c r="D86" s="182">
        <f>SUM(B86:C86)</f>
        <v>42500000</v>
      </c>
      <c r="E86" s="190"/>
      <c r="F86" s="210">
        <f>F87+F88</f>
        <v>0</v>
      </c>
      <c r="G86" s="210">
        <f>G87+G88</f>
        <v>0</v>
      </c>
      <c r="H86" s="211">
        <f>SUM(F86:G86)</f>
        <v>0</v>
      </c>
    </row>
    <row r="87" spans="1:135">
      <c r="A87" s="144" t="s">
        <v>152</v>
      </c>
      <c r="B87" s="184">
        <v>17500000</v>
      </c>
      <c r="C87" s="184">
        <v>25000000</v>
      </c>
      <c r="D87" s="184">
        <f>SUM(B87:C87)</f>
        <v>42500000</v>
      </c>
      <c r="E87" s="190"/>
      <c r="F87" s="146">
        <v>0</v>
      </c>
      <c r="G87" s="146">
        <v>0</v>
      </c>
      <c r="H87" s="273">
        <f>SUM(F87:G87)</f>
        <v>0</v>
      </c>
    </row>
    <row r="88" spans="1:135">
      <c r="A88" s="144" t="s">
        <v>157</v>
      </c>
      <c r="B88" s="184">
        <v>0</v>
      </c>
      <c r="C88" s="184">
        <v>0</v>
      </c>
      <c r="D88" s="184">
        <f>SUM(B88:C88)</f>
        <v>0</v>
      </c>
      <c r="E88" s="190"/>
      <c r="F88" s="146">
        <v>0</v>
      </c>
      <c r="G88" s="146">
        <v>0</v>
      </c>
      <c r="H88" s="273">
        <f>SUM(F88:G88)</f>
        <v>0</v>
      </c>
    </row>
    <row r="89" spans="1:135">
      <c r="A89" s="141" t="s">
        <v>253</v>
      </c>
      <c r="B89" s="182">
        <v>7134225</v>
      </c>
      <c r="C89" s="182">
        <v>7134225</v>
      </c>
      <c r="D89" s="182">
        <f t="shared" ref="D89:D91" si="2">SUM(B89:C89)</f>
        <v>14268450</v>
      </c>
      <c r="E89" s="190"/>
      <c r="F89" s="146">
        <f>F90+F91</f>
        <v>0</v>
      </c>
      <c r="G89" s="146">
        <f>G90+G91</f>
        <v>0</v>
      </c>
      <c r="H89" s="273">
        <f t="shared" ref="H89:H91" si="3">SUM(F89:G89)</f>
        <v>0</v>
      </c>
    </row>
    <row r="90" spans="1:135">
      <c r="A90" s="144" t="s">
        <v>152</v>
      </c>
      <c r="B90" s="182">
        <v>6667500</v>
      </c>
      <c r="C90" s="182">
        <v>6667500</v>
      </c>
      <c r="D90" s="182">
        <f t="shared" si="2"/>
        <v>13335000</v>
      </c>
      <c r="E90" s="190"/>
      <c r="F90" s="146">
        <v>0</v>
      </c>
      <c r="G90" s="146">
        <v>0</v>
      </c>
      <c r="H90" s="273">
        <f t="shared" si="3"/>
        <v>0</v>
      </c>
    </row>
    <row r="91" spans="1:135">
      <c r="A91" s="144" t="s">
        <v>157</v>
      </c>
      <c r="B91" s="182">
        <v>466724.99999999994</v>
      </c>
      <c r="C91" s="182">
        <v>466724.99999999994</v>
      </c>
      <c r="D91" s="182">
        <f t="shared" si="2"/>
        <v>933449.99999999988</v>
      </c>
      <c r="E91" s="190"/>
      <c r="F91" s="146">
        <v>0</v>
      </c>
      <c r="G91" s="146">
        <v>0</v>
      </c>
      <c r="H91" s="273">
        <f t="shared" si="3"/>
        <v>0</v>
      </c>
    </row>
    <row r="92" spans="1:135">
      <c r="A92" s="141" t="s">
        <v>254</v>
      </c>
      <c r="B92" s="182">
        <v>0</v>
      </c>
      <c r="C92" s="182">
        <v>0</v>
      </c>
      <c r="D92" s="182">
        <v>0</v>
      </c>
      <c r="E92" s="190"/>
      <c r="F92" s="146">
        <v>0</v>
      </c>
      <c r="G92" s="146">
        <v>0</v>
      </c>
      <c r="H92" s="148">
        <v>0</v>
      </c>
    </row>
    <row r="93" spans="1:135">
      <c r="A93" s="144" t="s">
        <v>152</v>
      </c>
      <c r="B93" s="182">
        <v>0</v>
      </c>
      <c r="C93" s="182">
        <v>0</v>
      </c>
      <c r="D93" s="182">
        <v>0</v>
      </c>
      <c r="E93" s="190"/>
      <c r="F93" s="146">
        <v>0</v>
      </c>
      <c r="G93" s="146">
        <v>0</v>
      </c>
      <c r="H93" s="148">
        <v>0</v>
      </c>
    </row>
    <row r="94" spans="1:135">
      <c r="A94" s="144" t="s">
        <v>157</v>
      </c>
      <c r="B94" s="184"/>
      <c r="C94" s="184"/>
      <c r="D94" s="184"/>
      <c r="E94" s="190"/>
      <c r="F94" s="146"/>
      <c r="G94" s="146"/>
      <c r="H94" s="148"/>
    </row>
    <row r="95" spans="1:135">
      <c r="A95" s="186" t="s">
        <v>255</v>
      </c>
      <c r="B95" s="187">
        <f t="shared" ref="B95:G95" si="4">B96+B97</f>
        <v>38714224.999999747</v>
      </c>
      <c r="C95" s="187">
        <f t="shared" si="4"/>
        <v>46214224.999999747</v>
      </c>
      <c r="D95" s="187">
        <f>D96+D97</f>
        <v>84928449.999999493</v>
      </c>
      <c r="E95" s="187"/>
      <c r="F95" s="187">
        <f t="shared" si="4"/>
        <v>0</v>
      </c>
      <c r="G95" s="187">
        <f t="shared" si="4"/>
        <v>0</v>
      </c>
      <c r="H95" s="187">
        <f>H96+H97</f>
        <v>0</v>
      </c>
    </row>
    <row r="96" spans="1:135" s="193" customFormat="1" ht="13.5" customHeight="1">
      <c r="A96" s="193" t="s">
        <v>152</v>
      </c>
      <c r="B96" s="194">
        <f t="shared" ref="B96:H97" si="5">B84+B87+B90+B93</f>
        <v>38247499.999999747</v>
      </c>
      <c r="C96" s="194">
        <f t="shared" si="5"/>
        <v>45747499.999999747</v>
      </c>
      <c r="D96" s="194">
        <f>D84+D87+D90+D93</f>
        <v>83994999.999999493</v>
      </c>
      <c r="F96" s="194">
        <f>F84+F87+F90+F93</f>
        <v>0</v>
      </c>
      <c r="G96" s="194">
        <f t="shared" si="5"/>
        <v>0</v>
      </c>
      <c r="H96" s="194">
        <f>H84+H87+H90+H93</f>
        <v>0</v>
      </c>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c r="AZ96" s="139"/>
      <c r="BA96" s="139"/>
      <c r="BB96" s="139"/>
      <c r="BC96" s="139"/>
      <c r="BD96" s="139"/>
      <c r="BE96" s="139"/>
      <c r="BF96" s="139"/>
      <c r="BG96" s="139"/>
      <c r="BH96" s="139"/>
      <c r="BI96" s="139"/>
      <c r="BJ96" s="139"/>
      <c r="BK96" s="139"/>
      <c r="BL96" s="139"/>
      <c r="BM96" s="139"/>
      <c r="BN96" s="139"/>
      <c r="BO96" s="139"/>
      <c r="BP96" s="139"/>
      <c r="BQ96" s="139"/>
      <c r="BR96" s="139"/>
      <c r="BS96" s="139"/>
      <c r="BT96" s="139"/>
      <c r="BU96" s="139"/>
      <c r="BV96" s="139"/>
      <c r="BW96" s="139"/>
      <c r="BX96" s="139"/>
      <c r="BY96" s="139"/>
      <c r="BZ96" s="139"/>
      <c r="CA96" s="139"/>
      <c r="CB96" s="139"/>
      <c r="CC96" s="139"/>
      <c r="CD96" s="139"/>
      <c r="CE96" s="139"/>
      <c r="CF96" s="139"/>
      <c r="CG96" s="139"/>
      <c r="CH96" s="139"/>
      <c r="CI96" s="139"/>
      <c r="CJ96" s="139"/>
      <c r="CK96" s="139"/>
      <c r="CL96" s="139"/>
      <c r="CM96" s="139"/>
      <c r="CN96" s="139"/>
      <c r="CO96" s="139"/>
      <c r="CP96" s="139"/>
      <c r="CQ96" s="139"/>
      <c r="CR96" s="139"/>
      <c r="CS96" s="139"/>
      <c r="CT96" s="139"/>
      <c r="CU96" s="139"/>
      <c r="CV96" s="139"/>
      <c r="CW96" s="139"/>
      <c r="CX96" s="139"/>
      <c r="CY96" s="139"/>
      <c r="CZ96" s="139"/>
      <c r="DA96" s="139"/>
      <c r="DB96" s="139"/>
      <c r="DC96" s="139"/>
      <c r="DD96" s="139"/>
      <c r="DE96" s="139"/>
      <c r="DF96" s="139"/>
      <c r="DG96" s="139"/>
      <c r="DH96" s="139"/>
      <c r="DI96" s="139"/>
      <c r="DJ96" s="139"/>
      <c r="DK96" s="139"/>
      <c r="DL96" s="139"/>
      <c r="DM96" s="139"/>
      <c r="DN96" s="139"/>
      <c r="DO96" s="139"/>
      <c r="DP96" s="139"/>
      <c r="DQ96" s="139"/>
      <c r="DR96" s="139"/>
      <c r="DS96" s="139"/>
      <c r="DT96" s="139"/>
      <c r="DU96" s="139"/>
      <c r="DV96" s="139"/>
      <c r="DW96" s="139"/>
      <c r="DX96" s="139"/>
      <c r="DY96" s="139"/>
      <c r="DZ96" s="139"/>
      <c r="EA96" s="139"/>
      <c r="EB96" s="139"/>
      <c r="EC96" s="139"/>
      <c r="ED96" s="139"/>
      <c r="EE96" s="139"/>
    </row>
    <row r="97" spans="1:135" s="193" customFormat="1">
      <c r="A97" s="193" t="s">
        <v>157</v>
      </c>
      <c r="B97" s="194">
        <f t="shared" si="5"/>
        <v>466724.99999999994</v>
      </c>
      <c r="C97" s="194">
        <f t="shared" si="5"/>
        <v>466724.99999999994</v>
      </c>
      <c r="D97" s="194">
        <f t="shared" ref="D97" si="6">D85+D88+D91+D94</f>
        <v>933449.99999999988</v>
      </c>
      <c r="F97" s="194">
        <f>F85+F88+F91+F94</f>
        <v>0</v>
      </c>
      <c r="G97" s="194">
        <f t="shared" si="5"/>
        <v>0</v>
      </c>
      <c r="H97" s="194">
        <f t="shared" si="5"/>
        <v>0</v>
      </c>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c r="AZ97" s="139"/>
      <c r="BA97" s="139"/>
      <c r="BB97" s="139"/>
      <c r="BC97" s="139"/>
      <c r="BD97" s="139"/>
      <c r="BE97" s="139"/>
      <c r="BF97" s="139"/>
      <c r="BG97" s="139"/>
      <c r="BH97" s="139"/>
      <c r="BI97" s="139"/>
      <c r="BJ97" s="139"/>
      <c r="BK97" s="139"/>
      <c r="BL97" s="139"/>
      <c r="BM97" s="139"/>
      <c r="BN97" s="139"/>
      <c r="BO97" s="139"/>
      <c r="BP97" s="139"/>
      <c r="BQ97" s="139"/>
      <c r="BR97" s="139"/>
      <c r="BS97" s="139"/>
      <c r="BT97" s="139"/>
      <c r="BU97" s="139"/>
      <c r="BV97" s="139"/>
      <c r="BW97" s="139"/>
      <c r="BX97" s="139"/>
      <c r="BY97" s="139"/>
      <c r="BZ97" s="139"/>
      <c r="CA97" s="139"/>
      <c r="CB97" s="139"/>
      <c r="CC97" s="139"/>
      <c r="CD97" s="139"/>
      <c r="CE97" s="139"/>
      <c r="CF97" s="139"/>
      <c r="CG97" s="139"/>
      <c r="CH97" s="139"/>
      <c r="CI97" s="139"/>
      <c r="CJ97" s="139"/>
      <c r="CK97" s="139"/>
      <c r="CL97" s="139"/>
      <c r="CM97" s="139"/>
      <c r="CN97" s="139"/>
      <c r="CO97" s="139"/>
      <c r="CP97" s="139"/>
      <c r="CQ97" s="139"/>
      <c r="CR97" s="139"/>
      <c r="CS97" s="139"/>
      <c r="CT97" s="139"/>
      <c r="CU97" s="139"/>
      <c r="CV97" s="139"/>
      <c r="CW97" s="139"/>
      <c r="CX97" s="139"/>
      <c r="CY97" s="139"/>
      <c r="CZ97" s="139"/>
      <c r="DA97" s="139"/>
      <c r="DB97" s="139"/>
      <c r="DC97" s="139"/>
      <c r="DD97" s="139"/>
      <c r="DE97" s="139"/>
      <c r="DF97" s="139"/>
      <c r="DG97" s="139"/>
      <c r="DH97" s="139"/>
      <c r="DI97" s="139"/>
      <c r="DJ97" s="139"/>
      <c r="DK97" s="139"/>
      <c r="DL97" s="139"/>
      <c r="DM97" s="139"/>
      <c r="DN97" s="139"/>
      <c r="DO97" s="139"/>
      <c r="DP97" s="139"/>
      <c r="DQ97" s="139"/>
      <c r="DR97" s="139"/>
      <c r="DS97" s="139"/>
      <c r="DT97" s="139"/>
      <c r="DU97" s="139"/>
      <c r="DV97" s="139"/>
      <c r="DW97" s="139"/>
      <c r="DX97" s="139"/>
      <c r="DY97" s="139"/>
      <c r="DZ97" s="139"/>
      <c r="EA97" s="139"/>
      <c r="EB97" s="139"/>
      <c r="EC97" s="139"/>
      <c r="ED97" s="139"/>
      <c r="EE97" s="139"/>
    </row>
    <row r="98" spans="1:135"/>
    <row r="99" spans="1:135">
      <c r="A99" s="145" t="s">
        <v>69</v>
      </c>
      <c r="B99" s="195">
        <f t="shared" ref="B99:H99" si="7">B77+B95</f>
        <v>50651583.499999747</v>
      </c>
      <c r="C99" s="195">
        <f t="shared" si="7"/>
        <v>55622583.499999747</v>
      </c>
      <c r="D99" s="195">
        <f t="shared" ref="D99" si="8">D77+D95</f>
        <v>106274166.99999949</v>
      </c>
      <c r="E99" s="196"/>
      <c r="F99" s="195">
        <f>F77+F95</f>
        <v>24082944</v>
      </c>
      <c r="G99" s="195">
        <f t="shared" si="7"/>
        <v>21956164</v>
      </c>
      <c r="H99" s="195">
        <f t="shared" si="7"/>
        <v>44998578</v>
      </c>
    </row>
    <row r="100" spans="1:135">
      <c r="E100" s="150"/>
    </row>
    <row r="101" spans="1:135">
      <c r="E101" s="150"/>
    </row>
    <row r="102" spans="1:135">
      <c r="A102" s="288" t="s">
        <v>256</v>
      </c>
      <c r="E102" s="150"/>
    </row>
    <row r="103" spans="1:135" ht="35.450000000000003" customHeight="1">
      <c r="A103" s="288"/>
      <c r="E103" s="150"/>
    </row>
    <row r="104" spans="1:135">
      <c r="E104" s="150"/>
    </row>
    <row r="105" spans="1:135" ht="14.45" customHeight="1">
      <c r="A105" s="288" t="s">
        <v>257</v>
      </c>
      <c r="E105" s="150"/>
    </row>
    <row r="106" spans="1:135">
      <c r="A106" s="288"/>
      <c r="E106" s="150"/>
    </row>
    <row r="107" spans="1:135">
      <c r="A107" s="288"/>
      <c r="E107" s="150"/>
    </row>
    <row r="108" spans="1:135" ht="12.6" customHeight="1">
      <c r="A108" s="288"/>
      <c r="E108" s="150"/>
    </row>
    <row r="109" spans="1:135">
      <c r="A109" s="288"/>
      <c r="E109" s="150"/>
    </row>
    <row r="110" spans="1:135">
      <c r="A110" s="288"/>
      <c r="E110" s="150"/>
    </row>
    <row r="111" spans="1:135">
      <c r="A111" s="288"/>
      <c r="E111" s="150"/>
    </row>
    <row r="112" spans="1:135">
      <c r="A112" s="288"/>
      <c r="E112" s="150"/>
    </row>
    <row r="113" spans="1:5">
      <c r="A113" s="288"/>
      <c r="E113" s="150"/>
    </row>
    <row r="114" spans="1:5">
      <c r="A114" s="288"/>
      <c r="E114" s="150"/>
    </row>
    <row r="115" spans="1:5">
      <c r="E115" s="150"/>
    </row>
    <row r="116" spans="1:5">
      <c r="E116" s="150"/>
    </row>
    <row r="117" spans="1:5">
      <c r="E117" s="150"/>
    </row>
    <row r="118" spans="1:5">
      <c r="E118" s="150"/>
    </row>
    <row r="119" spans="1:5">
      <c r="E119" s="150"/>
    </row>
    <row r="120" spans="1:5">
      <c r="E120" s="150"/>
    </row>
    <row r="121" spans="1:5">
      <c r="E121" s="150"/>
    </row>
    <row r="122" spans="1:5">
      <c r="E122" s="150"/>
    </row>
    <row r="123" spans="1:5">
      <c r="E123" s="150"/>
    </row>
    <row r="124" spans="1:5">
      <c r="E124" s="150"/>
    </row>
    <row r="125" spans="1:5">
      <c r="E125" s="150"/>
    </row>
    <row r="126" spans="1:5">
      <c r="E126" s="150"/>
    </row>
    <row r="127" spans="1:5">
      <c r="E127" s="150"/>
    </row>
    <row r="128" spans="1:5">
      <c r="E128" s="150"/>
    </row>
    <row r="129" spans="5:5">
      <c r="E129" s="150"/>
    </row>
    <row r="130" spans="5:5">
      <c r="E130" s="150"/>
    </row>
    <row r="131" spans="5:5">
      <c r="E131" s="150"/>
    </row>
    <row r="132" spans="5:5">
      <c r="E132" s="150"/>
    </row>
    <row r="133" spans="5:5">
      <c r="E133" s="150"/>
    </row>
    <row r="134" spans="5:5">
      <c r="E134" s="150"/>
    </row>
    <row r="135" spans="5:5">
      <c r="E135" s="150"/>
    </row>
    <row r="136" spans="5:5">
      <c r="E136" s="150"/>
    </row>
    <row r="137" spans="5:5">
      <c r="E137" s="150"/>
    </row>
  </sheetData>
  <mergeCells count="4">
    <mergeCell ref="A105:A114"/>
    <mergeCell ref="F1:H1"/>
    <mergeCell ref="B1:D1"/>
    <mergeCell ref="A102:A103"/>
  </mergeCells>
  <conditionalFormatting sqref="B5:D76 B83:D94">
    <cfRule type="expression" dxfId="0" priority="15">
      <formula>IF(#REF!=0,TRUE,FALSE)</formula>
    </cfRule>
  </conditionalFormatting>
  <pageMargins left="0.7" right="0.7" top="0.75" bottom="0.75"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7"/>
  <sheetViews>
    <sheetView zoomScale="115" zoomScaleNormal="115" workbookViewId="0"/>
  </sheetViews>
  <sheetFormatPr defaultRowHeight="14.45"/>
  <cols>
    <col min="1" max="1" width="40.5703125" customWidth="1"/>
    <col min="2" max="2" width="15.5703125" bestFit="1" customWidth="1"/>
    <col min="3" max="3" width="20" customWidth="1"/>
    <col min="4" max="4" width="21.5703125" customWidth="1"/>
    <col min="5" max="5" width="12.42578125" customWidth="1"/>
    <col min="6" max="6" width="9.28515625" bestFit="1" customWidth="1"/>
  </cols>
  <sheetData>
    <row r="1" spans="1:4" ht="46.5" customHeight="1">
      <c r="A1" s="254" t="s">
        <v>258</v>
      </c>
      <c r="B1" s="292"/>
      <c r="C1" s="292"/>
      <c r="D1" s="292"/>
    </row>
    <row r="2" spans="1:4" ht="15">
      <c r="A2" s="255"/>
      <c r="B2" s="255"/>
      <c r="C2" s="255"/>
      <c r="D2" s="255"/>
    </row>
    <row r="3" spans="1:4" ht="26.25">
      <c r="A3" s="293" t="s">
        <v>259</v>
      </c>
      <c r="B3" s="293"/>
      <c r="C3" s="293"/>
      <c r="D3" s="293"/>
    </row>
    <row r="4" spans="1:4" s="234" customFormat="1" ht="15">
      <c r="A4" s="256" t="s">
        <v>260</v>
      </c>
      <c r="B4" s="256">
        <v>2024</v>
      </c>
      <c r="C4" s="256">
        <v>2025</v>
      </c>
      <c r="D4" s="256" t="s">
        <v>261</v>
      </c>
    </row>
    <row r="5" spans="1:4" ht="15">
      <c r="A5" s="257" t="s">
        <v>262</v>
      </c>
      <c r="B5" s="258">
        <v>138.91999999999999</v>
      </c>
      <c r="C5" s="258">
        <v>4047.24</v>
      </c>
      <c r="D5" s="258">
        <f>SUM(B5:C5)</f>
        <v>4186.16</v>
      </c>
    </row>
    <row r="6" spans="1:4" ht="15">
      <c r="A6" s="257" t="s">
        <v>263</v>
      </c>
      <c r="B6" s="258">
        <v>2080.13</v>
      </c>
      <c r="C6" s="258">
        <v>11626.96</v>
      </c>
      <c r="D6" s="258">
        <f>SUM(B6:C6)</f>
        <v>13707.09</v>
      </c>
    </row>
    <row r="7" spans="1:4" ht="15">
      <c r="A7" s="257" t="s">
        <v>264</v>
      </c>
      <c r="B7" s="258">
        <v>0</v>
      </c>
      <c r="C7" s="258">
        <v>0</v>
      </c>
      <c r="D7" s="258">
        <f t="shared" ref="D7:D12" si="0">SUM(B7:C7)</f>
        <v>0</v>
      </c>
    </row>
    <row r="8" spans="1:4" ht="15">
      <c r="A8" s="257" t="s">
        <v>265</v>
      </c>
      <c r="B8" s="258">
        <v>916.39570000000003</v>
      </c>
      <c r="C8" s="258">
        <v>2198.8679999999999</v>
      </c>
      <c r="D8" s="258">
        <f t="shared" si="0"/>
        <v>3115.2637</v>
      </c>
    </row>
    <row r="9" spans="1:4" ht="15">
      <c r="A9" s="257" t="s">
        <v>266</v>
      </c>
      <c r="B9" s="258">
        <v>0</v>
      </c>
      <c r="C9" s="258">
        <v>591.48239999999998</v>
      </c>
      <c r="D9" s="258">
        <f t="shared" si="0"/>
        <v>591.48239999999998</v>
      </c>
    </row>
    <row r="10" spans="1:4" ht="15">
      <c r="A10" s="257" t="s">
        <v>267</v>
      </c>
      <c r="B10" s="258">
        <v>832.40840000000003</v>
      </c>
      <c r="C10" s="258">
        <v>850.88739999999996</v>
      </c>
      <c r="D10" s="258">
        <f t="shared" si="0"/>
        <v>1683.2957999999999</v>
      </c>
    </row>
    <row r="11" spans="1:4" ht="15">
      <c r="A11" s="257" t="s">
        <v>268</v>
      </c>
      <c r="B11" s="258">
        <v>155.36510000000001</v>
      </c>
      <c r="C11" s="258">
        <v>591.48239999999998</v>
      </c>
      <c r="D11" s="258">
        <f t="shared" si="0"/>
        <v>746.84749999999997</v>
      </c>
    </row>
    <row r="12" spans="1:4" ht="15">
      <c r="A12" s="259" t="s">
        <v>35</v>
      </c>
      <c r="B12" s="260">
        <f>SUM(B5:B11)</f>
        <v>4123.2192000000005</v>
      </c>
      <c r="C12" s="260">
        <f>SUM(C5:C11)</f>
        <v>19906.9202</v>
      </c>
      <c r="D12" s="258">
        <f t="shared" si="0"/>
        <v>24030.1394</v>
      </c>
    </row>
    <row r="13" spans="1:4" ht="15">
      <c r="A13" s="255"/>
      <c r="B13" s="261"/>
      <c r="C13" s="261"/>
      <c r="D13" s="255"/>
    </row>
    <row r="14" spans="1:4" s="234" customFormat="1" ht="15">
      <c r="A14" s="256" t="s">
        <v>260</v>
      </c>
      <c r="B14" s="256">
        <v>2024</v>
      </c>
      <c r="C14" s="256">
        <v>2025</v>
      </c>
      <c r="D14" s="256" t="s">
        <v>261</v>
      </c>
    </row>
    <row r="15" spans="1:4" ht="15">
      <c r="A15" s="257" t="s">
        <v>269</v>
      </c>
      <c r="B15" s="258">
        <v>0</v>
      </c>
      <c r="C15" s="258">
        <v>7712.7349999999997</v>
      </c>
      <c r="D15" s="258">
        <f>SUM(B15:C15)</f>
        <v>7712.7349999999997</v>
      </c>
    </row>
    <row r="16" spans="1:4" ht="15">
      <c r="A16" s="262" t="s">
        <v>35</v>
      </c>
      <c r="B16" s="260">
        <v>0</v>
      </c>
      <c r="C16" s="260">
        <f>C15</f>
        <v>7712.7349999999997</v>
      </c>
      <c r="D16" s="258">
        <f>SUM(B16:C16)</f>
        <v>7712.7349999999997</v>
      </c>
    </row>
    <row r="17" ht="15"/>
  </sheetData>
  <mergeCells count="2">
    <mergeCell ref="B1:D1"/>
    <mergeCell ref="A3:D3"/>
  </mergeCells>
  <pageMargins left="0.7" right="0.7" top="0.75" bottom="0.75" header="0.3" footer="0.3"/>
  <customProperties>
    <customPr name="EpmWorksheetKeyString_GU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5"/>
  <sheetViews>
    <sheetView workbookViewId="0">
      <selection activeCell="H3" sqref="H3:H4"/>
    </sheetView>
  </sheetViews>
  <sheetFormatPr defaultColWidth="9.140625" defaultRowHeight="12.6"/>
  <cols>
    <col min="1" max="1" width="83" style="109" bestFit="1" customWidth="1"/>
    <col min="2" max="2" width="15.85546875" style="109" customWidth="1"/>
    <col min="3" max="3" width="11.5703125" style="109" bestFit="1" customWidth="1"/>
    <col min="4" max="6" width="12.5703125" style="109" bestFit="1" customWidth="1"/>
    <col min="7" max="16384" width="9.140625" style="109"/>
  </cols>
  <sheetData>
    <row r="1" spans="1:4" ht="14.45">
      <c r="A1" s="198" t="s">
        <v>270</v>
      </c>
      <c r="B1" s="199"/>
    </row>
    <row r="2" spans="1:4" ht="14.45">
      <c r="A2" s="199" t="s">
        <v>271</v>
      </c>
      <c r="B2" s="199"/>
    </row>
    <row r="3" spans="1:4" ht="43.5">
      <c r="A3" s="221" t="s">
        <v>272</v>
      </c>
      <c r="B3" s="199"/>
    </row>
    <row r="4" spans="1:4" ht="14.45">
      <c r="A4" s="220"/>
      <c r="B4" s="199"/>
    </row>
    <row r="5" spans="1:4" ht="14.45">
      <c r="A5" s="220"/>
      <c r="B5" s="199"/>
    </row>
    <row r="6" spans="1:4" ht="14.1">
      <c r="A6" s="235" t="s">
        <v>273</v>
      </c>
      <c r="B6" s="235">
        <v>2024</v>
      </c>
      <c r="C6" s="235">
        <v>2025</v>
      </c>
    </row>
    <row r="7" spans="1:4" ht="14.45">
      <c r="A7" s="202" t="s">
        <v>274</v>
      </c>
      <c r="B7" s="236">
        <v>8945833</v>
      </c>
      <c r="C7" s="237">
        <v>9136903</v>
      </c>
    </row>
    <row r="8" spans="1:4" ht="14.45">
      <c r="A8" s="202" t="s">
        <v>275</v>
      </c>
      <c r="B8" s="236">
        <v>969340</v>
      </c>
      <c r="C8" s="237">
        <v>969340</v>
      </c>
    </row>
    <row r="9" spans="1:4" ht="14.45">
      <c r="A9" s="202" t="s">
        <v>276</v>
      </c>
      <c r="B9" s="236">
        <v>299900</v>
      </c>
      <c r="C9" s="237">
        <v>299900</v>
      </c>
    </row>
    <row r="10" spans="1:4" ht="15" thickBot="1">
      <c r="A10" s="238" t="s">
        <v>35</v>
      </c>
      <c r="B10" s="239">
        <f>SUM(B7:B9)</f>
        <v>10215073</v>
      </c>
      <c r="C10" s="240">
        <f t="shared" ref="C10" si="0">SUM(C7:C9)</f>
        <v>10406143</v>
      </c>
      <c r="D10" s="206"/>
    </row>
    <row r="11" spans="1:4" ht="15" thickBot="1">
      <c r="A11" s="220"/>
      <c r="B11" s="199"/>
    </row>
    <row r="12" spans="1:4" ht="15.95" thickBot="1">
      <c r="A12" s="242" t="s">
        <v>274</v>
      </c>
      <c r="B12" s="243"/>
      <c r="C12" s="244"/>
    </row>
    <row r="13" spans="1:4" ht="14.45" thickBot="1">
      <c r="A13" s="241" t="s">
        <v>277</v>
      </c>
      <c r="B13" s="241">
        <v>2024</v>
      </c>
      <c r="C13" s="241">
        <v>2025</v>
      </c>
    </row>
    <row r="14" spans="1:4" ht="14.45">
      <c r="A14" s="216" t="s">
        <v>278</v>
      </c>
      <c r="B14" s="217">
        <v>5480550</v>
      </c>
      <c r="C14" s="217">
        <v>4125000</v>
      </c>
    </row>
    <row r="15" spans="1:4" ht="14.45">
      <c r="A15" s="218" t="s">
        <v>279</v>
      </c>
      <c r="B15" s="219">
        <v>75000</v>
      </c>
      <c r="C15" s="219">
        <v>50000</v>
      </c>
    </row>
    <row r="16" spans="1:4" ht="14.45">
      <c r="A16" s="218" t="s">
        <v>280</v>
      </c>
      <c r="B16" s="219">
        <v>2249999.3199999998</v>
      </c>
      <c r="C16" s="219">
        <v>1411272</v>
      </c>
    </row>
    <row r="17" spans="1:3" ht="14.45">
      <c r="A17" s="218" t="s">
        <v>281</v>
      </c>
      <c r="B17" s="219">
        <v>977024</v>
      </c>
      <c r="C17" s="219">
        <v>526875.80000000005</v>
      </c>
    </row>
    <row r="18" spans="1:3" ht="14.45">
      <c r="A18" s="218" t="s">
        <v>282</v>
      </c>
      <c r="B18" s="219">
        <v>517909</v>
      </c>
      <c r="C18" s="219">
        <v>300000</v>
      </c>
    </row>
    <row r="19" spans="1:3" ht="14.45">
      <c r="A19" s="218" t="s">
        <v>283</v>
      </c>
      <c r="B19" s="219">
        <v>100000</v>
      </c>
      <c r="C19" s="219">
        <v>75000</v>
      </c>
    </row>
    <row r="20" spans="1:3" ht="14.45">
      <c r="A20" s="218" t="s">
        <v>284</v>
      </c>
      <c r="B20" s="219">
        <v>1213454</v>
      </c>
      <c r="C20" s="219">
        <v>1223374</v>
      </c>
    </row>
    <row r="21" spans="1:3" ht="14.45">
      <c r="A21" s="201" t="s">
        <v>285</v>
      </c>
      <c r="B21" s="205">
        <v>772975.27</v>
      </c>
      <c r="C21" s="205">
        <v>795953</v>
      </c>
    </row>
    <row r="22" spans="1:3" ht="14.45">
      <c r="A22" s="201" t="s">
        <v>286</v>
      </c>
      <c r="B22" s="205">
        <v>397603</v>
      </c>
      <c r="C22" s="205">
        <v>360000</v>
      </c>
    </row>
    <row r="23" spans="1:3" ht="29.1">
      <c r="A23" s="202" t="s">
        <v>287</v>
      </c>
      <c r="B23" s="205">
        <v>223857.62</v>
      </c>
      <c r="C23" s="205">
        <v>222226</v>
      </c>
    </row>
    <row r="24" spans="1:3" ht="15" thickBot="1">
      <c r="A24" s="201" t="s">
        <v>288</v>
      </c>
      <c r="B24" s="205">
        <v>38000</v>
      </c>
      <c r="C24" s="205">
        <v>20000</v>
      </c>
    </row>
    <row r="25" spans="1:3" ht="15.6" thickTop="1" thickBot="1">
      <c r="A25" s="203" t="s">
        <v>289</v>
      </c>
      <c r="B25" s="204">
        <f>SUM(B14:B24)</f>
        <v>12046372.209999999</v>
      </c>
      <c r="C25" s="204">
        <f>SUM(C14:C24)</f>
        <v>9109700.8000000007</v>
      </c>
    </row>
    <row r="26" spans="1:3" ht="15" thickBot="1">
      <c r="A26" s="199"/>
      <c r="B26" s="206"/>
      <c r="C26" s="206"/>
    </row>
    <row r="27" spans="1:3" ht="15.95" thickBot="1">
      <c r="A27" s="242" t="s">
        <v>275</v>
      </c>
      <c r="B27" s="245"/>
      <c r="C27" s="246"/>
    </row>
    <row r="28" spans="1:3" ht="14.1">
      <c r="A28" s="241" t="s">
        <v>277</v>
      </c>
      <c r="B28" s="241">
        <v>2024</v>
      </c>
      <c r="C28" s="241">
        <v>2025</v>
      </c>
    </row>
    <row r="29" spans="1:3" ht="14.45">
      <c r="A29" s="201" t="s">
        <v>290</v>
      </c>
      <c r="B29" s="205">
        <f>379500*0.3</f>
        <v>113850</v>
      </c>
      <c r="C29" s="205">
        <f>417450*0.3</f>
        <v>125235</v>
      </c>
    </row>
    <row r="30" spans="1:3" ht="14.45">
      <c r="A30" s="201" t="s">
        <v>291</v>
      </c>
      <c r="B30" s="205">
        <f>379500*0.2</f>
        <v>75900</v>
      </c>
      <c r="C30" s="205">
        <f>417450*0.2</f>
        <v>83490</v>
      </c>
    </row>
    <row r="31" spans="1:3" ht="14.45">
      <c r="A31" s="201" t="s">
        <v>292</v>
      </c>
      <c r="B31" s="205">
        <f>379500*0.5</f>
        <v>189750</v>
      </c>
      <c r="C31" s="205">
        <f>417450*0.5</f>
        <v>208725</v>
      </c>
    </row>
    <row r="32" spans="1:3" ht="14.45">
      <c r="A32" s="201" t="s">
        <v>293</v>
      </c>
      <c r="B32" s="205">
        <v>167750</v>
      </c>
      <c r="C32" s="205">
        <v>184525</v>
      </c>
    </row>
    <row r="33" spans="1:3" ht="14.45">
      <c r="A33" s="212" t="s">
        <v>284</v>
      </c>
      <c r="B33" s="213">
        <f>237465+154115</f>
        <v>391580</v>
      </c>
      <c r="C33" s="215">
        <v>511413</v>
      </c>
    </row>
    <row r="34" spans="1:3" ht="14.45">
      <c r="A34" s="203" t="s">
        <v>294</v>
      </c>
      <c r="B34" s="204">
        <f>SUM(B29:B33)</f>
        <v>938830</v>
      </c>
      <c r="C34" s="204">
        <f>SUM(C29:C33)</f>
        <v>1113388</v>
      </c>
    </row>
    <row r="35" spans="1:3" ht="15" thickBot="1">
      <c r="A35" s="200"/>
      <c r="B35" s="137"/>
      <c r="C35" s="137"/>
    </row>
    <row r="36" spans="1:3" ht="15.95" thickBot="1">
      <c r="A36" s="242" t="s">
        <v>276</v>
      </c>
      <c r="B36" s="245"/>
      <c r="C36" s="246"/>
    </row>
    <row r="37" spans="1:3" ht="14.1">
      <c r="A37" s="241" t="s">
        <v>277</v>
      </c>
      <c r="B37" s="241">
        <v>2024</v>
      </c>
      <c r="C37" s="241">
        <v>2025</v>
      </c>
    </row>
    <row r="38" spans="1:3" ht="14.45">
      <c r="A38" s="201" t="s">
        <v>295</v>
      </c>
      <c r="B38" s="205">
        <v>376200</v>
      </c>
      <c r="C38" s="205">
        <v>413820</v>
      </c>
    </row>
    <row r="39" spans="1:3" ht="14.45">
      <c r="A39" s="201" t="s">
        <v>296</v>
      </c>
      <c r="B39" s="205">
        <v>95150</v>
      </c>
      <c r="C39" s="205">
        <v>104665</v>
      </c>
    </row>
    <row r="40" spans="1:3" ht="14.45">
      <c r="A40" s="201" t="s">
        <v>297</v>
      </c>
      <c r="B40" s="205">
        <f>17820</f>
        <v>17820</v>
      </c>
      <c r="C40" s="205">
        <v>19602</v>
      </c>
    </row>
    <row r="41" spans="1:3" ht="14.45">
      <c r="A41" s="212" t="s">
        <v>284</v>
      </c>
      <c r="B41" s="213">
        <f>144277+93636</f>
        <v>237913</v>
      </c>
      <c r="C41" s="215">
        <v>307104</v>
      </c>
    </row>
    <row r="42" spans="1:3" ht="14.45">
      <c r="A42" s="203" t="s">
        <v>294</v>
      </c>
      <c r="B42" s="204">
        <f>SUM(B38:B41)</f>
        <v>727083</v>
      </c>
      <c r="C42" s="204">
        <f>SUM(C38:C41)</f>
        <v>845191</v>
      </c>
    </row>
    <row r="43" spans="1:3" ht="14.45">
      <c r="A43" s="200"/>
      <c r="B43" s="137"/>
      <c r="C43" s="137"/>
    </row>
    <row r="44" spans="1:3" ht="12.95">
      <c r="A44" s="207" t="s">
        <v>35</v>
      </c>
      <c r="B44" s="208">
        <f>B25+B34+B42</f>
        <v>13712285.209999999</v>
      </c>
      <c r="C44" s="208">
        <f>C25+C34+C42</f>
        <v>11068279.800000001</v>
      </c>
    </row>
    <row r="45" spans="1:3" ht="12.95" thickTop="1"/>
  </sheetData>
  <pageMargins left="0.7" right="0.7" top="0.75" bottom="0.75" header="0.3" footer="0.3"/>
  <pageSetup paperSize="119" orientation="landscape" horizontalDpi="1200" verticalDpi="1200" r:id="rId1"/>
  <headerFooter>
    <oddHeader>&amp;LAppendix E-2: Incremental Cost Calculation&amp;RClean Energy Implementation Plan</oddHeader>
    <oddFooter>&amp;LFEBRUARY 1, 2022&amp;C&amp;P of &amp;N&amp;RPuget Sound Energy</oddFooter>
  </headerFooter>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1"/>
  <sheetViews>
    <sheetView zoomScale="160" zoomScaleNormal="160" workbookViewId="0">
      <selection activeCell="E14" sqref="E14"/>
    </sheetView>
  </sheetViews>
  <sheetFormatPr defaultColWidth="9.140625" defaultRowHeight="12.6"/>
  <cols>
    <col min="1" max="1" width="47" style="109" bestFit="1" customWidth="1"/>
    <col min="2" max="2" width="11.42578125" style="109" customWidth="1"/>
    <col min="3" max="3" width="14.28515625" style="109" bestFit="1" customWidth="1"/>
    <col min="4" max="4" width="61.7109375" style="109" customWidth="1"/>
    <col min="5" max="5" width="62.42578125" style="109" bestFit="1" customWidth="1"/>
    <col min="6" max="16384" width="9.140625" style="109"/>
  </cols>
  <sheetData>
    <row r="1" spans="1:4" ht="14.1">
      <c r="A1" s="252" t="s">
        <v>298</v>
      </c>
    </row>
    <row r="3" spans="1:4" ht="14.1">
      <c r="A3" s="235" t="s">
        <v>299</v>
      </c>
      <c r="B3" s="235">
        <v>2024</v>
      </c>
      <c r="C3" s="235">
        <v>2025</v>
      </c>
    </row>
    <row r="4" spans="1:4">
      <c r="B4" s="137">
        <v>2162433</v>
      </c>
      <c r="C4" s="137">
        <v>2216494</v>
      </c>
    </row>
    <row r="6" spans="1:4" ht="14.1">
      <c r="A6" s="235" t="s">
        <v>30</v>
      </c>
      <c r="B6" s="235">
        <v>2024</v>
      </c>
      <c r="C6" s="235">
        <v>2025</v>
      </c>
      <c r="D6" s="138" t="s">
        <v>300</v>
      </c>
    </row>
    <row r="7" spans="1:4" ht="64.5" customHeight="1">
      <c r="A7" s="247" t="s">
        <v>221</v>
      </c>
      <c r="B7" s="248">
        <v>2792537</v>
      </c>
      <c r="C7" s="249">
        <v>2626886</v>
      </c>
      <c r="D7" s="157" t="s">
        <v>301</v>
      </c>
    </row>
    <row r="8" spans="1:4">
      <c r="A8" s="247" t="s">
        <v>302</v>
      </c>
      <c r="B8" s="250">
        <v>300000</v>
      </c>
      <c r="C8" s="251">
        <v>300000</v>
      </c>
      <c r="D8" s="109" t="s">
        <v>303</v>
      </c>
    </row>
    <row r="9" spans="1:4">
      <c r="A9" s="247" t="s">
        <v>304</v>
      </c>
      <c r="B9" s="250">
        <v>88000</v>
      </c>
      <c r="C9" s="251">
        <v>88000</v>
      </c>
      <c r="D9" s="109" t="s">
        <v>305</v>
      </c>
    </row>
    <row r="10" spans="1:4">
      <c r="A10" s="247" t="s">
        <v>306</v>
      </c>
      <c r="B10" s="250">
        <v>156000</v>
      </c>
      <c r="C10" s="251">
        <v>156000</v>
      </c>
      <c r="D10" s="109" t="s">
        <v>307</v>
      </c>
    </row>
    <row r="11" spans="1:4">
      <c r="A11" s="247" t="s">
        <v>308</v>
      </c>
      <c r="B11" s="250">
        <v>46242</v>
      </c>
      <c r="C11" s="251">
        <v>46242</v>
      </c>
      <c r="D11" s="109" t="s">
        <v>309</v>
      </c>
    </row>
    <row r="12" spans="1:4">
      <c r="A12" s="232" t="s">
        <v>294</v>
      </c>
      <c r="B12" s="233">
        <f>SUM(B7:B11)</f>
        <v>3382779</v>
      </c>
      <c r="C12" s="233">
        <f>SUM(C7:C11)</f>
        <v>3217128</v>
      </c>
    </row>
    <row r="21" spans="1:1" ht="14.45">
      <c r="A21"/>
    </row>
  </sheetData>
  <pageMargins left="0.7" right="0.7" top="0.75" bottom="0.75" header="0.3" footer="0.3"/>
  <pageSetup paperSize="119" orientation="landscape" r:id="rId1"/>
  <headerFooter>
    <oddHeader>&amp;LAppendix E-2: Incremental Cost Calculation&amp;RClean Energy Implementation Plan</oddHeader>
    <oddFooter>&amp;LFEBRUARY 1, 2022&amp;C&amp;P of &amp;N&amp;RPuget Sound Energy</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6"/>
  <sheetViews>
    <sheetView topLeftCell="A6" workbookViewId="0">
      <selection activeCell="A2" sqref="A2:D2"/>
    </sheetView>
  </sheetViews>
  <sheetFormatPr defaultRowHeight="14.45"/>
  <cols>
    <col min="1" max="1" width="27.140625" customWidth="1"/>
    <col min="2" max="4" width="18.5703125" customWidth="1"/>
  </cols>
  <sheetData>
    <row r="1" spans="1:4" ht="15.75">
      <c r="A1" s="263" t="s">
        <v>26</v>
      </c>
      <c r="B1" s="255"/>
      <c r="C1" s="255"/>
      <c r="D1" s="255"/>
    </row>
    <row r="2" spans="1:4" ht="40.5" customHeight="1">
      <c r="A2" s="276" t="s">
        <v>27</v>
      </c>
      <c r="B2" s="276"/>
      <c r="C2" s="276"/>
      <c r="D2" s="276"/>
    </row>
    <row r="3" spans="1:4" ht="18.600000000000001" customHeight="1">
      <c r="A3" s="264"/>
      <c r="B3" s="264"/>
      <c r="C3" s="264"/>
      <c r="D3" s="264"/>
    </row>
    <row r="4" spans="1:4" ht="20.25">
      <c r="A4" s="275">
        <v>2024</v>
      </c>
      <c r="B4" s="275"/>
      <c r="C4" s="275"/>
      <c r="D4" s="275"/>
    </row>
    <row r="5" spans="1:4" ht="23.25">
      <c r="A5" s="265" t="s">
        <v>28</v>
      </c>
      <c r="B5" s="265" t="s">
        <v>29</v>
      </c>
      <c r="C5" s="265" t="s">
        <v>30</v>
      </c>
      <c r="D5" s="265" t="s">
        <v>31</v>
      </c>
    </row>
    <row r="6" spans="1:4" ht="15">
      <c r="A6" s="259" t="s">
        <v>32</v>
      </c>
      <c r="B6" s="266">
        <f>'2. Energy Efficiency'!M29</f>
        <v>21420003.955679208</v>
      </c>
      <c r="C6" s="266">
        <f>'2. Energy Efficiency'!M29</f>
        <v>21420003.955679208</v>
      </c>
      <c r="D6" s="266">
        <f t="shared" ref="D6:D8" si="0">C6-B6</f>
        <v>0</v>
      </c>
    </row>
    <row r="7" spans="1:4" ht="15">
      <c r="A7" s="259" t="s">
        <v>33</v>
      </c>
      <c r="B7" s="267">
        <v>0</v>
      </c>
      <c r="C7" s="267">
        <v>0</v>
      </c>
      <c r="D7" s="266">
        <f t="shared" si="0"/>
        <v>0</v>
      </c>
    </row>
    <row r="8" spans="1:4" ht="15">
      <c r="A8" s="259" t="s">
        <v>34</v>
      </c>
      <c r="B8" s="266">
        <v>-14956</v>
      </c>
      <c r="C8" s="266">
        <v>-494338</v>
      </c>
      <c r="D8" s="266">
        <f t="shared" si="0"/>
        <v>-479382</v>
      </c>
    </row>
    <row r="9" spans="1:4" ht="15.75">
      <c r="A9" s="268" t="s">
        <v>35</v>
      </c>
      <c r="B9" s="269">
        <f>SUM(B6:B8)</f>
        <v>21405047.955679208</v>
      </c>
      <c r="C9" s="269">
        <f>SUM(C6:C8)</f>
        <v>20925665.955679208</v>
      </c>
      <c r="D9" s="269">
        <f>C9-B9</f>
        <v>-479382</v>
      </c>
    </row>
    <row r="10" spans="1:4" ht="15">
      <c r="A10" s="270"/>
      <c r="B10" s="271"/>
      <c r="C10" s="271"/>
      <c r="D10" s="271"/>
    </row>
    <row r="11" spans="1:4" ht="20.25">
      <c r="A11" s="275">
        <v>2025</v>
      </c>
      <c r="B11" s="275"/>
      <c r="C11" s="275"/>
      <c r="D11" s="275"/>
    </row>
    <row r="12" spans="1:4" ht="23.25">
      <c r="A12" s="265" t="s">
        <v>28</v>
      </c>
      <c r="B12" s="265" t="s">
        <v>29</v>
      </c>
      <c r="C12" s="265" t="s">
        <v>30</v>
      </c>
      <c r="D12" s="265" t="s">
        <v>31</v>
      </c>
    </row>
    <row r="13" spans="1:4" ht="15">
      <c r="A13" s="259" t="s">
        <v>32</v>
      </c>
      <c r="B13" s="266">
        <f>'2. Energy Efficiency'!N29</f>
        <v>21420003.955679208</v>
      </c>
      <c r="C13" s="266">
        <f>'2. Energy Efficiency'!N29</f>
        <v>21420003.955679208</v>
      </c>
      <c r="D13" s="266">
        <f t="shared" ref="D13:D15" si="1">C13-B13</f>
        <v>0</v>
      </c>
    </row>
    <row r="14" spans="1:4" ht="15">
      <c r="A14" s="259" t="s">
        <v>33</v>
      </c>
      <c r="B14" s="267">
        <v>0</v>
      </c>
      <c r="C14" s="267">
        <v>0</v>
      </c>
      <c r="D14" s="266">
        <f t="shared" si="1"/>
        <v>0</v>
      </c>
    </row>
    <row r="15" spans="1:4" ht="15">
      <c r="A15" s="259" t="s">
        <v>34</v>
      </c>
      <c r="B15" s="266">
        <v>-1078398.4985351563</v>
      </c>
      <c r="C15" s="266">
        <v>83103.57666015625</v>
      </c>
      <c r="D15" s="266">
        <f t="shared" si="1"/>
        <v>1161502.0751953125</v>
      </c>
    </row>
    <row r="16" spans="1:4" ht="15.75">
      <c r="A16" s="268" t="s">
        <v>35</v>
      </c>
      <c r="B16" s="269">
        <f>SUM(B13:B15)</f>
        <v>20341605.457144052</v>
      </c>
      <c r="C16" s="269">
        <f>SUM(C13:C15)</f>
        <v>21503107.532339364</v>
      </c>
      <c r="D16" s="269">
        <f>C16-B16</f>
        <v>1161502.0751953125</v>
      </c>
    </row>
  </sheetData>
  <mergeCells count="3">
    <mergeCell ref="A4:D4"/>
    <mergeCell ref="A11:D11"/>
    <mergeCell ref="A2:D2"/>
  </mergeCell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46"/>
  <sheetViews>
    <sheetView topLeftCell="A7" zoomScaleNormal="100" workbookViewId="0">
      <selection activeCell="A26" sqref="A26"/>
    </sheetView>
  </sheetViews>
  <sheetFormatPr defaultColWidth="12.5703125" defaultRowHeight="12.6"/>
  <cols>
    <col min="1" max="1" width="43.140625" style="109" customWidth="1"/>
    <col min="2" max="3" width="14.5703125" style="109" customWidth="1"/>
    <col min="4" max="4" width="13.7109375" style="112" customWidth="1"/>
    <col min="5" max="5" width="12.85546875" style="109" customWidth="1"/>
    <col min="6" max="6" width="13.140625" style="109" customWidth="1"/>
    <col min="7" max="7" width="11.140625" style="109" customWidth="1"/>
    <col min="8" max="8" width="13.5703125" style="109" customWidth="1"/>
    <col min="9" max="9" width="14.28515625" style="109" customWidth="1"/>
    <col min="10" max="10" width="12.85546875" style="109" customWidth="1"/>
    <col min="11" max="11" width="13" style="109" customWidth="1"/>
    <col min="12" max="12" width="11.140625" style="109" customWidth="1"/>
    <col min="13" max="14" width="12.5703125" style="109"/>
    <col min="15" max="15" width="43.42578125" style="109" customWidth="1"/>
    <col min="16" max="16" width="8.42578125" style="109" customWidth="1"/>
    <col min="17" max="17" width="7.7109375" style="109" customWidth="1"/>
    <col min="18" max="18" width="13.85546875" style="109" customWidth="1"/>
    <col min="19" max="19" width="18.140625" style="109" customWidth="1"/>
    <col min="20" max="20" width="15.85546875" style="109" customWidth="1"/>
    <col min="21" max="21" width="15.28515625" style="109" customWidth="1"/>
    <col min="22" max="16384" width="12.5703125" style="109"/>
  </cols>
  <sheetData>
    <row r="1" spans="1:64" ht="62.1" customHeight="1">
      <c r="B1" s="280" t="s">
        <v>36</v>
      </c>
      <c r="C1" s="281"/>
      <c r="D1" s="253"/>
      <c r="E1" s="280" t="s">
        <v>37</v>
      </c>
      <c r="F1" s="281"/>
      <c r="G1" s="247"/>
      <c r="H1" s="280" t="s">
        <v>38</v>
      </c>
      <c r="I1" s="281"/>
      <c r="J1" s="280" t="s">
        <v>39</v>
      </c>
      <c r="K1" s="281"/>
      <c r="L1" s="247"/>
      <c r="M1" s="277" t="s">
        <v>40</v>
      </c>
      <c r="N1" s="278"/>
      <c r="O1" s="109" t="s">
        <v>41</v>
      </c>
      <c r="W1" s="112"/>
      <c r="X1" s="138"/>
      <c r="Y1" s="138"/>
      <c r="Z1" s="138"/>
      <c r="AA1" s="138"/>
      <c r="AB1" s="138"/>
      <c r="AC1" s="113"/>
      <c r="AH1" s="138"/>
      <c r="AI1" s="138"/>
      <c r="AJ1" s="138"/>
      <c r="AK1" s="138"/>
      <c r="AL1" s="138"/>
      <c r="AM1" s="138"/>
      <c r="AN1" s="113"/>
      <c r="AS1" s="138"/>
      <c r="AT1" s="138"/>
      <c r="AU1" s="138"/>
      <c r="AV1" s="138"/>
      <c r="AW1" s="138"/>
      <c r="AX1" s="138"/>
      <c r="AZ1" s="138"/>
      <c r="BA1" s="138"/>
      <c r="BB1" s="138"/>
      <c r="BC1" s="138"/>
      <c r="BD1" s="138"/>
      <c r="BE1" s="138"/>
      <c r="BF1" s="138"/>
      <c r="BG1" s="138"/>
      <c r="BH1" s="138"/>
      <c r="BI1" s="138"/>
      <c r="BJ1" s="138"/>
      <c r="BK1" s="138"/>
      <c r="BL1" s="138"/>
    </row>
    <row r="2" spans="1:64" ht="24.95" customHeight="1">
      <c r="B2" s="167">
        <v>2024</v>
      </c>
      <c r="C2" s="167">
        <v>2025</v>
      </c>
      <c r="E2" s="167">
        <v>2024</v>
      </c>
      <c r="F2" s="167">
        <v>2025</v>
      </c>
      <c r="H2" s="167">
        <v>2024</v>
      </c>
      <c r="I2" s="167">
        <v>2025</v>
      </c>
      <c r="J2" s="167">
        <v>2024</v>
      </c>
      <c r="K2" s="167">
        <v>2025</v>
      </c>
      <c r="M2" s="167">
        <v>2024</v>
      </c>
      <c r="N2" s="167">
        <v>2025</v>
      </c>
      <c r="O2" s="134" t="s">
        <v>42</v>
      </c>
      <c r="W2" s="112"/>
      <c r="BK2" s="135"/>
      <c r="BL2" s="136"/>
    </row>
    <row r="3" spans="1:64" ht="13.5" thickBot="1">
      <c r="A3" s="138"/>
      <c r="B3" s="114">
        <f>$C$39*1.05/2</f>
        <v>154965.35895996095</v>
      </c>
      <c r="C3" s="114">
        <f>$C$39*1.05/2</f>
        <v>154965.35895996095</v>
      </c>
      <c r="E3" s="114">
        <f>B40</f>
        <v>198810</v>
      </c>
      <c r="F3" s="114">
        <f>C40/2</f>
        <v>198810</v>
      </c>
      <c r="H3" s="115"/>
      <c r="I3" s="115"/>
      <c r="J3" s="115"/>
      <c r="K3" s="115"/>
      <c r="M3" s="115"/>
      <c r="N3" s="115"/>
      <c r="O3" s="109" t="s">
        <v>43</v>
      </c>
      <c r="R3" s="135" t="s">
        <v>44</v>
      </c>
      <c r="S3" s="135" t="s">
        <v>45</v>
      </c>
      <c r="T3" s="151" t="s">
        <v>46</v>
      </c>
      <c r="X3" s="159"/>
      <c r="Y3" s="159"/>
      <c r="Z3" s="159"/>
      <c r="AA3" s="159"/>
      <c r="AB3" s="159"/>
      <c r="AC3" s="115"/>
      <c r="AH3" s="159"/>
      <c r="AI3" s="159"/>
      <c r="AJ3" s="159"/>
      <c r="AK3" s="159"/>
      <c r="AL3" s="159"/>
      <c r="AM3" s="159"/>
      <c r="AN3" s="115"/>
      <c r="AS3" s="159"/>
      <c r="AT3" s="159"/>
      <c r="AU3" s="159"/>
      <c r="AV3" s="159"/>
      <c r="AW3" s="159"/>
      <c r="AX3" s="159"/>
    </row>
    <row r="4" spans="1:64" ht="12.95">
      <c r="A4" s="160" t="s">
        <v>47</v>
      </c>
      <c r="B4" s="119"/>
      <c r="C4" s="119"/>
      <c r="E4" s="119"/>
      <c r="F4" s="119"/>
      <c r="H4" s="119"/>
      <c r="I4" s="119"/>
      <c r="J4" s="119"/>
      <c r="K4" s="119"/>
      <c r="M4" s="119"/>
      <c r="N4" s="119"/>
      <c r="O4" s="160" t="s">
        <v>47</v>
      </c>
      <c r="P4" s="160"/>
      <c r="Q4" s="160"/>
      <c r="R4" s="118"/>
      <c r="S4" s="161"/>
      <c r="T4" s="112"/>
      <c r="X4" s="119"/>
      <c r="Y4" s="119"/>
      <c r="Z4" s="119"/>
      <c r="AA4" s="119"/>
      <c r="AB4" s="119"/>
      <c r="AC4" s="119"/>
      <c r="AH4" s="119"/>
      <c r="AI4" s="119"/>
      <c r="AJ4" s="119"/>
      <c r="AK4" s="119"/>
      <c r="AL4" s="119"/>
      <c r="AM4" s="119"/>
      <c r="AN4" s="119"/>
      <c r="AS4" s="119"/>
      <c r="AT4" s="119"/>
      <c r="AU4" s="119"/>
      <c r="AV4" s="119"/>
      <c r="AW4" s="119"/>
      <c r="AX4" s="119"/>
      <c r="BA4" s="117"/>
    </row>
    <row r="5" spans="1:64">
      <c r="A5" s="109" t="s">
        <v>48</v>
      </c>
      <c r="B5" s="117">
        <f>$R5/$R$29*B$3</f>
        <v>1710.420397965431</v>
      </c>
      <c r="C5" s="117">
        <f>$R5/$R$29*C$3</f>
        <v>1710.420397965431</v>
      </c>
      <c r="E5" s="117">
        <f>$R5/$R$29*E$3</f>
        <v>2194.3528644189901</v>
      </c>
      <c r="F5" s="117">
        <f>$R5/$R$29*F$3</f>
        <v>2194.3528644189901</v>
      </c>
      <c r="H5" s="121">
        <f>B5*$T5</f>
        <v>8548980.5123042203</v>
      </c>
      <c r="I5" s="121">
        <f>C5*$T5</f>
        <v>8548980.5123042203</v>
      </c>
      <c r="J5" s="121">
        <f>E5*$T5</f>
        <v>10967759.679054081</v>
      </c>
      <c r="K5" s="121">
        <f>F5*$T5</f>
        <v>10967759.679054081</v>
      </c>
      <c r="M5" s="121">
        <f>J5-H5</f>
        <v>2418779.1667498611</v>
      </c>
      <c r="N5" s="121">
        <f>K5-I5</f>
        <v>2418779.1667498611</v>
      </c>
      <c r="O5" s="109" t="s">
        <v>48</v>
      </c>
      <c r="R5" s="153">
        <v>4308</v>
      </c>
      <c r="S5" s="168">
        <v>21532138</v>
      </c>
      <c r="T5" s="152">
        <f>S5/R5</f>
        <v>4998.1750232126278</v>
      </c>
      <c r="X5" s="121"/>
      <c r="Y5" s="121"/>
      <c r="Z5" s="121"/>
      <c r="AA5" s="121"/>
      <c r="AB5" s="121"/>
      <c r="AC5" s="121"/>
      <c r="AH5" s="121"/>
      <c r="AI5" s="121"/>
      <c r="AJ5" s="121"/>
      <c r="AK5" s="121"/>
      <c r="AL5" s="121"/>
      <c r="AM5" s="121"/>
      <c r="AN5" s="121"/>
      <c r="AS5" s="121"/>
      <c r="AT5" s="121"/>
      <c r="AU5" s="121"/>
      <c r="AV5" s="121"/>
      <c r="AW5" s="121"/>
      <c r="AX5" s="121"/>
    </row>
    <row r="6" spans="1:64">
      <c r="A6" s="109" t="s">
        <v>49</v>
      </c>
      <c r="B6" s="117">
        <f>$R6/$R$29*B$3</f>
        <v>53102.836074159335</v>
      </c>
      <c r="C6" s="117">
        <f>$R6/$R$29*C$3</f>
        <v>53102.836074159335</v>
      </c>
      <c r="E6" s="117">
        <f>$R6/$R$29*E$3</f>
        <v>68127.321555983173</v>
      </c>
      <c r="F6" s="117">
        <f>$R6/$R$29*F$3</f>
        <v>68127.321555983173</v>
      </c>
      <c r="H6" s="121">
        <f>B6*$T6</f>
        <v>17918748.814565342</v>
      </c>
      <c r="I6" s="121">
        <f>C6*$T6</f>
        <v>17918748.814565342</v>
      </c>
      <c r="J6" s="121">
        <f>E6*$T6</f>
        <v>22988534.184237748</v>
      </c>
      <c r="K6" s="121">
        <f>F6*$T6</f>
        <v>22988534.184237748</v>
      </c>
      <c r="M6" s="121">
        <f>J6-H6</f>
        <v>5069785.3696724065</v>
      </c>
      <c r="N6" s="121">
        <f>K6-I6</f>
        <v>5069785.3696724065</v>
      </c>
      <c r="O6" s="109" t="s">
        <v>49</v>
      </c>
      <c r="R6" s="153">
        <v>133749</v>
      </c>
      <c r="S6" s="168">
        <v>45131577</v>
      </c>
      <c r="T6" s="152">
        <f>S6/R6</f>
        <v>337.43487427943387</v>
      </c>
      <c r="X6" s="121"/>
      <c r="Y6" s="121"/>
      <c r="Z6" s="121"/>
      <c r="AA6" s="121"/>
      <c r="AB6" s="121"/>
      <c r="AC6" s="121"/>
      <c r="AH6" s="121"/>
      <c r="AI6" s="121"/>
      <c r="AJ6" s="121"/>
      <c r="AK6" s="121"/>
      <c r="AL6" s="121"/>
      <c r="AM6" s="121"/>
      <c r="AN6" s="121"/>
      <c r="AS6" s="121"/>
      <c r="AT6" s="121"/>
      <c r="AU6" s="121"/>
      <c r="AV6" s="121"/>
      <c r="AW6" s="121"/>
      <c r="AX6" s="121"/>
    </row>
    <row r="7" spans="1:64">
      <c r="A7" s="109" t="s">
        <v>50</v>
      </c>
      <c r="B7" s="117">
        <f>$R7/$R$29*B$3</f>
        <v>397.82758559920188</v>
      </c>
      <c r="C7" s="117">
        <f>$R7/$R$29*C$3</f>
        <v>397.82758559920188</v>
      </c>
      <c r="E7" s="117">
        <f>$R7/$R$29*E$3</f>
        <v>510.3856940918821</v>
      </c>
      <c r="F7" s="117">
        <f>$R7/$R$29*F$3</f>
        <v>510.3856940918821</v>
      </c>
      <c r="H7" s="121">
        <f>B7*$T7</f>
        <v>883415.85717488406</v>
      </c>
      <c r="I7" s="121">
        <f>C7*$T7</f>
        <v>883415.85717488406</v>
      </c>
      <c r="J7" s="121">
        <f>E7*$T7</f>
        <v>1133362.3704270415</v>
      </c>
      <c r="K7" s="121">
        <f>F7*$T7</f>
        <v>1133362.3704270415</v>
      </c>
      <c r="M7" s="121">
        <f>J7-H7</f>
        <v>249946.51325215749</v>
      </c>
      <c r="N7" s="121">
        <f>K7-I7</f>
        <v>249946.51325215749</v>
      </c>
      <c r="O7" s="109" t="s">
        <v>50</v>
      </c>
      <c r="R7" s="117">
        <v>1002</v>
      </c>
      <c r="S7" s="169">
        <v>2225041</v>
      </c>
      <c r="T7" s="152">
        <f>S7/R7</f>
        <v>2220.5998003992017</v>
      </c>
      <c r="X7" s="121"/>
      <c r="Y7" s="121"/>
      <c r="Z7" s="121"/>
      <c r="AA7" s="121"/>
      <c r="AB7" s="121"/>
      <c r="AC7" s="121"/>
      <c r="AH7" s="121"/>
      <c r="AI7" s="121"/>
      <c r="AJ7" s="121"/>
      <c r="AK7" s="121"/>
      <c r="AL7" s="121"/>
      <c r="AM7" s="121"/>
      <c r="AN7" s="121"/>
      <c r="AS7" s="121"/>
      <c r="AT7" s="121"/>
      <c r="AU7" s="121"/>
      <c r="AV7" s="121"/>
      <c r="AW7" s="121"/>
      <c r="AX7" s="121"/>
    </row>
    <row r="8" spans="1:64">
      <c r="A8" s="109" t="s">
        <v>51</v>
      </c>
      <c r="B8" s="117">
        <f>$R8/$R$29*B$3</f>
        <v>3.9703351856207775E-4</v>
      </c>
      <c r="C8" s="117">
        <f>$R8/$R$29*C$3</f>
        <v>3.9703351856207775E-4</v>
      </c>
      <c r="E8" s="117">
        <f>$R8/$R$29*E$3</f>
        <v>5.0936696017153899E-4</v>
      </c>
      <c r="F8" s="117">
        <f>$R8/$R$29*F$3</f>
        <v>5.0936696017153899E-4</v>
      </c>
      <c r="H8" s="117">
        <f>B8*$T8</f>
        <v>0</v>
      </c>
      <c r="I8" s="117">
        <f>C8*$T8</f>
        <v>0</v>
      </c>
      <c r="J8" s="117">
        <f>E8*$T8</f>
        <v>0</v>
      </c>
      <c r="K8" s="117">
        <f>F8*$T8</f>
        <v>0</v>
      </c>
      <c r="M8" s="117">
        <f>J8-H8</f>
        <v>0</v>
      </c>
      <c r="N8" s="117">
        <f>K8-I8</f>
        <v>0</v>
      </c>
      <c r="O8" s="109" t="s">
        <v>51</v>
      </c>
      <c r="R8" s="117">
        <v>1E-3</v>
      </c>
      <c r="S8" s="169">
        <v>175991</v>
      </c>
      <c r="T8" s="152">
        <v>0</v>
      </c>
      <c r="X8" s="121"/>
      <c r="Y8" s="121"/>
      <c r="Z8" s="121"/>
      <c r="AA8" s="121"/>
      <c r="AB8" s="121"/>
      <c r="AC8" s="121"/>
      <c r="AH8" s="121"/>
      <c r="AI8" s="121"/>
      <c r="AJ8" s="121"/>
      <c r="AK8" s="121"/>
      <c r="AL8" s="121"/>
      <c r="AM8" s="121"/>
      <c r="AN8" s="121"/>
      <c r="AS8" s="121"/>
      <c r="AT8" s="121"/>
      <c r="AU8" s="121"/>
      <c r="AV8" s="121"/>
      <c r="AW8" s="121"/>
      <c r="AX8" s="121"/>
    </row>
    <row r="9" spans="1:64">
      <c r="A9" s="109" t="s">
        <v>52</v>
      </c>
      <c r="B9" s="117">
        <f>$R9/$R$29*B$3</f>
        <v>4377.6915756654689</v>
      </c>
      <c r="C9" s="117">
        <f>$R9/$R$29*C$3</f>
        <v>4377.6915756654689</v>
      </c>
      <c r="E9" s="117">
        <f>$R9/$R$29*E$3</f>
        <v>5616.2801028513895</v>
      </c>
      <c r="F9" s="117">
        <f>$R9/$R$29*F$3</f>
        <v>5616.2801028513895</v>
      </c>
      <c r="H9" s="121">
        <f>B9*$T9</f>
        <v>5263195.0350809516</v>
      </c>
      <c r="I9" s="121">
        <f>C9*$T9</f>
        <v>5263195.0350809516</v>
      </c>
      <c r="J9" s="121">
        <f>E9*$T9</f>
        <v>6752320.7247550124</v>
      </c>
      <c r="K9" s="121">
        <f>F9*$T9</f>
        <v>6752320.7247550124</v>
      </c>
      <c r="M9" s="121">
        <f>J9-H9</f>
        <v>1489125.6896740608</v>
      </c>
      <c r="N9" s="121">
        <f>K9-I9</f>
        <v>1489125.6896740608</v>
      </c>
      <c r="O9" s="109" t="s">
        <v>52</v>
      </c>
      <c r="R9" s="101">
        <v>11026</v>
      </c>
      <c r="S9" s="169">
        <v>13256299</v>
      </c>
      <c r="T9" s="152">
        <f>S9/R9</f>
        <v>1202.2763468166152</v>
      </c>
      <c r="X9" s="121"/>
      <c r="Y9" s="121"/>
      <c r="Z9" s="121"/>
      <c r="AA9" s="121"/>
      <c r="AB9" s="121"/>
      <c r="AC9" s="121"/>
      <c r="AH9" s="121"/>
      <c r="AI9" s="121"/>
      <c r="AJ9" s="121"/>
      <c r="AK9" s="121"/>
      <c r="AL9" s="121"/>
      <c r="AM9" s="121"/>
      <c r="AN9" s="121"/>
      <c r="AS9" s="121"/>
      <c r="AT9" s="121"/>
      <c r="AU9" s="121"/>
      <c r="AV9" s="121"/>
      <c r="AW9" s="121"/>
      <c r="AX9" s="121"/>
      <c r="BL9" s="120"/>
    </row>
    <row r="10" spans="1:64">
      <c r="A10" s="128" t="s">
        <v>53</v>
      </c>
      <c r="B10" s="117">
        <f>$R10/$R$29*B$3</f>
        <v>3182.2236512750533</v>
      </c>
      <c r="C10" s="117">
        <f>$R10/$R$29*C$3</f>
        <v>3182.2236512750533</v>
      </c>
      <c r="E10" s="117">
        <f>$R10/$R$29*E$3</f>
        <v>4082.5761857748853</v>
      </c>
      <c r="F10" s="117">
        <f>$R10/$R$29*F$3</f>
        <v>4082.5761857748853</v>
      </c>
      <c r="H10" s="121">
        <f>B10*$T10</f>
        <v>2044834.584046935</v>
      </c>
      <c r="I10" s="121">
        <f>C10*$T10</f>
        <v>2044834.584046935</v>
      </c>
      <c r="J10" s="121">
        <f>E10*$T10</f>
        <v>2623383.4863661942</v>
      </c>
      <c r="K10" s="121">
        <f>F10*$T10</f>
        <v>2623383.4863661942</v>
      </c>
      <c r="M10" s="121">
        <f>J10-H10</f>
        <v>578548.90231925924</v>
      </c>
      <c r="N10" s="121">
        <f>K10-I10</f>
        <v>578548.90231925924</v>
      </c>
      <c r="O10" s="128" t="s">
        <v>53</v>
      </c>
      <c r="R10" s="122">
        <v>8015</v>
      </c>
      <c r="S10" s="170">
        <v>5150282</v>
      </c>
      <c r="T10" s="152">
        <f>S10/R10</f>
        <v>642.58041172800995</v>
      </c>
      <c r="X10" s="121"/>
      <c r="Y10" s="121"/>
      <c r="Z10" s="121"/>
      <c r="AA10" s="121"/>
      <c r="AB10" s="121"/>
      <c r="AC10" s="121"/>
      <c r="AH10" s="121"/>
      <c r="AI10" s="121"/>
      <c r="AJ10" s="121"/>
      <c r="AK10" s="121"/>
      <c r="AL10" s="121"/>
      <c r="AM10" s="121"/>
      <c r="AN10" s="121"/>
      <c r="AS10" s="121"/>
      <c r="AT10" s="121"/>
      <c r="AU10" s="121"/>
      <c r="AV10" s="121"/>
      <c r="AW10" s="121"/>
      <c r="AX10" s="121"/>
    </row>
    <row r="11" spans="1:64" ht="12.95">
      <c r="A11" s="106" t="s">
        <v>54</v>
      </c>
      <c r="B11" s="124">
        <f t="shared" ref="B11:C11" si="0">SUM(B5:B10)</f>
        <v>62770.999681698013</v>
      </c>
      <c r="C11" s="124">
        <f t="shared" si="0"/>
        <v>62770.999681698013</v>
      </c>
      <c r="E11" s="124">
        <f t="shared" ref="E11:F11" si="1">SUM(E5:E10)</f>
        <v>80530.916912487286</v>
      </c>
      <c r="F11" s="124">
        <f t="shared" si="1"/>
        <v>80530.916912487286</v>
      </c>
      <c r="H11" s="125">
        <f t="shared" ref="H11:I11" si="2">SUM(H5:H10)</f>
        <v>34659174.803172335</v>
      </c>
      <c r="I11" s="125">
        <f t="shared" si="2"/>
        <v>34659174.803172335</v>
      </c>
      <c r="J11" s="125">
        <f>J5+J6+SUM(J7:J10)</f>
        <v>44465360.444840074</v>
      </c>
      <c r="K11" s="125">
        <f>K5+K6+SUM(K7:K10)</f>
        <v>44465360.444840074</v>
      </c>
      <c r="M11" s="125">
        <f t="shared" ref="M11:N11" si="3">SUM(M5:M10)</f>
        <v>9806185.641667746</v>
      </c>
      <c r="N11" s="125">
        <f t="shared" si="3"/>
        <v>9806185.641667746</v>
      </c>
      <c r="O11" s="106" t="s">
        <v>54</v>
      </c>
      <c r="P11" s="102"/>
      <c r="Q11" s="102"/>
      <c r="R11" s="103">
        <f>R5+R6+SUM(R7:R10)</f>
        <v>158100.00099999999</v>
      </c>
      <c r="S11" s="171">
        <f>S5+S6+SUM(S7:S10)</f>
        <v>87471328</v>
      </c>
      <c r="T11" s="152">
        <f>S11/R11</f>
        <v>553.26582825258811</v>
      </c>
      <c r="X11" s="121"/>
      <c r="Y11" s="121"/>
      <c r="Z11" s="121"/>
      <c r="AA11" s="121"/>
      <c r="AB11" s="121"/>
      <c r="AC11" s="121"/>
      <c r="AH11" s="121"/>
      <c r="AI11" s="121"/>
      <c r="AJ11" s="121"/>
      <c r="AK11" s="121"/>
      <c r="AL11" s="121"/>
      <c r="AM11" s="121"/>
      <c r="AN11" s="121"/>
      <c r="AS11" s="121"/>
      <c r="AT11" s="121"/>
      <c r="AU11" s="121"/>
      <c r="AV11" s="121"/>
      <c r="AW11" s="121"/>
      <c r="AX11" s="121"/>
    </row>
    <row r="12" spans="1:64" ht="12.95">
      <c r="A12" s="104"/>
      <c r="B12" s="117"/>
      <c r="C12" s="117"/>
      <c r="E12" s="117"/>
      <c r="F12" s="117"/>
      <c r="H12" s="121"/>
      <c r="I12" s="121"/>
      <c r="J12" s="121"/>
      <c r="K12" s="121"/>
      <c r="M12" s="121"/>
      <c r="N12" s="121"/>
      <c r="O12" s="104"/>
      <c r="R12" s="154"/>
      <c r="S12" s="172"/>
      <c r="T12" s="152"/>
      <c r="X12" s="121"/>
      <c r="Y12" s="121"/>
      <c r="Z12" s="121"/>
      <c r="AA12" s="121"/>
      <c r="AB12" s="121"/>
      <c r="AC12" s="121"/>
      <c r="AH12" s="121"/>
      <c r="AI12" s="121"/>
      <c r="AJ12" s="121"/>
      <c r="AK12" s="121"/>
      <c r="AL12" s="121"/>
      <c r="AM12" s="121"/>
      <c r="AN12" s="121"/>
      <c r="AS12" s="121"/>
      <c r="AT12" s="121"/>
      <c r="AU12" s="121"/>
      <c r="AV12" s="121"/>
      <c r="AW12" s="121"/>
      <c r="AX12" s="121"/>
    </row>
    <row r="13" spans="1:64" ht="12.95">
      <c r="A13" s="126" t="s">
        <v>55</v>
      </c>
      <c r="B13" s="117"/>
      <c r="C13" s="117"/>
      <c r="E13" s="117"/>
      <c r="F13" s="117"/>
      <c r="H13" s="121"/>
      <c r="I13" s="121"/>
      <c r="J13" s="121"/>
      <c r="K13" s="121"/>
      <c r="M13" s="121"/>
      <c r="N13" s="121"/>
      <c r="O13" s="126" t="s">
        <v>55</v>
      </c>
      <c r="P13" s="126"/>
      <c r="Q13" s="127"/>
      <c r="R13" s="155"/>
      <c r="S13" s="173"/>
      <c r="T13" s="152"/>
      <c r="X13" s="121"/>
      <c r="Y13" s="121"/>
      <c r="Z13" s="121"/>
      <c r="AA13" s="121"/>
      <c r="AB13" s="121"/>
      <c r="AC13" s="121"/>
      <c r="AH13" s="121"/>
      <c r="AI13" s="121"/>
      <c r="AJ13" s="121"/>
      <c r="AK13" s="121"/>
      <c r="AL13" s="121"/>
      <c r="AM13" s="121"/>
      <c r="AN13" s="121"/>
      <c r="AS13" s="121"/>
      <c r="AT13" s="121"/>
      <c r="AU13" s="121"/>
      <c r="AV13" s="121"/>
      <c r="AW13" s="121"/>
      <c r="AX13" s="121"/>
    </row>
    <row r="14" spans="1:64">
      <c r="A14" s="109" t="s">
        <v>56</v>
      </c>
      <c r="B14" s="117">
        <f>$R14/$R$29*B$3</f>
        <v>34383.102707475933</v>
      </c>
      <c r="C14" s="117">
        <f>$R14/$R$29*C$3</f>
        <v>34383.102707475933</v>
      </c>
      <c r="E14" s="117">
        <f>$R14/$R$29*E$3</f>
        <v>44111.178750855273</v>
      </c>
      <c r="F14" s="117">
        <f>$R14/$R$29*F$3</f>
        <v>44111.178750855273</v>
      </c>
      <c r="H14" s="121">
        <f>B14*$T14</f>
        <v>17204248.485661581</v>
      </c>
      <c r="I14" s="121">
        <f>C14*$T14</f>
        <v>17204248.485661581</v>
      </c>
      <c r="J14" s="121">
        <f>E14*$T14</f>
        <v>22071878.930813923</v>
      </c>
      <c r="K14" s="121">
        <f>F14*$T14</f>
        <v>22071878.930813923</v>
      </c>
      <c r="M14" s="121">
        <f>J14-H14</f>
        <v>4867630.4451523423</v>
      </c>
      <c r="N14" s="121">
        <f>K14-I14</f>
        <v>4867630.4451523423</v>
      </c>
      <c r="O14" s="109" t="s">
        <v>56</v>
      </c>
      <c r="R14" s="101">
        <v>86600</v>
      </c>
      <c r="S14" s="169">
        <v>43331980</v>
      </c>
      <c r="T14" s="152">
        <f t="shared" ref="T14:T18" si="4">S14/R14</f>
        <v>500.36928406466512</v>
      </c>
      <c r="X14" s="121"/>
      <c r="Y14" s="121"/>
      <c r="Z14" s="121"/>
      <c r="AA14" s="121"/>
      <c r="AB14" s="121"/>
      <c r="AC14" s="121"/>
      <c r="AH14" s="121"/>
      <c r="AI14" s="121"/>
      <c r="AJ14" s="121"/>
      <c r="AK14" s="121"/>
      <c r="AL14" s="121"/>
      <c r="AM14" s="121"/>
      <c r="AN14" s="121"/>
      <c r="AS14" s="121"/>
      <c r="AT14" s="121"/>
      <c r="AU14" s="121"/>
      <c r="AV14" s="121"/>
      <c r="AW14" s="121"/>
      <c r="AX14" s="121"/>
    </row>
    <row r="15" spans="1:64">
      <c r="A15" s="109" t="s">
        <v>57</v>
      </c>
      <c r="B15" s="117">
        <f>$R15/$R$29*B$3</f>
        <v>2382.2011113724666</v>
      </c>
      <c r="C15" s="117">
        <f>$R15/$R$29*C$3</f>
        <v>2382.2011113724666</v>
      </c>
      <c r="E15" s="117">
        <f>$R15/$R$29*E$3</f>
        <v>3056.2017610292337</v>
      </c>
      <c r="F15" s="117">
        <f>$R15/$R$29*F$3</f>
        <v>3056.2017610292337</v>
      </c>
      <c r="H15" s="121">
        <f>B15*$T15</f>
        <v>1558920.3479525133</v>
      </c>
      <c r="I15" s="121">
        <f>C15*$T15</f>
        <v>1558920.3479525133</v>
      </c>
      <c r="J15" s="121">
        <f>E15*$T15</f>
        <v>1999988.6197567338</v>
      </c>
      <c r="K15" s="121">
        <f>F15*$T15</f>
        <v>1999988.6197567338</v>
      </c>
      <c r="M15" s="121">
        <f>J15-H15</f>
        <v>441068.27180422051</v>
      </c>
      <c r="N15" s="121">
        <f>K15-I15</f>
        <v>441068.27180422051</v>
      </c>
      <c r="O15" s="109" t="s">
        <v>57</v>
      </c>
      <c r="R15" s="101">
        <v>6000</v>
      </c>
      <c r="S15" s="169">
        <v>3926420</v>
      </c>
      <c r="T15" s="152">
        <f t="shared" si="4"/>
        <v>654.40333333333331</v>
      </c>
      <c r="X15" s="121"/>
      <c r="Y15" s="121"/>
      <c r="Z15" s="121"/>
      <c r="AA15" s="121"/>
      <c r="AB15" s="121"/>
      <c r="AC15" s="121"/>
      <c r="AH15" s="121"/>
      <c r="AI15" s="121"/>
      <c r="AJ15" s="121"/>
      <c r="AK15" s="121"/>
      <c r="AL15" s="121"/>
      <c r="AM15" s="121"/>
      <c r="AN15" s="121"/>
      <c r="AS15" s="121"/>
      <c r="AT15" s="121"/>
      <c r="AU15" s="121"/>
      <c r="AV15" s="121"/>
      <c r="AW15" s="121"/>
      <c r="AX15" s="121"/>
    </row>
    <row r="16" spans="1:64">
      <c r="A16" s="109" t="s">
        <v>58</v>
      </c>
      <c r="B16" s="117">
        <f>$R16/$R$29*B$3</f>
        <v>11708.121428877112</v>
      </c>
      <c r="C16" s="117">
        <f>$R16/$R$29*C$3</f>
        <v>11708.121428877112</v>
      </c>
      <c r="E16" s="117">
        <f>$R16/$R$29*E$3</f>
        <v>15020.722288498513</v>
      </c>
      <c r="F16" s="117">
        <f>$R16/$R$29*F$3</f>
        <v>15020.722288498513</v>
      </c>
      <c r="H16" s="121">
        <f>B16*$T16</f>
        <v>2248103.4375116434</v>
      </c>
      <c r="I16" s="121">
        <f>C16*$T16</f>
        <v>2248103.4375116434</v>
      </c>
      <c r="J16" s="121">
        <f>E16*$T16</f>
        <v>2884163.5795982569</v>
      </c>
      <c r="K16" s="121">
        <f>F16*$T16</f>
        <v>2884163.5795982569</v>
      </c>
      <c r="M16" s="121">
        <f>J16-H16</f>
        <v>636060.14208661346</v>
      </c>
      <c r="N16" s="121">
        <f>K16-I16</f>
        <v>636060.14208661346</v>
      </c>
      <c r="O16" s="109" t="s">
        <v>58</v>
      </c>
      <c r="R16" s="101">
        <v>29489</v>
      </c>
      <c r="S16" s="169">
        <v>5662251</v>
      </c>
      <c r="T16" s="152">
        <f t="shared" si="4"/>
        <v>192.01230967479398</v>
      </c>
      <c r="X16" s="121"/>
      <c r="Y16" s="121"/>
      <c r="Z16" s="121"/>
      <c r="AA16" s="121"/>
      <c r="AB16" s="121"/>
      <c r="AC16" s="121"/>
      <c r="AH16" s="121"/>
      <c r="AI16" s="121"/>
      <c r="AJ16" s="121"/>
      <c r="AK16" s="121"/>
      <c r="AL16" s="121"/>
      <c r="AM16" s="121"/>
      <c r="AN16" s="121"/>
      <c r="AS16" s="121"/>
      <c r="AT16" s="121"/>
      <c r="AU16" s="121"/>
      <c r="AV16" s="121"/>
      <c r="AW16" s="121"/>
      <c r="AX16" s="121"/>
    </row>
    <row r="17" spans="1:50">
      <c r="A17" s="109" t="s">
        <v>59</v>
      </c>
      <c r="B17" s="117">
        <f>$R17/$R$29*B$3</f>
        <v>4750.5060495952603</v>
      </c>
      <c r="C17" s="117">
        <f>$R17/$R$29*C$3</f>
        <v>4750.5060495952603</v>
      </c>
      <c r="E17" s="117">
        <f>$R17/$R$29*E$3</f>
        <v>6094.5756784524647</v>
      </c>
      <c r="F17" s="117">
        <f>$R17/$R$29*F$3</f>
        <v>6094.5756784524647</v>
      </c>
      <c r="H17" s="121">
        <f>B17*$T17</f>
        <v>3464900.3995527327</v>
      </c>
      <c r="I17" s="121">
        <f>C17*$T17</f>
        <v>3464900.3995527327</v>
      </c>
      <c r="J17" s="121">
        <f>E17*$T17</f>
        <v>4445231.1991421366</v>
      </c>
      <c r="K17" s="121">
        <f>F17*$T17</f>
        <v>4445231.1991421366</v>
      </c>
      <c r="M17" s="121">
        <f>J17-H17</f>
        <v>980330.7995894039</v>
      </c>
      <c r="N17" s="121">
        <f>K17-I17</f>
        <v>980330.7995894039</v>
      </c>
      <c r="O17" s="109" t="s">
        <v>59</v>
      </c>
      <c r="R17" s="101">
        <v>11965</v>
      </c>
      <c r="S17" s="174">
        <v>8726972</v>
      </c>
      <c r="T17" s="152">
        <f t="shared" si="4"/>
        <v>729.37501044713747</v>
      </c>
      <c r="X17" s="121"/>
      <c r="Y17" s="121"/>
      <c r="Z17" s="121"/>
      <c r="AA17" s="121"/>
      <c r="AB17" s="121"/>
      <c r="AC17" s="121"/>
      <c r="AH17" s="121"/>
      <c r="AI17" s="121"/>
      <c r="AJ17" s="121"/>
      <c r="AK17" s="121"/>
      <c r="AL17" s="121"/>
      <c r="AM17" s="121"/>
      <c r="AN17" s="121"/>
      <c r="AS17" s="121"/>
      <c r="AT17" s="121"/>
      <c r="AU17" s="121"/>
      <c r="AV17" s="121"/>
      <c r="AW17" s="121"/>
      <c r="AX17" s="121"/>
    </row>
    <row r="18" spans="1:50">
      <c r="A18" s="109" t="s">
        <v>60</v>
      </c>
      <c r="B18" s="123">
        <f>$R18/$R$29*B$3</f>
        <v>24797.125435313126</v>
      </c>
      <c r="C18" s="123">
        <f>$R18/$R$29*C$3</f>
        <v>24797.125435313126</v>
      </c>
      <c r="E18" s="123">
        <f>$R18/$R$29*E$3</f>
        <v>31813.022864473638</v>
      </c>
      <c r="F18" s="123">
        <f>$R18/$R$29*F$3</f>
        <v>31813.022864473638</v>
      </c>
      <c r="H18" s="121">
        <f>B18*$T18</f>
        <v>12714639.513649758</v>
      </c>
      <c r="I18" s="121">
        <f>C18*$T18</f>
        <v>12714639.513649758</v>
      </c>
      <c r="J18" s="121">
        <f>E18*$T18</f>
        <v>16312016.43176154</v>
      </c>
      <c r="K18" s="121">
        <f>F18*$T18</f>
        <v>16312016.43176154</v>
      </c>
      <c r="M18" s="121">
        <f>J18-H18</f>
        <v>3597376.9181117825</v>
      </c>
      <c r="N18" s="121">
        <f>K18-I18</f>
        <v>3597376.9181117825</v>
      </c>
      <c r="O18" s="109" t="s">
        <v>60</v>
      </c>
      <c r="Q18" s="128"/>
      <c r="R18" s="107">
        <v>62456</v>
      </c>
      <c r="S18" s="175">
        <v>32024096</v>
      </c>
      <c r="T18" s="152">
        <f t="shared" si="4"/>
        <v>512.74650954271806</v>
      </c>
      <c r="X18" s="121"/>
      <c r="Y18" s="121"/>
      <c r="Z18" s="121"/>
      <c r="AA18" s="121"/>
      <c r="AB18" s="121"/>
      <c r="AC18" s="121"/>
      <c r="AH18" s="121"/>
      <c r="AI18" s="121"/>
      <c r="AJ18" s="121"/>
      <c r="AK18" s="121"/>
      <c r="AL18" s="121"/>
      <c r="AM18" s="121"/>
      <c r="AN18" s="121"/>
      <c r="AS18" s="121"/>
      <c r="AT18" s="121"/>
      <c r="AU18" s="121"/>
      <c r="AV18" s="121"/>
      <c r="AW18" s="121"/>
      <c r="AX18" s="121"/>
    </row>
    <row r="19" spans="1:50" ht="12.95">
      <c r="A19" s="102" t="s">
        <v>61</v>
      </c>
      <c r="B19" s="123">
        <f>SUM(B14:B17)+B18</f>
        <v>78021.056732633893</v>
      </c>
      <c r="C19" s="123">
        <f>SUM(C14:C17)+C18</f>
        <v>78021.056732633893</v>
      </c>
      <c r="E19" s="123">
        <f>SUM(E14:E17)+E18</f>
        <v>100095.70134330912</v>
      </c>
      <c r="F19" s="123">
        <f>SUM(F14:F17)+F18</f>
        <v>100095.70134330912</v>
      </c>
      <c r="H19" s="125">
        <f t="shared" ref="H19:I19" si="5">SUM(H14:H18)</f>
        <v>37190812.184328228</v>
      </c>
      <c r="I19" s="125">
        <f t="shared" si="5"/>
        <v>37190812.184328228</v>
      </c>
      <c r="J19" s="125">
        <f t="shared" ref="J19:K19" si="6">SUM(J14:J18)</f>
        <v>47713278.761072591</v>
      </c>
      <c r="K19" s="125">
        <f t="shared" si="6"/>
        <v>47713278.761072591</v>
      </c>
      <c r="M19" s="125">
        <f t="shared" ref="M19:N19" si="7">SUM(M14:M18)</f>
        <v>10522466.576744363</v>
      </c>
      <c r="N19" s="125">
        <f t="shared" si="7"/>
        <v>10522466.576744363</v>
      </c>
      <c r="O19" s="102" t="s">
        <v>61</v>
      </c>
      <c r="P19" s="102"/>
      <c r="Q19" s="106"/>
      <c r="R19" s="103">
        <f>SUM(R14:R18)</f>
        <v>196510</v>
      </c>
      <c r="S19" s="171">
        <f>SUM(S14:S18)</f>
        <v>93671719</v>
      </c>
      <c r="T19" s="152">
        <f>S19/R19</f>
        <v>476.67660169965905</v>
      </c>
      <c r="X19" s="121"/>
      <c r="Y19" s="121"/>
      <c r="Z19" s="121"/>
      <c r="AA19" s="121"/>
      <c r="AB19" s="121"/>
      <c r="AC19" s="121"/>
      <c r="AH19" s="121"/>
      <c r="AI19" s="121"/>
      <c r="AJ19" s="121"/>
      <c r="AK19" s="121"/>
      <c r="AL19" s="121"/>
      <c r="AM19" s="121"/>
      <c r="AN19" s="121"/>
      <c r="AS19" s="121"/>
      <c r="AT19" s="121"/>
      <c r="AU19" s="121"/>
      <c r="AV19" s="121"/>
      <c r="AW19" s="121"/>
      <c r="AX19" s="121"/>
    </row>
    <row r="20" spans="1:50" ht="12.95">
      <c r="A20" s="104"/>
      <c r="B20" s="117"/>
      <c r="C20" s="117"/>
      <c r="E20" s="117"/>
      <c r="F20" s="117"/>
      <c r="H20" s="121"/>
      <c r="I20" s="121"/>
      <c r="J20" s="121"/>
      <c r="K20" s="121"/>
      <c r="M20" s="121"/>
      <c r="N20" s="121"/>
      <c r="O20" s="104"/>
      <c r="R20" s="154"/>
      <c r="S20" s="172"/>
      <c r="T20" s="152"/>
      <c r="X20" s="121"/>
      <c r="Y20" s="121"/>
      <c r="Z20" s="121"/>
      <c r="AA20" s="121"/>
      <c r="AB20" s="121"/>
      <c r="AC20" s="121"/>
      <c r="AH20" s="121"/>
      <c r="AI20" s="121"/>
      <c r="AJ20" s="121"/>
      <c r="AK20" s="121"/>
      <c r="AL20" s="121"/>
      <c r="AM20" s="121"/>
      <c r="AN20" s="121"/>
      <c r="AS20" s="121"/>
      <c r="AT20" s="121"/>
      <c r="AU20" s="121"/>
      <c r="AV20" s="121"/>
      <c r="AW20" s="121"/>
      <c r="AX20" s="121"/>
    </row>
    <row r="21" spans="1:50" ht="12.95">
      <c r="A21" s="163" t="s">
        <v>62</v>
      </c>
      <c r="B21" s="117"/>
      <c r="C21" s="117"/>
      <c r="E21" s="117"/>
      <c r="F21" s="117"/>
      <c r="H21" s="121"/>
      <c r="I21" s="121"/>
      <c r="J21" s="121"/>
      <c r="K21" s="121"/>
      <c r="M21" s="121"/>
      <c r="N21" s="121"/>
      <c r="O21" s="163" t="s">
        <v>62</v>
      </c>
      <c r="P21" s="163"/>
      <c r="Q21" s="163"/>
      <c r="R21" s="164"/>
      <c r="S21" s="176"/>
      <c r="T21" s="152"/>
      <c r="X21" s="121"/>
      <c r="Y21" s="121"/>
      <c r="Z21" s="121"/>
      <c r="AA21" s="121"/>
      <c r="AB21" s="121"/>
      <c r="AC21" s="121"/>
      <c r="AH21" s="121"/>
      <c r="AI21" s="121"/>
      <c r="AJ21" s="121"/>
      <c r="AK21" s="121"/>
      <c r="AL21" s="121"/>
      <c r="AM21" s="121"/>
      <c r="AN21" s="121"/>
      <c r="AS21" s="121"/>
      <c r="AT21" s="121"/>
      <c r="AU21" s="121"/>
      <c r="AV21" s="121"/>
      <c r="AW21" s="121"/>
      <c r="AX21" s="121"/>
    </row>
    <row r="22" spans="1:50">
      <c r="A22" s="109" t="s">
        <v>63</v>
      </c>
      <c r="B22" s="117">
        <f>$R22/$R$29*B$3</f>
        <v>0</v>
      </c>
      <c r="C22" s="117">
        <f>$R22/$R$29*C$3</f>
        <v>0</v>
      </c>
      <c r="E22" s="117">
        <f>$R22/$R$29*E$3</f>
        <v>0</v>
      </c>
      <c r="F22" s="117">
        <f>$R22/$R$29*F$3</f>
        <v>0</v>
      </c>
      <c r="H22" s="121">
        <f>B22*$T22</f>
        <v>0</v>
      </c>
      <c r="I22" s="121">
        <f>C22*$T22</f>
        <v>0</v>
      </c>
      <c r="J22" s="121">
        <f>E22*$T22</f>
        <v>0</v>
      </c>
      <c r="K22" s="121">
        <f>F22*$T22</f>
        <v>0</v>
      </c>
      <c r="M22" s="121">
        <f>J22-H22</f>
        <v>0</v>
      </c>
      <c r="N22" s="121">
        <f>K22-I22</f>
        <v>0</v>
      </c>
      <c r="O22" s="109" t="s">
        <v>63</v>
      </c>
      <c r="R22" s="162"/>
      <c r="S22" s="177"/>
      <c r="T22" s="152"/>
      <c r="X22" s="121"/>
      <c r="Y22" s="121"/>
      <c r="Z22" s="121"/>
      <c r="AA22" s="121"/>
      <c r="AB22" s="121"/>
      <c r="AC22" s="121"/>
      <c r="AH22" s="121"/>
      <c r="AI22" s="121"/>
      <c r="AJ22" s="121"/>
      <c r="AK22" s="121"/>
      <c r="AL22" s="121"/>
      <c r="AM22" s="121"/>
      <c r="AN22" s="121"/>
      <c r="AS22" s="121"/>
      <c r="AT22" s="121"/>
      <c r="AU22" s="121"/>
      <c r="AV22" s="121"/>
      <c r="AW22" s="121"/>
      <c r="AX22" s="121"/>
    </row>
    <row r="23" spans="1:50">
      <c r="A23" s="109" t="s">
        <v>64</v>
      </c>
      <c r="B23" s="117">
        <f>$R23/$R$29*B$3</f>
        <v>0</v>
      </c>
      <c r="C23" s="117">
        <f>$R23/$R$29*C$3</f>
        <v>0</v>
      </c>
      <c r="E23" s="117">
        <f>$R23/$R$29*E$3</f>
        <v>0</v>
      </c>
      <c r="F23" s="117">
        <f>$R23/$R$29*F$3</f>
        <v>0</v>
      </c>
      <c r="H23" s="121">
        <f>B23*$T23</f>
        <v>0</v>
      </c>
      <c r="I23" s="121">
        <f>C23*$T23</f>
        <v>0</v>
      </c>
      <c r="J23" s="121">
        <f>E23*$T23</f>
        <v>0</v>
      </c>
      <c r="K23" s="121">
        <f>F23*$T23</f>
        <v>0</v>
      </c>
      <c r="M23" s="121">
        <f>J23-H23</f>
        <v>0</v>
      </c>
      <c r="N23" s="121">
        <f>K23-I23</f>
        <v>0</v>
      </c>
      <c r="O23" s="109" t="s">
        <v>64</v>
      </c>
      <c r="Q23" s="128"/>
      <c r="R23" s="107"/>
      <c r="S23" s="178"/>
      <c r="T23" s="152"/>
      <c r="X23" s="121"/>
      <c r="Y23" s="121"/>
      <c r="Z23" s="121"/>
      <c r="AA23" s="121"/>
      <c r="AB23" s="121"/>
      <c r="AC23" s="121"/>
      <c r="AH23" s="121"/>
      <c r="AI23" s="121"/>
      <c r="AJ23" s="121"/>
      <c r="AK23" s="121"/>
      <c r="AL23" s="121"/>
      <c r="AM23" s="121"/>
      <c r="AN23" s="121"/>
      <c r="AS23" s="121"/>
      <c r="AT23" s="121"/>
      <c r="AU23" s="121"/>
      <c r="AV23" s="121"/>
      <c r="AW23" s="121"/>
      <c r="AX23" s="121"/>
    </row>
    <row r="24" spans="1:50" ht="12.95">
      <c r="A24" s="102" t="s">
        <v>65</v>
      </c>
      <c r="B24" s="124">
        <f>B22+B23</f>
        <v>0</v>
      </c>
      <c r="C24" s="124">
        <f>C22+C23</f>
        <v>0</v>
      </c>
      <c r="E24" s="124">
        <f>E22+E23</f>
        <v>0</v>
      </c>
      <c r="F24" s="124">
        <f>F22+F23</f>
        <v>0</v>
      </c>
      <c r="H24" s="125">
        <f t="shared" ref="H24:I24" si="8">H22+H23</f>
        <v>0</v>
      </c>
      <c r="I24" s="125">
        <f t="shared" si="8"/>
        <v>0</v>
      </c>
      <c r="J24" s="125">
        <f t="shared" ref="J24:K24" si="9">J22+J23</f>
        <v>0</v>
      </c>
      <c r="K24" s="125">
        <f t="shared" si="9"/>
        <v>0</v>
      </c>
      <c r="M24" s="125">
        <f t="shared" ref="M24:N24" si="10">M22+M23</f>
        <v>0</v>
      </c>
      <c r="N24" s="125">
        <f t="shared" si="10"/>
        <v>0</v>
      </c>
      <c r="O24" s="102" t="s">
        <v>65</v>
      </c>
      <c r="P24" s="102"/>
      <c r="Q24" s="106"/>
      <c r="R24" s="103">
        <f>SUM(R22:R23)</f>
        <v>0</v>
      </c>
      <c r="S24" s="171">
        <f>SUM(S22:S23)</f>
        <v>0</v>
      </c>
      <c r="T24" s="152"/>
      <c r="X24" s="121"/>
      <c r="Y24" s="121"/>
      <c r="Z24" s="121"/>
      <c r="AA24" s="121"/>
      <c r="AB24" s="121"/>
      <c r="AC24" s="121"/>
      <c r="AH24" s="121"/>
      <c r="AI24" s="121"/>
      <c r="AJ24" s="121"/>
      <c r="AK24" s="121"/>
      <c r="AL24" s="121"/>
      <c r="AM24" s="121"/>
      <c r="AN24" s="121"/>
      <c r="AS24" s="121"/>
      <c r="AT24" s="121"/>
      <c r="AU24" s="121"/>
      <c r="AV24" s="121"/>
      <c r="AW24" s="121"/>
      <c r="AX24" s="121"/>
    </row>
    <row r="25" spans="1:50" ht="12.95">
      <c r="B25" s="117"/>
      <c r="C25" s="117"/>
      <c r="E25" s="117"/>
      <c r="F25" s="117"/>
      <c r="H25" s="121"/>
      <c r="I25" s="121"/>
      <c r="J25" s="121"/>
      <c r="K25" s="121"/>
      <c r="M25" s="121"/>
      <c r="N25" s="121"/>
      <c r="Q25" s="154"/>
      <c r="R25" s="105"/>
      <c r="S25" s="152"/>
      <c r="T25" s="121"/>
      <c r="X25" s="121"/>
      <c r="Y25" s="121"/>
      <c r="Z25" s="121"/>
      <c r="AA25" s="121"/>
      <c r="AB25" s="121"/>
      <c r="AC25" s="121"/>
      <c r="AH25" s="121"/>
      <c r="AI25" s="121"/>
      <c r="AJ25" s="121"/>
      <c r="AK25" s="121"/>
      <c r="AL25" s="121"/>
      <c r="AM25" s="121"/>
      <c r="AN25" s="121"/>
      <c r="AS25" s="121"/>
      <c r="AT25" s="121"/>
      <c r="AU25" s="121"/>
      <c r="AV25" s="121"/>
      <c r="AW25" s="121"/>
      <c r="AX25" s="121"/>
    </row>
    <row r="26" spans="1:50" ht="12.95">
      <c r="A26" s="165" t="s">
        <v>66</v>
      </c>
      <c r="B26" s="117"/>
      <c r="C26" s="117"/>
      <c r="E26" s="117"/>
      <c r="F26" s="117"/>
      <c r="H26" s="121"/>
      <c r="I26" s="121"/>
      <c r="J26" s="121"/>
      <c r="K26" s="121"/>
      <c r="M26" s="121"/>
      <c r="N26" s="121"/>
      <c r="O26" s="165" t="s">
        <v>66</v>
      </c>
      <c r="P26" s="165"/>
      <c r="Q26" s="165"/>
      <c r="R26" s="166"/>
      <c r="S26" s="179"/>
      <c r="T26" s="152"/>
      <c r="X26" s="121"/>
      <c r="Y26" s="121"/>
      <c r="Z26" s="121"/>
      <c r="AA26" s="121"/>
      <c r="AB26" s="121"/>
      <c r="AC26" s="121"/>
      <c r="AH26" s="121"/>
      <c r="AI26" s="121"/>
      <c r="AJ26" s="121"/>
      <c r="AK26" s="121"/>
      <c r="AL26" s="121"/>
      <c r="AM26" s="121"/>
      <c r="AN26" s="121"/>
      <c r="AS26" s="121"/>
      <c r="AT26" s="121"/>
      <c r="AU26" s="121"/>
      <c r="AV26" s="121"/>
      <c r="AW26" s="121"/>
      <c r="AX26" s="121"/>
    </row>
    <row r="27" spans="1:50">
      <c r="A27" s="109" t="s">
        <v>67</v>
      </c>
      <c r="B27" s="117">
        <f>$R27/$R$29*B$3</f>
        <v>14173.302545629052</v>
      </c>
      <c r="C27" s="117">
        <f>$R27/$R$29*C$3</f>
        <v>14173.302545629052</v>
      </c>
      <c r="E27" s="117">
        <f>$R27/$R$29*E$3</f>
        <v>18183.381744203602</v>
      </c>
      <c r="F27" s="117">
        <f>$R27/$R$29*F$3</f>
        <v>18183.381744203602</v>
      </c>
      <c r="H27" s="121">
        <f>B27*$T27</f>
        <v>3857294.9784839316</v>
      </c>
      <c r="I27" s="121">
        <f>C27*$T27</f>
        <v>3857294.9784839316</v>
      </c>
      <c r="J27" s="121">
        <f>E27*$T27</f>
        <v>4948646.7157510323</v>
      </c>
      <c r="K27" s="121">
        <f>F27*$T27</f>
        <v>4948646.7157510323</v>
      </c>
      <c r="M27" s="181">
        <f>J27-H27</f>
        <v>1091351.7372671007</v>
      </c>
      <c r="N27" s="181">
        <f>K27-I27</f>
        <v>1091351.7372671007</v>
      </c>
      <c r="O27" s="109" t="s">
        <v>67</v>
      </c>
      <c r="Q27" s="128"/>
      <c r="R27" s="108">
        <v>35698</v>
      </c>
      <c r="S27" s="180">
        <v>9715288</v>
      </c>
      <c r="T27" s="152">
        <f>S27/R27</f>
        <v>272.15216538741669</v>
      </c>
      <c r="X27" s="121"/>
      <c r="Y27" s="121"/>
      <c r="Z27" s="121"/>
      <c r="AA27" s="121"/>
      <c r="AB27" s="121"/>
      <c r="AC27" s="121"/>
      <c r="AH27" s="121"/>
      <c r="AI27" s="121"/>
      <c r="AJ27" s="121"/>
      <c r="AK27" s="121"/>
      <c r="AL27" s="121"/>
      <c r="AM27" s="121"/>
      <c r="AN27" s="121"/>
      <c r="AS27" s="121"/>
      <c r="AT27" s="121"/>
      <c r="AU27" s="121"/>
      <c r="AV27" s="121"/>
      <c r="AW27" s="121"/>
      <c r="AX27" s="121"/>
    </row>
    <row r="28" spans="1:50" ht="12.95">
      <c r="A28" s="102" t="s">
        <v>68</v>
      </c>
      <c r="B28" s="124">
        <f>SUM(B27:B27)</f>
        <v>14173.302545629052</v>
      </c>
      <c r="C28" s="124">
        <f>SUM(C27:C27)</f>
        <v>14173.302545629052</v>
      </c>
      <c r="E28" s="124">
        <f>SUM(E27:E27)</f>
        <v>18183.381744203602</v>
      </c>
      <c r="F28" s="124">
        <f>SUM(F27:F27)</f>
        <v>18183.381744203602</v>
      </c>
      <c r="H28" s="125">
        <f t="shared" ref="H28:K28" si="11">SUM(H27:H27)</f>
        <v>3857294.9784839316</v>
      </c>
      <c r="I28" s="125">
        <f t="shared" si="11"/>
        <v>3857294.9784839316</v>
      </c>
      <c r="J28" s="125">
        <f t="shared" si="11"/>
        <v>4948646.7157510323</v>
      </c>
      <c r="K28" s="125">
        <f t="shared" si="11"/>
        <v>4948646.7157510323</v>
      </c>
      <c r="M28" s="121">
        <f t="shared" ref="M28:N28" si="12">M27</f>
        <v>1091351.7372671007</v>
      </c>
      <c r="N28" s="121">
        <f t="shared" si="12"/>
        <v>1091351.7372671007</v>
      </c>
      <c r="O28" s="102" t="s">
        <v>68</v>
      </c>
      <c r="P28" s="102"/>
      <c r="Q28" s="106"/>
      <c r="R28" s="103">
        <f>R27</f>
        <v>35698</v>
      </c>
      <c r="S28" s="171">
        <f>S27</f>
        <v>9715288</v>
      </c>
      <c r="T28" s="152">
        <f>S28/R28</f>
        <v>272.15216538741669</v>
      </c>
      <c r="X28" s="121"/>
      <c r="Y28" s="121"/>
      <c r="Z28" s="121"/>
      <c r="AA28" s="121"/>
      <c r="AB28" s="121"/>
      <c r="AC28" s="121"/>
      <c r="AH28" s="121"/>
      <c r="AI28" s="121"/>
      <c r="AJ28" s="121"/>
      <c r="AK28" s="121"/>
      <c r="AL28" s="121"/>
      <c r="AM28" s="121"/>
      <c r="AN28" s="121"/>
      <c r="AS28" s="121"/>
      <c r="AT28" s="121"/>
      <c r="AU28" s="121"/>
      <c r="AV28" s="121"/>
      <c r="AW28" s="121"/>
      <c r="AX28" s="121"/>
    </row>
    <row r="29" spans="1:50" ht="12.95" thickBot="1">
      <c r="A29" s="109" t="s">
        <v>69</v>
      </c>
      <c r="B29" s="129">
        <f>B11+B19+B24+B28</f>
        <v>154965.35895996095</v>
      </c>
      <c r="C29" s="129">
        <f>C11+C19+C24+C28</f>
        <v>154965.35895996095</v>
      </c>
      <c r="E29" s="129">
        <f>E11+E19+E24+E28</f>
        <v>198810</v>
      </c>
      <c r="F29" s="129">
        <f>F11+F19+F24+F28</f>
        <v>198810</v>
      </c>
      <c r="H29" s="130">
        <f t="shared" ref="H29:I29" si="13">H11+H19+H24+H28</f>
        <v>75707281.965984493</v>
      </c>
      <c r="I29" s="130">
        <f t="shared" si="13"/>
        <v>75707281.965984493</v>
      </c>
      <c r="J29" s="130">
        <f>J11+J19+J24+J28</f>
        <v>97127285.921663702</v>
      </c>
      <c r="K29" s="130">
        <f>K11+K19+K24+K28</f>
        <v>97127285.921663702</v>
      </c>
      <c r="M29" s="130">
        <f t="shared" ref="M29:N29" si="14">M11+M19+M24+M28</f>
        <v>21420003.955679208</v>
      </c>
      <c r="N29" s="130">
        <f t="shared" si="14"/>
        <v>21420003.955679208</v>
      </c>
      <c r="O29" s="109" t="s">
        <v>69</v>
      </c>
      <c r="R29" s="129">
        <f>R11+R19+R24+R28</f>
        <v>390308.00099999999</v>
      </c>
      <c r="S29" s="130">
        <f>S11+S19+S24+S28</f>
        <v>190858335</v>
      </c>
      <c r="T29" s="152"/>
      <c r="X29" s="121"/>
      <c r="Y29" s="121"/>
      <c r="Z29" s="121"/>
      <c r="AA29" s="121"/>
      <c r="AB29" s="121"/>
      <c r="AC29" s="121"/>
      <c r="AH29" s="121"/>
      <c r="AI29" s="121"/>
      <c r="AJ29" s="121"/>
      <c r="AK29" s="121"/>
      <c r="AL29" s="121"/>
      <c r="AM29" s="121"/>
      <c r="AN29" s="121"/>
      <c r="AS29" s="121"/>
      <c r="AT29" s="121"/>
      <c r="AU29" s="121"/>
      <c r="AV29" s="121"/>
      <c r="AW29" s="121"/>
      <c r="AX29" s="121"/>
    </row>
    <row r="30" spans="1:50" ht="12.95" thickTop="1">
      <c r="R30" s="131"/>
      <c r="S30" s="132"/>
      <c r="T30" s="132"/>
      <c r="U30" s="132"/>
      <c r="V30" s="132"/>
      <c r="W30" s="132"/>
      <c r="X30" s="132"/>
      <c r="Y30" s="132"/>
      <c r="Z30" s="132"/>
      <c r="AD30" s="132"/>
      <c r="AE30" s="132"/>
      <c r="AF30" s="132"/>
      <c r="AG30" s="132"/>
      <c r="AH30" s="132"/>
      <c r="AI30" s="132"/>
      <c r="AJ30" s="132"/>
      <c r="AK30" s="132"/>
    </row>
    <row r="31" spans="1:50">
      <c r="B31" s="116"/>
      <c r="C31" s="116"/>
      <c r="E31" s="117"/>
      <c r="F31" s="117"/>
      <c r="G31" s="117"/>
      <c r="H31" s="117"/>
      <c r="I31" s="117"/>
      <c r="J31" s="117"/>
      <c r="K31" s="117"/>
      <c r="L31" s="117"/>
      <c r="M31" s="117"/>
      <c r="N31" s="117"/>
      <c r="O31" s="117"/>
      <c r="P31" s="117"/>
      <c r="Q31" s="117"/>
      <c r="R31" s="131"/>
      <c r="S31" s="133"/>
      <c r="T31" s="133"/>
      <c r="U31" s="133"/>
      <c r="V31" s="133"/>
      <c r="W31" s="133"/>
      <c r="X31" s="133"/>
      <c r="Y31" s="133"/>
      <c r="Z31" s="133"/>
      <c r="AD31" s="133"/>
      <c r="AE31" s="133"/>
      <c r="AF31" s="133"/>
      <c r="AG31" s="133"/>
      <c r="AH31" s="133"/>
      <c r="AI31" s="133"/>
      <c r="AJ31" s="133"/>
      <c r="AK31" s="133"/>
    </row>
    <row r="32" spans="1:50">
      <c r="C32" s="117"/>
      <c r="S32" s="120"/>
      <c r="T32" s="120"/>
      <c r="U32" s="120"/>
      <c r="V32" s="120"/>
      <c r="W32" s="120"/>
      <c r="X32" s="120"/>
      <c r="Y32" s="120"/>
      <c r="Z32" s="120"/>
      <c r="AD32" s="120"/>
      <c r="AE32" s="120"/>
      <c r="AF32" s="120"/>
      <c r="AG32" s="120"/>
      <c r="AH32" s="120"/>
      <c r="AI32" s="120"/>
      <c r="AJ32" s="120"/>
      <c r="AK32" s="120"/>
    </row>
    <row r="36" spans="1:7" ht="14.45" customHeight="1">
      <c r="A36" s="138"/>
      <c r="B36" s="138"/>
      <c r="C36" s="138"/>
      <c r="D36" s="138"/>
      <c r="E36" s="138"/>
      <c r="F36" s="138"/>
      <c r="G36" s="138"/>
    </row>
    <row r="37" spans="1:7" ht="12.95">
      <c r="A37" s="279" t="s">
        <v>70</v>
      </c>
      <c r="B37" s="279"/>
      <c r="C37" s="279"/>
      <c r="D37" s="279"/>
      <c r="E37" s="279"/>
      <c r="F37" s="279"/>
      <c r="G37" s="279"/>
    </row>
    <row r="38" spans="1:7" ht="24" customHeight="1">
      <c r="B38" s="109">
        <v>2024</v>
      </c>
      <c r="C38" s="109">
        <v>2025</v>
      </c>
      <c r="D38" s="109"/>
    </row>
    <row r="39" spans="1:7" ht="14.45">
      <c r="A39" s="109" t="s">
        <v>71</v>
      </c>
      <c r="B39" s="156">
        <v>99163.249755859375</v>
      </c>
      <c r="C39" s="156">
        <v>295172.1123046875</v>
      </c>
      <c r="D39" s="156"/>
      <c r="E39" s="156"/>
      <c r="F39" s="156"/>
      <c r="G39" s="156"/>
    </row>
    <row r="40" spans="1:7" ht="14.45">
      <c r="A40" s="109" t="s">
        <v>72</v>
      </c>
      <c r="B40" s="156">
        <f>C40/2</f>
        <v>198810</v>
      </c>
      <c r="C40" s="156">
        <v>397620</v>
      </c>
      <c r="D40" s="156"/>
      <c r="E40" s="156"/>
      <c r="F40" s="156"/>
      <c r="G40" s="156"/>
    </row>
    <row r="42" spans="1:7" ht="12.6" customHeight="1"/>
    <row r="43" spans="1:7" ht="12.6" customHeight="1"/>
    <row r="44" spans="1:7">
      <c r="C44" s="120"/>
    </row>
    <row r="46" spans="1:7">
      <c r="G46" s="120"/>
    </row>
  </sheetData>
  <mergeCells count="6">
    <mergeCell ref="M1:N1"/>
    <mergeCell ref="A37:G37"/>
    <mergeCell ref="J1:K1"/>
    <mergeCell ref="H1:I1"/>
    <mergeCell ref="E1:F1"/>
    <mergeCell ref="B1:C1"/>
  </mergeCells>
  <pageMargins left="0.7" right="0.7" top="0.75" bottom="0.75" header="0.3" footer="0.3"/>
  <pageSetup paperSize="119" orientation="landscape" horizontalDpi="1200" verticalDpi="1200" r:id="rId1"/>
  <headerFooter>
    <oddHeader>&amp;LAppendix E-2: Incremental Cost Calculation&amp;RClean Energy Implementation Plan</oddHeader>
    <oddFooter>&amp;LOctober 1, 2023&amp;C&amp;P of &amp;N&amp;RPuget Sound Energy</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Q107"/>
  <sheetViews>
    <sheetView topLeftCell="A40" workbookViewId="0">
      <selection activeCell="K123" sqref="K123"/>
    </sheetView>
  </sheetViews>
  <sheetFormatPr defaultColWidth="9.140625" defaultRowHeight="14.45"/>
  <cols>
    <col min="1" max="1" width="18.5703125" customWidth="1"/>
    <col min="2" max="2" width="66.140625" bestFit="1" customWidth="1"/>
    <col min="3" max="4" width="11.5703125" bestFit="1" customWidth="1"/>
    <col min="5" max="5" width="16" bestFit="1" customWidth="1"/>
    <col min="6" max="6" width="15.28515625" bestFit="1" customWidth="1"/>
    <col min="7" max="13" width="16.28515625" bestFit="1" customWidth="1"/>
    <col min="14" max="14" width="36.5703125" customWidth="1"/>
    <col min="15" max="15" width="17.85546875" customWidth="1"/>
    <col min="16" max="16" width="16.85546875" customWidth="1"/>
    <col min="17" max="17" width="18.42578125" customWidth="1"/>
  </cols>
  <sheetData>
    <row r="3" spans="1:17" s="80" customFormat="1">
      <c r="A3" s="95" t="s">
        <v>73</v>
      </c>
    </row>
    <row r="5" spans="1:17">
      <c r="A5">
        <v>2019</v>
      </c>
      <c r="C5">
        <v>2020</v>
      </c>
      <c r="D5">
        <f>C5+1</f>
        <v>2021</v>
      </c>
      <c r="E5">
        <f t="shared" ref="E5:M5" si="0">D5+1</f>
        <v>2022</v>
      </c>
      <c r="F5">
        <f t="shared" si="0"/>
        <v>2023</v>
      </c>
      <c r="G5">
        <f t="shared" si="0"/>
        <v>2024</v>
      </c>
      <c r="H5">
        <f t="shared" si="0"/>
        <v>2025</v>
      </c>
      <c r="I5">
        <f t="shared" si="0"/>
        <v>2026</v>
      </c>
      <c r="J5">
        <f t="shared" si="0"/>
        <v>2027</v>
      </c>
      <c r="K5">
        <f t="shared" si="0"/>
        <v>2028</v>
      </c>
      <c r="L5">
        <f t="shared" si="0"/>
        <v>2029</v>
      </c>
      <c r="M5">
        <f t="shared" si="0"/>
        <v>2030</v>
      </c>
      <c r="O5" t="s">
        <v>74</v>
      </c>
      <c r="P5" t="s">
        <v>75</v>
      </c>
      <c r="Q5" t="s">
        <v>76</v>
      </c>
    </row>
    <row r="6" spans="1:17">
      <c r="A6" s="17">
        <v>2127052953.75</v>
      </c>
      <c r="B6" t="s">
        <v>77</v>
      </c>
      <c r="C6" s="17">
        <f>A6/1000*1.025</f>
        <v>2180229.2775937496</v>
      </c>
      <c r="D6" s="17">
        <f>C6*1.025</f>
        <v>2234735.009533593</v>
      </c>
      <c r="E6" s="17">
        <f t="shared" ref="E6:M6" si="1">D6*1.025</f>
        <v>2290603.3847719324</v>
      </c>
      <c r="F6" s="17">
        <f t="shared" si="1"/>
        <v>2347868.4693912305</v>
      </c>
      <c r="G6" s="17">
        <f t="shared" si="1"/>
        <v>2406565.1811260111</v>
      </c>
      <c r="H6" s="17">
        <f t="shared" si="1"/>
        <v>2466729.310654161</v>
      </c>
      <c r="I6" s="17">
        <f t="shared" si="1"/>
        <v>2528397.543420515</v>
      </c>
      <c r="J6" s="17">
        <f t="shared" si="1"/>
        <v>2591607.4820060278</v>
      </c>
      <c r="K6" s="17">
        <f t="shared" si="1"/>
        <v>2656397.6690561781</v>
      </c>
      <c r="L6" s="17">
        <f t="shared" si="1"/>
        <v>2722807.6107825823</v>
      </c>
      <c r="M6" s="17">
        <f t="shared" si="1"/>
        <v>2790877.8010521466</v>
      </c>
    </row>
    <row r="7" spans="1:17">
      <c r="A7" s="17"/>
      <c r="B7" t="s">
        <v>78</v>
      </c>
      <c r="C7" s="78">
        <v>0</v>
      </c>
      <c r="D7" s="78">
        <v>0</v>
      </c>
      <c r="E7" s="78">
        <v>0</v>
      </c>
      <c r="F7" s="78">
        <v>0</v>
      </c>
      <c r="G7" s="78">
        <v>0</v>
      </c>
      <c r="H7" s="78">
        <v>0</v>
      </c>
      <c r="I7" s="78">
        <v>0</v>
      </c>
      <c r="J7" s="78">
        <v>0</v>
      </c>
      <c r="K7" s="78">
        <v>0</v>
      </c>
      <c r="L7" s="78">
        <v>0</v>
      </c>
      <c r="M7" s="78">
        <v>0</v>
      </c>
    </row>
    <row r="8" spans="1:17">
      <c r="A8" s="17"/>
      <c r="B8" t="s">
        <v>79</v>
      </c>
      <c r="C8" s="17">
        <f>C6*(1+C7)</f>
        <v>2180229.2775937496</v>
      </c>
      <c r="D8" s="17">
        <f t="shared" ref="D8:M8" si="2">D6*(1+D7)</f>
        <v>2234735.009533593</v>
      </c>
      <c r="E8" s="17">
        <f t="shared" si="2"/>
        <v>2290603.3847719324</v>
      </c>
      <c r="F8" s="17">
        <f t="shared" si="2"/>
        <v>2347868.4693912305</v>
      </c>
      <c r="G8" s="17">
        <f t="shared" si="2"/>
        <v>2406565.1811260111</v>
      </c>
      <c r="H8" s="17">
        <f t="shared" si="2"/>
        <v>2466729.310654161</v>
      </c>
      <c r="I8" s="17">
        <f t="shared" si="2"/>
        <v>2528397.543420515</v>
      </c>
      <c r="J8" s="17">
        <f t="shared" si="2"/>
        <v>2591607.4820060278</v>
      </c>
      <c r="K8" s="17">
        <f t="shared" si="2"/>
        <v>2656397.6690561781</v>
      </c>
      <c r="L8" s="17">
        <f t="shared" si="2"/>
        <v>2722807.6107825823</v>
      </c>
      <c r="M8" s="17">
        <f t="shared" si="2"/>
        <v>2790877.8010521466</v>
      </c>
    </row>
    <row r="9" spans="1:17">
      <c r="A9" s="17"/>
      <c r="C9" s="17"/>
      <c r="D9" s="97" t="s">
        <v>80</v>
      </c>
      <c r="E9" s="81">
        <f>E8/1000</f>
        <v>2290.6033847719323</v>
      </c>
      <c r="F9" s="81">
        <f t="shared" ref="F9:M9" si="3">F8/1000</f>
        <v>2347.8684693912305</v>
      </c>
      <c r="G9" s="81">
        <f t="shared" si="3"/>
        <v>2406.5651811260109</v>
      </c>
      <c r="H9" s="81">
        <f t="shared" si="3"/>
        <v>2466.7293106541611</v>
      </c>
      <c r="I9" s="81">
        <f t="shared" si="3"/>
        <v>2528.3975434205149</v>
      </c>
      <c r="J9" s="81">
        <f t="shared" si="3"/>
        <v>2591.607482006028</v>
      </c>
      <c r="K9" s="81">
        <f t="shared" si="3"/>
        <v>2656.3976690561781</v>
      </c>
      <c r="L9" s="81">
        <f t="shared" si="3"/>
        <v>2722.8076107825823</v>
      </c>
      <c r="M9" s="81">
        <f t="shared" si="3"/>
        <v>2790.8778010521464</v>
      </c>
    </row>
    <row r="10" spans="1:17">
      <c r="A10" s="17"/>
      <c r="C10" s="17"/>
      <c r="D10" s="17"/>
      <c r="E10" s="17"/>
      <c r="F10" s="17"/>
      <c r="G10" s="17"/>
      <c r="H10" s="17"/>
      <c r="I10" s="17"/>
      <c r="J10" s="17"/>
      <c r="K10" s="17"/>
      <c r="L10" s="17"/>
      <c r="M10" s="17"/>
    </row>
    <row r="11" spans="1:17">
      <c r="B11" t="s">
        <v>81</v>
      </c>
      <c r="C11" s="17"/>
      <c r="D11" s="17"/>
      <c r="E11" s="17">
        <f>D8*0.02</f>
        <v>44694.700190671858</v>
      </c>
      <c r="F11" s="17">
        <f>E11+((F8+E11)*0.02)</f>
        <v>92545.963582309894</v>
      </c>
      <c r="G11" s="17">
        <f t="shared" ref="G11:M11" si="4">F11+((G8+F11)*0.02)</f>
        <v>142528.18647647632</v>
      </c>
      <c r="H11" s="17">
        <f t="shared" si="4"/>
        <v>194713.33641908906</v>
      </c>
      <c r="I11" s="17">
        <f t="shared" si="4"/>
        <v>249175.55401588115</v>
      </c>
      <c r="J11" s="17">
        <f t="shared" si="4"/>
        <v>305991.21473631932</v>
      </c>
      <c r="K11" s="17">
        <f t="shared" si="4"/>
        <v>365238.99241216929</v>
      </c>
      <c r="L11" s="17">
        <f t="shared" si="4"/>
        <v>426999.92447606433</v>
      </c>
      <c r="M11" s="17">
        <f t="shared" si="4"/>
        <v>491357.47898662853</v>
      </c>
    </row>
    <row r="12" spans="1:17">
      <c r="B12" t="s">
        <v>82</v>
      </c>
      <c r="C12" s="17"/>
      <c r="D12" s="17"/>
      <c r="E12" s="83">
        <f>E11*1000</f>
        <v>44694700.190671861</v>
      </c>
      <c r="F12" s="83">
        <f t="shared" ref="F12:M12" si="5">F11*1000</f>
        <v>92545963.582309902</v>
      </c>
      <c r="G12" s="83">
        <f t="shared" si="5"/>
        <v>142528186.47647631</v>
      </c>
      <c r="H12" s="83">
        <f t="shared" si="5"/>
        <v>194713336.41908905</v>
      </c>
      <c r="I12" s="83">
        <f t="shared" si="5"/>
        <v>249175554.01588115</v>
      </c>
      <c r="J12" s="83">
        <f t="shared" si="5"/>
        <v>305991214.7363193</v>
      </c>
      <c r="K12" s="83">
        <f t="shared" si="5"/>
        <v>365238992.41216928</v>
      </c>
      <c r="L12" s="83">
        <f t="shared" si="5"/>
        <v>426999924.47606432</v>
      </c>
      <c r="M12" s="83">
        <f t="shared" si="5"/>
        <v>491357478.98662853</v>
      </c>
      <c r="O12" s="17">
        <f>SUM(E12:H12)</f>
        <v>474482186.66854715</v>
      </c>
      <c r="P12" s="17">
        <f>SUM(I12:L12)</f>
        <v>1347405685.6404343</v>
      </c>
      <c r="Q12" s="17">
        <f>SUM(E12:M12)</f>
        <v>2313245351.29561</v>
      </c>
    </row>
    <row r="13" spans="1:17">
      <c r="D13" s="97" t="s">
        <v>80</v>
      </c>
      <c r="E13" s="81">
        <f>E12/1000</f>
        <v>44694.700190671858</v>
      </c>
      <c r="F13" s="81">
        <f t="shared" ref="F13:M13" si="6">F12/1000</f>
        <v>92545.963582309909</v>
      </c>
      <c r="G13" s="81">
        <f t="shared" si="6"/>
        <v>142528.18647647632</v>
      </c>
      <c r="H13" s="81">
        <f t="shared" si="6"/>
        <v>194713.33641908906</v>
      </c>
      <c r="I13" s="81">
        <f t="shared" si="6"/>
        <v>249175.55401588115</v>
      </c>
      <c r="J13" s="81">
        <f t="shared" si="6"/>
        <v>305991.21473631932</v>
      </c>
      <c r="K13" s="81">
        <f t="shared" si="6"/>
        <v>365238.99241216929</v>
      </c>
      <c r="L13" s="81">
        <f t="shared" si="6"/>
        <v>426999.92447606433</v>
      </c>
      <c r="M13" s="81">
        <f t="shared" si="6"/>
        <v>491357.47898662853</v>
      </c>
    </row>
    <row r="14" spans="1:17">
      <c r="D14" s="97"/>
      <c r="E14" s="81"/>
      <c r="F14" s="81"/>
      <c r="G14" s="81"/>
      <c r="H14" s="81"/>
      <c r="I14" s="81"/>
      <c r="J14" s="81"/>
      <c r="K14" s="81"/>
      <c r="L14" s="81"/>
      <c r="M14" s="81"/>
    </row>
    <row r="15" spans="1:17">
      <c r="B15" s="8" t="s">
        <v>73</v>
      </c>
      <c r="O15" s="17"/>
      <c r="P15" s="17"/>
      <c r="Q15" s="17"/>
    </row>
    <row r="16" spans="1:17">
      <c r="B16" t="s">
        <v>83</v>
      </c>
      <c r="E16" s="17" t="e">
        <f>#REF!</f>
        <v>#REF!</v>
      </c>
      <c r="F16" s="17" t="e">
        <f>#REF!</f>
        <v>#REF!</v>
      </c>
      <c r="G16" s="17" t="e">
        <f>#REF!</f>
        <v>#REF!</v>
      </c>
      <c r="H16" s="17" t="e">
        <f>#REF!</f>
        <v>#REF!</v>
      </c>
      <c r="I16" s="17" t="e">
        <f>#REF!</f>
        <v>#REF!</v>
      </c>
      <c r="J16" s="17" t="e">
        <f>#REF!</f>
        <v>#REF!</v>
      </c>
      <c r="K16" s="17" t="e">
        <f>#REF!</f>
        <v>#REF!</v>
      </c>
      <c r="L16" s="17" t="e">
        <f>#REF!</f>
        <v>#REF!</v>
      </c>
      <c r="M16" s="17" t="e">
        <f>#REF!</f>
        <v>#REF!</v>
      </c>
      <c r="O16" s="17"/>
      <c r="P16" s="17"/>
      <c r="Q16" s="17"/>
    </row>
    <row r="17" spans="2:17">
      <c r="B17" t="s">
        <v>84</v>
      </c>
      <c r="E17" s="17" t="e">
        <f>#REF!</f>
        <v>#REF!</v>
      </c>
      <c r="F17" s="17" t="e">
        <f>#REF!</f>
        <v>#REF!</v>
      </c>
      <c r="G17" s="17" t="e">
        <f>#REF!</f>
        <v>#REF!</v>
      </c>
      <c r="H17" s="17" t="e">
        <f>#REF!</f>
        <v>#REF!</v>
      </c>
      <c r="I17" s="17" t="e">
        <f>#REF!</f>
        <v>#REF!</v>
      </c>
      <c r="J17" s="17" t="e">
        <f>#REF!</f>
        <v>#REF!</v>
      </c>
      <c r="K17" s="17" t="e">
        <f>#REF!</f>
        <v>#REF!</v>
      </c>
      <c r="L17" s="17" t="e">
        <f>#REF!</f>
        <v>#REF!</v>
      </c>
      <c r="M17" s="17" t="e">
        <f>#REF!</f>
        <v>#REF!</v>
      </c>
      <c r="O17" s="17"/>
      <c r="P17" s="17"/>
      <c r="Q17" s="17"/>
    </row>
    <row r="18" spans="2:17">
      <c r="B18" t="s">
        <v>85</v>
      </c>
      <c r="E18" s="17" t="e">
        <f>#REF!</f>
        <v>#REF!</v>
      </c>
      <c r="F18" s="17" t="e">
        <f>#REF!</f>
        <v>#REF!</v>
      </c>
      <c r="G18" s="17" t="e">
        <f>#REF!</f>
        <v>#REF!</v>
      </c>
      <c r="H18" s="17" t="e">
        <f>#REF!</f>
        <v>#REF!</v>
      </c>
      <c r="I18" s="17" t="e">
        <f>#REF!</f>
        <v>#REF!</v>
      </c>
      <c r="J18" s="17" t="e">
        <f>#REF!</f>
        <v>#REF!</v>
      </c>
      <c r="K18" s="17" t="e">
        <f>#REF!</f>
        <v>#REF!</v>
      </c>
      <c r="L18" s="17" t="e">
        <f>#REF!</f>
        <v>#REF!</v>
      </c>
      <c r="M18" s="17" t="e">
        <f>#REF!</f>
        <v>#REF!</v>
      </c>
      <c r="O18" s="17"/>
      <c r="P18" s="17"/>
      <c r="Q18" s="17"/>
    </row>
    <row r="19" spans="2:17">
      <c r="B19" t="s">
        <v>86</v>
      </c>
      <c r="M19" s="17">
        <v>65674741.433110543</v>
      </c>
      <c r="O19" s="17"/>
      <c r="P19" s="17"/>
      <c r="Q19" s="17"/>
    </row>
    <row r="20" spans="2:17">
      <c r="O20" s="17"/>
      <c r="P20" s="17"/>
      <c r="Q20" s="17"/>
    </row>
    <row r="21" spans="2:17">
      <c r="O21" s="17"/>
      <c r="P21" s="17"/>
      <c r="Q21" s="17"/>
    </row>
    <row r="22" spans="2:17">
      <c r="B22" t="s">
        <v>87</v>
      </c>
      <c r="E22" s="17" t="e">
        <f>#REF!*1000</f>
        <v>#REF!</v>
      </c>
      <c r="F22" s="17" t="e">
        <f>#REF!*1000</f>
        <v>#REF!</v>
      </c>
      <c r="G22" s="17" t="e">
        <f>#REF!*1000</f>
        <v>#REF!</v>
      </c>
      <c r="H22" s="17" t="e">
        <f>#REF!*1000</f>
        <v>#REF!</v>
      </c>
      <c r="I22" s="84" t="e">
        <f>H22</f>
        <v>#REF!</v>
      </c>
      <c r="J22" s="84" t="e">
        <f t="shared" ref="J22:M22" si="7">I22</f>
        <v>#REF!</v>
      </c>
      <c r="K22" s="84" t="e">
        <f t="shared" si="7"/>
        <v>#REF!</v>
      </c>
      <c r="L22" s="84" t="e">
        <f t="shared" si="7"/>
        <v>#REF!</v>
      </c>
      <c r="M22" s="84" t="e">
        <f t="shared" si="7"/>
        <v>#REF!</v>
      </c>
      <c r="O22" s="17"/>
      <c r="P22" s="17"/>
      <c r="Q22" s="17"/>
    </row>
    <row r="23" spans="2:17">
      <c r="B23" t="s">
        <v>88</v>
      </c>
      <c r="O23" s="17"/>
      <c r="P23" s="17"/>
      <c r="Q23" s="17"/>
    </row>
    <row r="24" spans="2:17">
      <c r="B24" t="s">
        <v>89</v>
      </c>
      <c r="E24" s="17">
        <f>'Supporting - Education'!B11</f>
        <v>6392432.5</v>
      </c>
      <c r="F24" s="17">
        <f>'Supporting - Education'!C11</f>
        <v>9541537.5</v>
      </c>
      <c r="G24" s="17">
        <f>'Supporting - Education'!D11</f>
        <v>9779112.5</v>
      </c>
      <c r="H24" s="17">
        <f>'Supporting - Education'!E11</f>
        <v>10195182.5</v>
      </c>
      <c r="I24" s="85">
        <f>H24</f>
        <v>10195182.5</v>
      </c>
      <c r="J24" s="85">
        <f>I24</f>
        <v>10195182.5</v>
      </c>
      <c r="K24" s="85">
        <f>J24</f>
        <v>10195182.5</v>
      </c>
      <c r="L24" s="85">
        <f>K24</f>
        <v>10195182.5</v>
      </c>
      <c r="M24" s="85">
        <f>L24</f>
        <v>10195182.5</v>
      </c>
      <c r="O24" s="17"/>
      <c r="P24" s="17"/>
      <c r="Q24" s="17"/>
    </row>
    <row r="25" spans="2:17">
      <c r="B25" t="s">
        <v>90</v>
      </c>
      <c r="E25" s="17">
        <f>'Supporting Administration'!H21</f>
        <v>1761850</v>
      </c>
      <c r="F25" s="17">
        <f>'Supporting Administration'!I21</f>
        <v>1798396.25</v>
      </c>
      <c r="G25" s="17">
        <f>'Supporting Administration'!J21</f>
        <v>1835856.15625</v>
      </c>
      <c r="H25" s="17">
        <f>'Supporting Administration'!K21</f>
        <v>1874252.5601562497</v>
      </c>
      <c r="I25" s="85">
        <f>H25</f>
        <v>1874252.5601562497</v>
      </c>
      <c r="J25" s="85">
        <f t="shared" ref="J25:M25" si="8">I25</f>
        <v>1874252.5601562497</v>
      </c>
      <c r="K25" s="85">
        <f t="shared" si="8"/>
        <v>1874252.5601562497</v>
      </c>
      <c r="L25" s="85">
        <f t="shared" si="8"/>
        <v>1874252.5601562497</v>
      </c>
      <c r="M25" s="85">
        <f t="shared" si="8"/>
        <v>1874252.5601562497</v>
      </c>
      <c r="O25" s="17"/>
      <c r="P25" s="17"/>
      <c r="Q25" s="17"/>
    </row>
    <row r="26" spans="2:17">
      <c r="O26" s="17"/>
      <c r="P26" s="17"/>
      <c r="Q26" s="17"/>
    </row>
    <row r="27" spans="2:17">
      <c r="B27" t="s">
        <v>91</v>
      </c>
      <c r="E27" s="48" t="e">
        <f>SUM(E16:E25)</f>
        <v>#REF!</v>
      </c>
      <c r="F27" s="48" t="e">
        <f t="shared" ref="F27:M27" si="9">SUM(F16:F25)</f>
        <v>#REF!</v>
      </c>
      <c r="G27" s="48" t="e">
        <f t="shared" si="9"/>
        <v>#REF!</v>
      </c>
      <c r="H27" s="48" t="e">
        <f t="shared" si="9"/>
        <v>#REF!</v>
      </c>
      <c r="I27" s="48" t="e">
        <f t="shared" si="9"/>
        <v>#REF!</v>
      </c>
      <c r="J27" s="48" t="e">
        <f t="shared" si="9"/>
        <v>#REF!</v>
      </c>
      <c r="K27" s="48" t="e">
        <f t="shared" si="9"/>
        <v>#REF!</v>
      </c>
      <c r="L27" s="48" t="e">
        <f t="shared" si="9"/>
        <v>#REF!</v>
      </c>
      <c r="M27" s="48" t="e">
        <f t="shared" si="9"/>
        <v>#REF!</v>
      </c>
      <c r="O27" s="17" t="e">
        <f>SUM(E27:H27)</f>
        <v>#REF!</v>
      </c>
      <c r="P27" s="17" t="e">
        <f>SUM(I27:L27)</f>
        <v>#REF!</v>
      </c>
      <c r="Q27" s="17" t="e">
        <f>SUM(E27:M27)</f>
        <v>#REF!</v>
      </c>
    </row>
    <row r="28" spans="2:17">
      <c r="D28" s="97" t="s">
        <v>80</v>
      </c>
      <c r="E28" s="81" t="e">
        <f>E27/1000</f>
        <v>#REF!</v>
      </c>
      <c r="F28" s="81" t="e">
        <f t="shared" ref="F28:M28" si="10">F27/1000</f>
        <v>#REF!</v>
      </c>
      <c r="G28" s="81" t="e">
        <f t="shared" si="10"/>
        <v>#REF!</v>
      </c>
      <c r="H28" s="81" t="e">
        <f t="shared" si="10"/>
        <v>#REF!</v>
      </c>
      <c r="I28" s="81" t="e">
        <f t="shared" si="10"/>
        <v>#REF!</v>
      </c>
      <c r="J28" s="81" t="e">
        <f t="shared" si="10"/>
        <v>#REF!</v>
      </c>
      <c r="K28" s="81" t="e">
        <f t="shared" si="10"/>
        <v>#REF!</v>
      </c>
      <c r="L28" s="81" t="e">
        <f t="shared" si="10"/>
        <v>#REF!</v>
      </c>
      <c r="M28" s="81" t="e">
        <f t="shared" si="10"/>
        <v>#REF!</v>
      </c>
      <c r="O28" s="17"/>
      <c r="P28" s="17"/>
      <c r="Q28" s="17"/>
    </row>
    <row r="29" spans="2:17" ht="6.75" customHeight="1"/>
    <row r="30" spans="2:17">
      <c r="O30" s="48" t="e">
        <f>O27-O12</f>
        <v>#REF!</v>
      </c>
      <c r="P30" s="48" t="e">
        <f>P27-P12</f>
        <v>#REF!</v>
      </c>
      <c r="Q30" s="48" t="e">
        <f>Q27-Q12</f>
        <v>#REF!</v>
      </c>
    </row>
    <row r="31" spans="2:17">
      <c r="O31" s="78" t="e">
        <f>O30/O12</f>
        <v>#REF!</v>
      </c>
      <c r="P31" s="78" t="e">
        <f>P30/P12</f>
        <v>#REF!</v>
      </c>
      <c r="Q31" s="78" t="e">
        <f>Q30/Q12</f>
        <v>#REF!</v>
      </c>
    </row>
    <row r="39" spans="1:17" s="80" customFormat="1">
      <c r="A39" s="95" t="s">
        <v>92</v>
      </c>
    </row>
    <row r="41" spans="1:17">
      <c r="A41">
        <v>2019</v>
      </c>
      <c r="C41">
        <v>2020</v>
      </c>
      <c r="D41">
        <f>C41+1</f>
        <v>2021</v>
      </c>
      <c r="E41">
        <f t="shared" ref="E41:M41" si="11">D41+1</f>
        <v>2022</v>
      </c>
      <c r="F41">
        <f t="shared" si="11"/>
        <v>2023</v>
      </c>
      <c r="G41">
        <f t="shared" si="11"/>
        <v>2024</v>
      </c>
      <c r="H41">
        <f t="shared" si="11"/>
        <v>2025</v>
      </c>
      <c r="I41">
        <f t="shared" si="11"/>
        <v>2026</v>
      </c>
      <c r="J41">
        <f t="shared" si="11"/>
        <v>2027</v>
      </c>
      <c r="K41">
        <f t="shared" si="11"/>
        <v>2028</v>
      </c>
      <c r="L41">
        <f t="shared" si="11"/>
        <v>2029</v>
      </c>
      <c r="M41">
        <f t="shared" si="11"/>
        <v>2030</v>
      </c>
      <c r="O41" t="s">
        <v>74</v>
      </c>
      <c r="P41" t="s">
        <v>75</v>
      </c>
      <c r="Q41" t="s">
        <v>76</v>
      </c>
    </row>
    <row r="42" spans="1:17">
      <c r="A42" s="17">
        <v>2127052953.75</v>
      </c>
      <c r="B42" t="s">
        <v>77</v>
      </c>
      <c r="C42" s="17">
        <f>A42/1000*1.025</f>
        <v>2180229.2775937496</v>
      </c>
      <c r="D42" s="17">
        <f>C42*1.025</f>
        <v>2234735.009533593</v>
      </c>
      <c r="E42" s="17">
        <f t="shared" ref="E42:M42" si="12">D42*1.025</f>
        <v>2290603.3847719324</v>
      </c>
      <c r="F42" s="17">
        <f t="shared" si="12"/>
        <v>2347868.4693912305</v>
      </c>
      <c r="G42" s="17">
        <f t="shared" si="12"/>
        <v>2406565.1811260111</v>
      </c>
      <c r="H42" s="17">
        <f t="shared" si="12"/>
        <v>2466729.310654161</v>
      </c>
      <c r="I42" s="17">
        <f t="shared" si="12"/>
        <v>2528397.543420515</v>
      </c>
      <c r="J42" s="17">
        <f t="shared" si="12"/>
        <v>2591607.4820060278</v>
      </c>
      <c r="K42" s="17">
        <f t="shared" si="12"/>
        <v>2656397.6690561781</v>
      </c>
      <c r="L42" s="17">
        <f t="shared" si="12"/>
        <v>2722807.6107825823</v>
      </c>
      <c r="M42" s="17">
        <f t="shared" si="12"/>
        <v>2790877.8010521466</v>
      </c>
    </row>
    <row r="43" spans="1:17">
      <c r="A43" s="17"/>
      <c r="B43" t="s">
        <v>78</v>
      </c>
      <c r="C43" s="78">
        <v>8.3229256498498967E-4</v>
      </c>
      <c r="D43" s="78">
        <v>2.2116414275339838E-3</v>
      </c>
      <c r="E43" s="78">
        <v>3.628302799205005E-3</v>
      </c>
      <c r="F43" s="78">
        <v>5.0027650536231443E-3</v>
      </c>
      <c r="G43" s="78">
        <v>6.3433979592901662E-3</v>
      </c>
      <c r="H43" s="78">
        <v>7.7011821313547049E-3</v>
      </c>
      <c r="I43" s="78">
        <v>9.0295768743427762E-3</v>
      </c>
      <c r="J43" s="78">
        <v>1.0349497908191429E-2</v>
      </c>
      <c r="K43" s="78">
        <v>1.1636283914006925E-2</v>
      </c>
      <c r="L43" s="78">
        <v>1.2827272365579134E-2</v>
      </c>
      <c r="M43" s="78">
        <v>1.2892769118407721E-2</v>
      </c>
    </row>
    <row r="44" spans="1:17">
      <c r="A44" s="17"/>
      <c r="B44" t="s">
        <v>79</v>
      </c>
      <c r="C44" s="17">
        <f>C42*(1+C43)</f>
        <v>2182043.8662114535</v>
      </c>
      <c r="D44" s="17">
        <f t="shared" ref="D44:M44" si="13">D42*(1+D43)</f>
        <v>2239677.4420602378</v>
      </c>
      <c r="E44" s="17">
        <f t="shared" si="13"/>
        <v>2298914.387444769</v>
      </c>
      <c r="F44" s="17">
        <f t="shared" si="13"/>
        <v>2359614.3037204044</v>
      </c>
      <c r="G44" s="17">
        <f t="shared" si="13"/>
        <v>2421830.9817848648</v>
      </c>
      <c r="H44" s="17">
        <f t="shared" si="13"/>
        <v>2485726.0423442596</v>
      </c>
      <c r="I44" s="17">
        <f t="shared" si="13"/>
        <v>2551227.9034077297</v>
      </c>
      <c r="J44" s="17">
        <f t="shared" si="13"/>
        <v>2618429.3182199025</v>
      </c>
      <c r="K44" s="17">
        <f t="shared" si="13"/>
        <v>2687308.2665218222</v>
      </c>
      <c r="L44" s="17">
        <f t="shared" si="13"/>
        <v>2757733.8056051624</v>
      </c>
      <c r="M44" s="17">
        <f t="shared" si="13"/>
        <v>2826859.9441788015</v>
      </c>
    </row>
    <row r="45" spans="1:17">
      <c r="A45" s="17"/>
      <c r="C45" s="17"/>
      <c r="D45" s="17"/>
      <c r="E45" s="17"/>
      <c r="F45" s="17"/>
      <c r="G45" s="17"/>
      <c r="H45" s="17"/>
      <c r="I45" s="17"/>
      <c r="J45" s="17"/>
      <c r="K45" s="17"/>
      <c r="L45" s="17"/>
      <c r="M45" s="17"/>
    </row>
    <row r="46" spans="1:17">
      <c r="A46" s="17"/>
      <c r="C46" s="17"/>
      <c r="D46" s="17"/>
      <c r="E46" s="17"/>
      <c r="F46" s="17"/>
      <c r="G46" s="17"/>
      <c r="H46" s="17"/>
      <c r="I46" s="17"/>
      <c r="J46" s="17"/>
      <c r="K46" s="17"/>
      <c r="L46" s="17"/>
      <c r="M46" s="17"/>
    </row>
    <row r="47" spans="1:17">
      <c r="B47" t="s">
        <v>81</v>
      </c>
      <c r="C47" s="17"/>
      <c r="D47" s="17"/>
      <c r="E47" s="17">
        <f>D44*0.02</f>
        <v>44793.548841204756</v>
      </c>
      <c r="F47" s="17">
        <f>E47+((F44+E47)*0.02)</f>
        <v>92881.705892436934</v>
      </c>
      <c r="G47" s="17">
        <f t="shared" ref="G47:M47" si="14">F47+((G44+F47)*0.02)</f>
        <v>143175.95964598298</v>
      </c>
      <c r="H47" s="17">
        <f t="shared" si="14"/>
        <v>195753.99968578783</v>
      </c>
      <c r="I47" s="17">
        <f t="shared" si="14"/>
        <v>250693.63774765818</v>
      </c>
      <c r="J47" s="17">
        <f t="shared" si="14"/>
        <v>308076.09686700942</v>
      </c>
      <c r="K47" s="17">
        <f t="shared" si="14"/>
        <v>367983.78413478605</v>
      </c>
      <c r="L47" s="17">
        <f t="shared" si="14"/>
        <v>430498.13592958503</v>
      </c>
      <c r="M47" s="17">
        <f t="shared" si="14"/>
        <v>495645.29753175273</v>
      </c>
    </row>
    <row r="48" spans="1:17">
      <c r="B48" t="s">
        <v>82</v>
      </c>
      <c r="C48" s="17"/>
      <c r="D48" s="17"/>
      <c r="E48" s="83">
        <f>E47*1000</f>
        <v>44793548.841204755</v>
      </c>
      <c r="F48" s="83">
        <f t="shared" ref="F48:M48" si="15">F47*1000</f>
        <v>92881705.892436936</v>
      </c>
      <c r="G48" s="83">
        <f t="shared" si="15"/>
        <v>143175959.64598298</v>
      </c>
      <c r="H48" s="83">
        <f t="shared" si="15"/>
        <v>195753999.68578783</v>
      </c>
      <c r="I48" s="83">
        <f t="shared" si="15"/>
        <v>250693637.74765819</v>
      </c>
      <c r="J48" s="83">
        <f t="shared" si="15"/>
        <v>308076096.8670094</v>
      </c>
      <c r="K48" s="83">
        <f t="shared" si="15"/>
        <v>367983784.13478607</v>
      </c>
      <c r="L48" s="83">
        <f t="shared" si="15"/>
        <v>430498135.92958504</v>
      </c>
      <c r="M48" s="83">
        <f t="shared" si="15"/>
        <v>495645297.53175271</v>
      </c>
      <c r="O48" s="17">
        <f>SUM(E48:H48)</f>
        <v>476605214.06541252</v>
      </c>
      <c r="P48" s="17">
        <f>SUM(I48:L48)</f>
        <v>1357251654.6790388</v>
      </c>
      <c r="Q48" s="17">
        <f>SUM(E48:M48)</f>
        <v>2329502166.2762041</v>
      </c>
    </row>
    <row r="49" spans="2:17">
      <c r="O49" s="17"/>
      <c r="P49" s="17"/>
      <c r="Q49" s="17"/>
    </row>
    <row r="50" spans="2:17">
      <c r="B50" s="8" t="s">
        <v>92</v>
      </c>
      <c r="O50" s="17"/>
      <c r="P50" s="17"/>
      <c r="Q50" s="17"/>
    </row>
    <row r="51" spans="2:17">
      <c r="B51" t="s">
        <v>83</v>
      </c>
      <c r="E51" s="17" t="e">
        <f>#REF!</f>
        <v>#REF!</v>
      </c>
      <c r="F51" s="17" t="e">
        <f>#REF!</f>
        <v>#REF!</v>
      </c>
      <c r="G51" s="17" t="e">
        <f>#REF!</f>
        <v>#REF!</v>
      </c>
      <c r="H51" s="17" t="e">
        <f>#REF!</f>
        <v>#REF!</v>
      </c>
      <c r="I51" s="17" t="e">
        <f>#REF!</f>
        <v>#REF!</v>
      </c>
      <c r="J51" s="17" t="e">
        <f>#REF!</f>
        <v>#REF!</v>
      </c>
      <c r="K51" s="17" t="e">
        <f>#REF!</f>
        <v>#REF!</v>
      </c>
      <c r="L51" s="17" t="e">
        <f>#REF!</f>
        <v>#REF!</v>
      </c>
      <c r="M51" s="17" t="e">
        <f>#REF!</f>
        <v>#REF!</v>
      </c>
      <c r="O51" s="17"/>
      <c r="P51" s="17"/>
      <c r="Q51" s="17"/>
    </row>
    <row r="52" spans="2:17">
      <c r="B52" t="s">
        <v>84</v>
      </c>
      <c r="E52" s="17" t="e">
        <f>#REF!</f>
        <v>#REF!</v>
      </c>
      <c r="F52" s="17" t="e">
        <f>#REF!</f>
        <v>#REF!</v>
      </c>
      <c r="G52" s="17" t="e">
        <f>#REF!</f>
        <v>#REF!</v>
      </c>
      <c r="H52" s="17" t="e">
        <f>#REF!</f>
        <v>#REF!</v>
      </c>
      <c r="I52" s="17" t="e">
        <f>#REF!</f>
        <v>#REF!</v>
      </c>
      <c r="J52" s="17" t="e">
        <f>#REF!</f>
        <v>#REF!</v>
      </c>
      <c r="K52" s="17" t="e">
        <f>#REF!</f>
        <v>#REF!</v>
      </c>
      <c r="L52" s="17" t="e">
        <f>#REF!</f>
        <v>#REF!</v>
      </c>
      <c r="M52" s="17" t="e">
        <f>#REF!</f>
        <v>#REF!</v>
      </c>
      <c r="O52" s="17"/>
      <c r="P52" s="17"/>
      <c r="Q52" s="17"/>
    </row>
    <row r="53" spans="2:17">
      <c r="B53" t="s">
        <v>85</v>
      </c>
      <c r="E53" s="17" t="e">
        <f>#REF!</f>
        <v>#REF!</v>
      </c>
      <c r="F53" s="17" t="e">
        <f>#REF!</f>
        <v>#REF!</v>
      </c>
      <c r="G53" s="17" t="e">
        <f>#REF!</f>
        <v>#REF!</v>
      </c>
      <c r="H53" s="17" t="e">
        <f>#REF!</f>
        <v>#REF!</v>
      </c>
      <c r="I53" s="17" t="e">
        <f>#REF!</f>
        <v>#REF!</v>
      </c>
      <c r="J53" s="17" t="e">
        <f>#REF!</f>
        <v>#REF!</v>
      </c>
      <c r="K53" s="17" t="e">
        <f>#REF!</f>
        <v>#REF!</v>
      </c>
      <c r="L53" s="17" t="e">
        <f>#REF!</f>
        <v>#REF!</v>
      </c>
      <c r="M53" s="17" t="e">
        <f>#REF!</f>
        <v>#REF!</v>
      </c>
      <c r="O53" s="17"/>
      <c r="P53" s="17"/>
      <c r="Q53" s="17"/>
    </row>
    <row r="54" spans="2:17">
      <c r="B54" t="s">
        <v>86</v>
      </c>
      <c r="E54" s="17"/>
      <c r="F54" s="17"/>
      <c r="G54" s="17"/>
      <c r="H54" s="17"/>
      <c r="I54" s="17"/>
      <c r="J54" s="17"/>
      <c r="K54" s="17"/>
      <c r="L54" s="17"/>
      <c r="M54" s="17">
        <f>M19</f>
        <v>65674741.433110543</v>
      </c>
      <c r="O54" s="17"/>
      <c r="P54" s="17"/>
      <c r="Q54" s="17"/>
    </row>
    <row r="55" spans="2:17">
      <c r="O55" s="17"/>
      <c r="P55" s="17"/>
      <c r="Q55" s="17"/>
    </row>
    <row r="56" spans="2:17">
      <c r="B56" t="s">
        <v>87</v>
      </c>
      <c r="E56" s="17" t="e">
        <f>#REF!*1000</f>
        <v>#REF!</v>
      </c>
      <c r="F56" s="17" t="e">
        <f>#REF!*1000</f>
        <v>#REF!</v>
      </c>
      <c r="G56" s="17" t="e">
        <f>#REF!*1000</f>
        <v>#REF!</v>
      </c>
      <c r="H56" s="17" t="e">
        <f>#REF!*1000</f>
        <v>#REF!</v>
      </c>
      <c r="I56" s="84" t="e">
        <f>H56</f>
        <v>#REF!</v>
      </c>
      <c r="J56" s="84" t="e">
        <f t="shared" ref="J56:M56" si="16">I56</f>
        <v>#REF!</v>
      </c>
      <c r="K56" s="84" t="e">
        <f t="shared" si="16"/>
        <v>#REF!</v>
      </c>
      <c r="L56" s="84" t="e">
        <f t="shared" si="16"/>
        <v>#REF!</v>
      </c>
      <c r="M56" s="84" t="e">
        <f t="shared" si="16"/>
        <v>#REF!</v>
      </c>
      <c r="O56" s="17"/>
      <c r="P56" s="17"/>
      <c r="Q56" s="17"/>
    </row>
    <row r="57" spans="2:17">
      <c r="B57" t="s">
        <v>88</v>
      </c>
      <c r="O57" s="17"/>
      <c r="P57" s="17"/>
      <c r="Q57" s="17"/>
    </row>
    <row r="58" spans="2:17">
      <c r="B58" t="s">
        <v>89</v>
      </c>
      <c r="E58" s="17">
        <f>'Supporting - Education'!B11</f>
        <v>6392432.5</v>
      </c>
      <c r="F58" s="17">
        <f>'Supporting - Education'!C11</f>
        <v>9541537.5</v>
      </c>
      <c r="G58" s="17">
        <f>'Supporting - Education'!D11</f>
        <v>9779112.5</v>
      </c>
      <c r="H58" s="17">
        <f>'Supporting - Education'!E11</f>
        <v>10195182.5</v>
      </c>
      <c r="I58" s="85">
        <f>H58</f>
        <v>10195182.5</v>
      </c>
      <c r="J58" s="85">
        <f>I58</f>
        <v>10195182.5</v>
      </c>
      <c r="K58" s="85">
        <f>J58</f>
        <v>10195182.5</v>
      </c>
      <c r="L58" s="85">
        <f>K58</f>
        <v>10195182.5</v>
      </c>
      <c r="M58" s="85">
        <f>L58</f>
        <v>10195182.5</v>
      </c>
      <c r="O58" s="17"/>
      <c r="P58" s="17"/>
      <c r="Q58" s="17"/>
    </row>
    <row r="59" spans="2:17">
      <c r="B59" t="s">
        <v>90</v>
      </c>
      <c r="E59" s="17">
        <f>'Supporting Administration'!H21</f>
        <v>1761850</v>
      </c>
      <c r="F59" s="17">
        <f>'Supporting Administration'!I21</f>
        <v>1798396.25</v>
      </c>
      <c r="G59" s="17">
        <f>'Supporting Administration'!J21</f>
        <v>1835856.15625</v>
      </c>
      <c r="H59" s="17">
        <f>'Supporting Administration'!K21</f>
        <v>1874252.5601562497</v>
      </c>
      <c r="I59" s="85">
        <f>H59</f>
        <v>1874252.5601562497</v>
      </c>
      <c r="J59" s="85">
        <f t="shared" ref="J59:M59" si="17">I59</f>
        <v>1874252.5601562497</v>
      </c>
      <c r="K59" s="85">
        <f t="shared" si="17"/>
        <v>1874252.5601562497</v>
      </c>
      <c r="L59" s="85">
        <f t="shared" si="17"/>
        <v>1874252.5601562497</v>
      </c>
      <c r="M59" s="85">
        <f t="shared" si="17"/>
        <v>1874252.5601562497</v>
      </c>
      <c r="O59" s="17"/>
      <c r="P59" s="17"/>
      <c r="Q59" s="17"/>
    </row>
    <row r="60" spans="2:17">
      <c r="O60" s="17"/>
      <c r="P60" s="17"/>
      <c r="Q60" s="17"/>
    </row>
    <row r="61" spans="2:17">
      <c r="B61" t="s">
        <v>91</v>
      </c>
      <c r="E61" s="48" t="e">
        <f>SUM(E51:E59)</f>
        <v>#REF!</v>
      </c>
      <c r="F61" s="48" t="e">
        <f t="shared" ref="F61:M61" si="18">SUM(F51:F59)</f>
        <v>#REF!</v>
      </c>
      <c r="G61" s="48" t="e">
        <f t="shared" si="18"/>
        <v>#REF!</v>
      </c>
      <c r="H61" s="48" t="e">
        <f t="shared" si="18"/>
        <v>#REF!</v>
      </c>
      <c r="I61" s="48" t="e">
        <f t="shared" si="18"/>
        <v>#REF!</v>
      </c>
      <c r="J61" s="48" t="e">
        <f t="shared" si="18"/>
        <v>#REF!</v>
      </c>
      <c r="K61" s="48" t="e">
        <f t="shared" si="18"/>
        <v>#REF!</v>
      </c>
      <c r="L61" s="48" t="e">
        <f t="shared" si="18"/>
        <v>#REF!</v>
      </c>
      <c r="M61" s="48" t="e">
        <f t="shared" si="18"/>
        <v>#REF!</v>
      </c>
      <c r="O61" s="17" t="e">
        <f>SUM(E61:H61)</f>
        <v>#REF!</v>
      </c>
      <c r="P61" s="17" t="e">
        <f>SUM(I61:L61)</f>
        <v>#REF!</v>
      </c>
      <c r="Q61" s="17" t="e">
        <f>SUM(E61:M61)</f>
        <v>#REF!</v>
      </c>
    </row>
    <row r="62" spans="2:17" ht="20.25" customHeight="1">
      <c r="D62" s="97" t="s">
        <v>80</v>
      </c>
      <c r="E62" s="81" t="e">
        <f>E61/1000</f>
        <v>#REF!</v>
      </c>
      <c r="F62" s="81" t="e">
        <f t="shared" ref="F62:M62" si="19">F61/1000</f>
        <v>#REF!</v>
      </c>
      <c r="G62" s="81" t="e">
        <f t="shared" si="19"/>
        <v>#REF!</v>
      </c>
      <c r="H62" s="81" t="e">
        <f t="shared" si="19"/>
        <v>#REF!</v>
      </c>
      <c r="I62" s="81" t="e">
        <f t="shared" si="19"/>
        <v>#REF!</v>
      </c>
      <c r="J62" s="81" t="e">
        <f t="shared" si="19"/>
        <v>#REF!</v>
      </c>
      <c r="K62" s="81" t="e">
        <f t="shared" si="19"/>
        <v>#REF!</v>
      </c>
      <c r="L62" s="81" t="e">
        <f t="shared" si="19"/>
        <v>#REF!</v>
      </c>
      <c r="M62" s="81" t="e">
        <f t="shared" si="19"/>
        <v>#REF!</v>
      </c>
    </row>
    <row r="63" spans="2:17" ht="20.25" customHeight="1">
      <c r="D63" t="s">
        <v>93</v>
      </c>
      <c r="E63" s="98" t="e">
        <f t="shared" ref="E63:M63" si="20">E62-E47</f>
        <v>#REF!</v>
      </c>
      <c r="F63" s="98" t="e">
        <f t="shared" si="20"/>
        <v>#REF!</v>
      </c>
      <c r="G63" s="98" t="e">
        <f t="shared" si="20"/>
        <v>#REF!</v>
      </c>
      <c r="H63" s="98" t="e">
        <f t="shared" si="20"/>
        <v>#REF!</v>
      </c>
      <c r="I63" s="98" t="e">
        <f t="shared" si="20"/>
        <v>#REF!</v>
      </c>
      <c r="J63" s="98" t="e">
        <f t="shared" si="20"/>
        <v>#REF!</v>
      </c>
      <c r="K63" s="98" t="e">
        <f t="shared" si="20"/>
        <v>#REF!</v>
      </c>
      <c r="L63" s="98" t="e">
        <f t="shared" si="20"/>
        <v>#REF!</v>
      </c>
      <c r="M63" s="98" t="e">
        <f t="shared" si="20"/>
        <v>#REF!</v>
      </c>
      <c r="O63" s="48" t="e">
        <f>O61-O48</f>
        <v>#REF!</v>
      </c>
      <c r="P63" s="48" t="e">
        <f>P61-P48</f>
        <v>#REF!</v>
      </c>
      <c r="Q63" s="48" t="e">
        <f>Q61-Q48</f>
        <v>#REF!</v>
      </c>
    </row>
    <row r="64" spans="2:17">
      <c r="F64" s="48"/>
      <c r="O64" s="78" t="e">
        <f>O63/O48</f>
        <v>#REF!</v>
      </c>
      <c r="P64" s="78" t="e">
        <f>P63/P48</f>
        <v>#REF!</v>
      </c>
      <c r="Q64" s="78" t="e">
        <f>Q63/Q48</f>
        <v>#REF!</v>
      </c>
    </row>
    <row r="65" spans="1:17">
      <c r="F65" s="79"/>
      <c r="O65" s="78"/>
      <c r="P65" s="78"/>
      <c r="Q65" s="78"/>
    </row>
    <row r="66" spans="1:17">
      <c r="O66" s="78"/>
      <c r="P66" s="78"/>
      <c r="Q66" s="78"/>
    </row>
    <row r="68" spans="1:17" s="80" customFormat="1">
      <c r="A68" s="95" t="s">
        <v>94</v>
      </c>
    </row>
    <row r="70" spans="1:17">
      <c r="A70">
        <v>2019</v>
      </c>
      <c r="C70">
        <v>2020</v>
      </c>
      <c r="D70">
        <f>C70+1</f>
        <v>2021</v>
      </c>
      <c r="E70">
        <f t="shared" ref="E70:M70" si="21">D70+1</f>
        <v>2022</v>
      </c>
      <c r="F70">
        <f t="shared" si="21"/>
        <v>2023</v>
      </c>
      <c r="G70">
        <f t="shared" si="21"/>
        <v>2024</v>
      </c>
      <c r="H70">
        <f t="shared" si="21"/>
        <v>2025</v>
      </c>
      <c r="I70">
        <f t="shared" si="21"/>
        <v>2026</v>
      </c>
      <c r="J70">
        <f t="shared" si="21"/>
        <v>2027</v>
      </c>
      <c r="K70">
        <f t="shared" si="21"/>
        <v>2028</v>
      </c>
      <c r="L70">
        <f t="shared" si="21"/>
        <v>2029</v>
      </c>
      <c r="M70">
        <f t="shared" si="21"/>
        <v>2030</v>
      </c>
      <c r="O70" t="s">
        <v>74</v>
      </c>
      <c r="P70" t="s">
        <v>75</v>
      </c>
      <c r="Q70" t="s">
        <v>76</v>
      </c>
    </row>
    <row r="71" spans="1:17">
      <c r="A71" s="17">
        <v>2127052953.75</v>
      </c>
      <c r="B71" t="s">
        <v>77</v>
      </c>
      <c r="C71" s="17">
        <f>A71/1000*1.025</f>
        <v>2180229.2775937496</v>
      </c>
      <c r="D71" s="17">
        <f>C71*1.025</f>
        <v>2234735.009533593</v>
      </c>
      <c r="E71" s="17">
        <f t="shared" ref="E71:M71" si="22">D71*1.025</f>
        <v>2290603.3847719324</v>
      </c>
      <c r="F71" s="17">
        <f t="shared" si="22"/>
        <v>2347868.4693912305</v>
      </c>
      <c r="G71" s="17">
        <f t="shared" si="22"/>
        <v>2406565.1811260111</v>
      </c>
      <c r="H71" s="17">
        <f t="shared" si="22"/>
        <v>2466729.310654161</v>
      </c>
      <c r="I71" s="17">
        <f t="shared" si="22"/>
        <v>2528397.543420515</v>
      </c>
      <c r="J71" s="17">
        <f t="shared" si="22"/>
        <v>2591607.4820060278</v>
      </c>
      <c r="K71" s="17">
        <f t="shared" si="22"/>
        <v>2656397.6690561781</v>
      </c>
      <c r="L71" s="17">
        <f t="shared" si="22"/>
        <v>2722807.6107825823</v>
      </c>
      <c r="M71" s="17">
        <f t="shared" si="22"/>
        <v>2790877.8010521466</v>
      </c>
    </row>
    <row r="72" spans="1:17">
      <c r="A72" s="17"/>
      <c r="B72" t="s">
        <v>78</v>
      </c>
      <c r="C72" s="78">
        <v>8.3229256498498967E-4</v>
      </c>
      <c r="D72" s="78">
        <v>2.2116414275339838E-3</v>
      </c>
      <c r="E72" s="78">
        <v>3.628302799205005E-3</v>
      </c>
      <c r="F72" s="78">
        <v>5.0027650536231443E-3</v>
      </c>
      <c r="G72" s="78">
        <v>6.3433979592901662E-3</v>
      </c>
      <c r="H72" s="78">
        <v>7.7011821313547049E-3</v>
      </c>
      <c r="I72" s="78">
        <v>9.0295768743427762E-3</v>
      </c>
      <c r="J72" s="78">
        <v>1.0349497908191429E-2</v>
      </c>
      <c r="K72" s="78">
        <v>1.1636283914006925E-2</v>
      </c>
      <c r="L72" s="78">
        <v>1.2827272365579134E-2</v>
      </c>
      <c r="M72" s="78">
        <v>1.2892769118407721E-2</v>
      </c>
    </row>
    <row r="73" spans="1:17">
      <c r="A73" s="17"/>
      <c r="B73" t="s">
        <v>79</v>
      </c>
      <c r="C73" s="17">
        <f>C71*(1+C72)</f>
        <v>2182043.8662114535</v>
      </c>
      <c r="D73" s="17">
        <f t="shared" ref="D73:M73" si="23">D71*(1+D72)</f>
        <v>2239677.4420602378</v>
      </c>
      <c r="E73" s="17">
        <f t="shared" si="23"/>
        <v>2298914.387444769</v>
      </c>
      <c r="F73" s="17">
        <f t="shared" si="23"/>
        <v>2359614.3037204044</v>
      </c>
      <c r="G73" s="17">
        <f t="shared" si="23"/>
        <v>2421830.9817848648</v>
      </c>
      <c r="H73" s="17">
        <f t="shared" si="23"/>
        <v>2485726.0423442596</v>
      </c>
      <c r="I73" s="17">
        <f t="shared" si="23"/>
        <v>2551227.9034077297</v>
      </c>
      <c r="J73" s="17">
        <f t="shared" si="23"/>
        <v>2618429.3182199025</v>
      </c>
      <c r="K73" s="17">
        <f t="shared" si="23"/>
        <v>2687308.2665218222</v>
      </c>
      <c r="L73" s="17">
        <f t="shared" si="23"/>
        <v>2757733.8056051624</v>
      </c>
      <c r="M73" s="17">
        <f t="shared" si="23"/>
        <v>2826859.9441788015</v>
      </c>
    </row>
    <row r="74" spans="1:17">
      <c r="A74" s="17"/>
      <c r="C74" s="17"/>
      <c r="D74" s="17"/>
      <c r="E74" s="17"/>
      <c r="F74" s="17"/>
      <c r="G74" s="17"/>
      <c r="H74" s="17"/>
      <c r="I74" s="17"/>
      <c r="J74" s="17"/>
      <c r="K74" s="17"/>
      <c r="L74" s="17"/>
      <c r="M74" s="17"/>
    </row>
    <row r="75" spans="1:17">
      <c r="A75" s="17"/>
      <c r="C75" s="17"/>
      <c r="D75" s="17"/>
      <c r="E75" s="17"/>
      <c r="F75" s="17"/>
      <c r="G75" s="17"/>
      <c r="H75" s="17"/>
      <c r="I75" s="17"/>
      <c r="J75" s="17"/>
      <c r="K75" s="17"/>
      <c r="L75" s="17"/>
      <c r="M75" s="17"/>
    </row>
    <row r="76" spans="1:17">
      <c r="B76" t="s">
        <v>81</v>
      </c>
      <c r="C76" s="17"/>
      <c r="D76" s="17"/>
      <c r="E76" s="17">
        <f>D73*0.02</f>
        <v>44793.548841204756</v>
      </c>
      <c r="F76" s="17">
        <f>E76+((F73+E76)*0.02)</f>
        <v>92881.705892436934</v>
      </c>
      <c r="G76" s="17">
        <f t="shared" ref="G76:M76" si="24">F76+((G73+F76)*0.02)</f>
        <v>143175.95964598298</v>
      </c>
      <c r="H76" s="17">
        <f t="shared" si="24"/>
        <v>195753.99968578783</v>
      </c>
      <c r="I76" s="17">
        <f t="shared" si="24"/>
        <v>250693.63774765818</v>
      </c>
      <c r="J76" s="17">
        <f t="shared" si="24"/>
        <v>308076.09686700942</v>
      </c>
      <c r="K76" s="17">
        <f t="shared" si="24"/>
        <v>367983.78413478605</v>
      </c>
      <c r="L76" s="17">
        <f t="shared" si="24"/>
        <v>430498.13592958503</v>
      </c>
      <c r="M76" s="17">
        <f t="shared" si="24"/>
        <v>495645.29753175273</v>
      </c>
    </row>
    <row r="77" spans="1:17">
      <c r="B77" t="s">
        <v>82</v>
      </c>
      <c r="C77" s="17"/>
      <c r="D77" s="17"/>
      <c r="E77" s="83">
        <f>E76*1000</f>
        <v>44793548.841204755</v>
      </c>
      <c r="F77" s="83">
        <f t="shared" ref="F77:M77" si="25">F76*1000</f>
        <v>92881705.892436936</v>
      </c>
      <c r="G77" s="83">
        <f t="shared" si="25"/>
        <v>143175959.64598298</v>
      </c>
      <c r="H77" s="83">
        <f t="shared" si="25"/>
        <v>195753999.68578783</v>
      </c>
      <c r="I77" s="83">
        <f t="shared" si="25"/>
        <v>250693637.74765819</v>
      </c>
      <c r="J77" s="83">
        <f t="shared" si="25"/>
        <v>308076096.8670094</v>
      </c>
      <c r="K77" s="83">
        <f t="shared" si="25"/>
        <v>367983784.13478607</v>
      </c>
      <c r="L77" s="83">
        <f t="shared" si="25"/>
        <v>430498135.92958504</v>
      </c>
      <c r="M77" s="83">
        <f t="shared" si="25"/>
        <v>495645297.53175271</v>
      </c>
      <c r="O77" s="17">
        <f>SUM(E77:H77)</f>
        <v>476605214.06541252</v>
      </c>
      <c r="P77" s="17">
        <f>SUM(I77:L77)</f>
        <v>1357251654.6790388</v>
      </c>
      <c r="Q77" s="17">
        <f>SUM(E77:M77)</f>
        <v>2329502166.2762041</v>
      </c>
    </row>
    <row r="79" spans="1:17">
      <c r="B79" s="8" t="s">
        <v>94</v>
      </c>
      <c r="O79" s="17"/>
      <c r="P79" s="17"/>
      <c r="Q79" s="17"/>
    </row>
    <row r="80" spans="1:17">
      <c r="B80" t="s">
        <v>83</v>
      </c>
      <c r="E80" s="17" t="e">
        <f>#REF!</f>
        <v>#REF!</v>
      </c>
      <c r="F80" s="17" t="e">
        <f>#REF!</f>
        <v>#REF!</v>
      </c>
      <c r="G80" s="17" t="e">
        <f>#REF!</f>
        <v>#REF!</v>
      </c>
      <c r="H80" s="17" t="e">
        <f>#REF!</f>
        <v>#REF!</v>
      </c>
      <c r="I80" s="17" t="e">
        <f>#REF!</f>
        <v>#REF!</v>
      </c>
      <c r="J80" s="17" t="e">
        <f>#REF!</f>
        <v>#REF!</v>
      </c>
      <c r="K80" s="17" t="e">
        <f>#REF!</f>
        <v>#REF!</v>
      </c>
      <c r="L80" s="17" t="e">
        <f>#REF!</f>
        <v>#REF!</v>
      </c>
      <c r="M80" s="17" t="e">
        <f>#REF!</f>
        <v>#REF!</v>
      </c>
      <c r="O80" s="17"/>
      <c r="P80" s="17"/>
      <c r="Q80" s="17"/>
    </row>
    <row r="81" spans="2:17">
      <c r="B81" t="s">
        <v>84</v>
      </c>
      <c r="E81" s="17" t="e">
        <f>#REF!</f>
        <v>#REF!</v>
      </c>
      <c r="F81" s="17" t="e">
        <f>#REF!</f>
        <v>#REF!</v>
      </c>
      <c r="G81" s="17" t="e">
        <f>#REF!</f>
        <v>#REF!</v>
      </c>
      <c r="H81" s="17" t="e">
        <f>#REF!</f>
        <v>#REF!</v>
      </c>
      <c r="I81" s="17" t="e">
        <f>#REF!</f>
        <v>#REF!</v>
      </c>
      <c r="J81" s="17" t="e">
        <f>#REF!</f>
        <v>#REF!</v>
      </c>
      <c r="K81" s="17" t="e">
        <f>#REF!</f>
        <v>#REF!</v>
      </c>
      <c r="L81" s="17" t="e">
        <f>#REF!</f>
        <v>#REF!</v>
      </c>
      <c r="M81" s="17" t="e">
        <f>#REF!</f>
        <v>#REF!</v>
      </c>
      <c r="O81" s="17"/>
      <c r="P81" s="17"/>
      <c r="Q81" s="17"/>
    </row>
    <row r="82" spans="2:17">
      <c r="B82" t="s">
        <v>85</v>
      </c>
      <c r="E82" s="17" t="e">
        <f>#REF!</f>
        <v>#REF!</v>
      </c>
      <c r="F82" s="17" t="e">
        <f>#REF!</f>
        <v>#REF!</v>
      </c>
      <c r="G82" s="17" t="e">
        <f>#REF!</f>
        <v>#REF!</v>
      </c>
      <c r="H82" s="17" t="e">
        <f>#REF!</f>
        <v>#REF!</v>
      </c>
      <c r="I82" s="17" t="e">
        <f>#REF!</f>
        <v>#REF!</v>
      </c>
      <c r="J82" s="17" t="e">
        <f>#REF!</f>
        <v>#REF!</v>
      </c>
      <c r="K82" s="17" t="e">
        <f>#REF!</f>
        <v>#REF!</v>
      </c>
      <c r="L82" s="17" t="e">
        <f>#REF!</f>
        <v>#REF!</v>
      </c>
      <c r="M82" s="17" t="e">
        <f>#REF!</f>
        <v>#REF!</v>
      </c>
      <c r="O82" s="17"/>
      <c r="P82" s="17"/>
      <c r="Q82" s="17"/>
    </row>
    <row r="83" spans="2:17">
      <c r="B83" t="s">
        <v>86</v>
      </c>
      <c r="E83" s="17"/>
      <c r="F83" s="17"/>
      <c r="G83" s="17"/>
      <c r="H83" s="17"/>
      <c r="I83" s="17"/>
      <c r="J83" s="17"/>
      <c r="K83" s="17"/>
      <c r="L83" s="17"/>
      <c r="M83" s="17">
        <f>M19</f>
        <v>65674741.433110543</v>
      </c>
      <c r="O83" s="17"/>
      <c r="P83" s="17"/>
      <c r="Q83" s="17"/>
    </row>
    <row r="84" spans="2:17">
      <c r="O84" s="17"/>
      <c r="P84" s="17"/>
      <c r="Q84" s="17"/>
    </row>
    <row r="85" spans="2:17">
      <c r="B85" t="s">
        <v>87</v>
      </c>
      <c r="E85" s="17" t="e">
        <f>#REF!</f>
        <v>#REF!</v>
      </c>
      <c r="F85" s="17" t="e">
        <f>#REF!</f>
        <v>#REF!</v>
      </c>
      <c r="G85" s="17" t="e">
        <f>#REF!</f>
        <v>#REF!</v>
      </c>
      <c r="H85" s="17" t="e">
        <f>#REF!</f>
        <v>#REF!</v>
      </c>
      <c r="I85" s="84" t="e">
        <f>H85</f>
        <v>#REF!</v>
      </c>
      <c r="J85" s="84" t="e">
        <f t="shared" ref="J85:M85" si="26">I85</f>
        <v>#REF!</v>
      </c>
      <c r="K85" s="84" t="e">
        <f t="shared" si="26"/>
        <v>#REF!</v>
      </c>
      <c r="L85" s="84" t="e">
        <f t="shared" si="26"/>
        <v>#REF!</v>
      </c>
      <c r="M85" s="84" t="e">
        <f t="shared" si="26"/>
        <v>#REF!</v>
      </c>
      <c r="O85" s="17"/>
      <c r="P85" s="17"/>
      <c r="Q85" s="17"/>
    </row>
    <row r="86" spans="2:17">
      <c r="B86" t="s">
        <v>88</v>
      </c>
      <c r="O86" s="17"/>
      <c r="P86" s="17"/>
      <c r="Q86" s="17"/>
    </row>
    <row r="87" spans="2:17">
      <c r="B87" t="s">
        <v>89</v>
      </c>
      <c r="E87" s="17">
        <f>'Supporting - Education'!B11</f>
        <v>6392432.5</v>
      </c>
      <c r="F87" s="17">
        <f>'Supporting - Education'!C11</f>
        <v>9541537.5</v>
      </c>
      <c r="G87" s="17">
        <f>'Supporting - Education'!D11</f>
        <v>9779112.5</v>
      </c>
      <c r="H87" s="17">
        <f>'Supporting - Education'!E11</f>
        <v>10195182.5</v>
      </c>
      <c r="I87" s="85">
        <f>H87</f>
        <v>10195182.5</v>
      </c>
      <c r="J87" s="85">
        <f>I87</f>
        <v>10195182.5</v>
      </c>
      <c r="K87" s="85">
        <f>J87</f>
        <v>10195182.5</v>
      </c>
      <c r="L87" s="85">
        <f>K87</f>
        <v>10195182.5</v>
      </c>
      <c r="M87" s="85">
        <f>L87</f>
        <v>10195182.5</v>
      </c>
      <c r="O87" s="17"/>
      <c r="P87" s="17"/>
      <c r="Q87" s="17"/>
    </row>
    <row r="88" spans="2:17">
      <c r="B88" t="s">
        <v>90</v>
      </c>
      <c r="E88" s="17">
        <f>'Supporting Administration'!H21</f>
        <v>1761850</v>
      </c>
      <c r="F88" s="17">
        <f>'Supporting Administration'!I21</f>
        <v>1798396.25</v>
      </c>
      <c r="G88" s="17">
        <f>'Supporting Administration'!J21</f>
        <v>1835856.15625</v>
      </c>
      <c r="H88" s="17">
        <f>'Supporting Administration'!K21</f>
        <v>1874252.5601562497</v>
      </c>
      <c r="I88" s="85">
        <f>H88</f>
        <v>1874252.5601562497</v>
      </c>
      <c r="J88" s="85">
        <f t="shared" ref="J88:M88" si="27">I88</f>
        <v>1874252.5601562497</v>
      </c>
      <c r="K88" s="85">
        <f t="shared" si="27"/>
        <v>1874252.5601562497</v>
      </c>
      <c r="L88" s="85">
        <f t="shared" si="27"/>
        <v>1874252.5601562497</v>
      </c>
      <c r="M88" s="85">
        <f t="shared" si="27"/>
        <v>1874252.5601562497</v>
      </c>
      <c r="O88" s="17"/>
      <c r="P88" s="17"/>
      <c r="Q88" s="17"/>
    </row>
    <row r="89" spans="2:17">
      <c r="O89" s="17"/>
      <c r="P89" s="17"/>
      <c r="Q89" s="17"/>
    </row>
    <row r="90" spans="2:17">
      <c r="B90" t="s">
        <v>91</v>
      </c>
      <c r="E90" s="48" t="e">
        <f>SUM(E80:E88)</f>
        <v>#REF!</v>
      </c>
      <c r="F90" s="48" t="e">
        <f t="shared" ref="F90:L90" si="28">SUM(F80:F88)</f>
        <v>#REF!</v>
      </c>
      <c r="G90" s="48" t="e">
        <f t="shared" si="28"/>
        <v>#REF!</v>
      </c>
      <c r="H90" s="48" t="e">
        <f t="shared" si="28"/>
        <v>#REF!</v>
      </c>
      <c r="I90" s="48" t="e">
        <f t="shared" si="28"/>
        <v>#REF!</v>
      </c>
      <c r="J90" s="48" t="e">
        <f t="shared" si="28"/>
        <v>#REF!</v>
      </c>
      <c r="K90" s="48" t="e">
        <f t="shared" si="28"/>
        <v>#REF!</v>
      </c>
      <c r="L90" s="48" t="e">
        <f t="shared" si="28"/>
        <v>#REF!</v>
      </c>
      <c r="M90" s="48" t="e">
        <f>SUM(M80:M88)</f>
        <v>#REF!</v>
      </c>
      <c r="O90" s="17" t="e">
        <f>SUM(E90:H90)</f>
        <v>#REF!</v>
      </c>
      <c r="P90" s="17" t="e">
        <f>SUM(I90:L90)</f>
        <v>#REF!</v>
      </c>
      <c r="Q90" s="17" t="e">
        <f>SUM(E90:M90)</f>
        <v>#REF!</v>
      </c>
    </row>
    <row r="91" spans="2:17">
      <c r="D91" s="97" t="s">
        <v>80</v>
      </c>
      <c r="E91" s="81" t="e">
        <f>E90/1000</f>
        <v>#REF!</v>
      </c>
      <c r="F91" s="81" t="e">
        <f t="shared" ref="F91:M91" si="29">F90/1000</f>
        <v>#REF!</v>
      </c>
      <c r="G91" s="81" t="e">
        <f t="shared" si="29"/>
        <v>#REF!</v>
      </c>
      <c r="H91" s="81" t="e">
        <f t="shared" si="29"/>
        <v>#REF!</v>
      </c>
      <c r="I91" s="81" t="e">
        <f t="shared" si="29"/>
        <v>#REF!</v>
      </c>
      <c r="J91" s="81" t="e">
        <f t="shared" si="29"/>
        <v>#REF!</v>
      </c>
      <c r="K91" s="81" t="e">
        <f t="shared" si="29"/>
        <v>#REF!</v>
      </c>
      <c r="L91" s="81" t="e">
        <f t="shared" si="29"/>
        <v>#REF!</v>
      </c>
      <c r="M91" s="81" t="e">
        <f t="shared" si="29"/>
        <v>#REF!</v>
      </c>
    </row>
    <row r="92" spans="2:17">
      <c r="O92" s="48" t="e">
        <f>O90-O77</f>
        <v>#REF!</v>
      </c>
      <c r="P92" s="48" t="e">
        <f>P90-P77</f>
        <v>#REF!</v>
      </c>
      <c r="Q92" s="48" t="e">
        <f>Q90-Q77</f>
        <v>#REF!</v>
      </c>
    </row>
    <row r="93" spans="2:17">
      <c r="O93" s="78" t="e">
        <f>O92/O77</f>
        <v>#REF!</v>
      </c>
      <c r="P93" s="78" t="e">
        <f>P92/P77</f>
        <v>#REF!</v>
      </c>
      <c r="Q93" s="78" t="e">
        <f>Q92/Q77</f>
        <v>#REF!</v>
      </c>
    </row>
    <row r="96" spans="2:17">
      <c r="N96" s="96">
        <v>0</v>
      </c>
    </row>
    <row r="97" spans="14:17" ht="29.45" thickBot="1">
      <c r="O97" s="87" t="s">
        <v>95</v>
      </c>
      <c r="P97" s="87" t="s">
        <v>96</v>
      </c>
      <c r="Q97" s="87" t="s">
        <v>97</v>
      </c>
    </row>
    <row r="98" spans="14:17" ht="15" thickBot="1">
      <c r="N98" s="88" t="s">
        <v>98</v>
      </c>
      <c r="O98" s="89">
        <f>O48/1000</f>
        <v>476605.21406541253</v>
      </c>
      <c r="P98" s="89">
        <f>P48/1000</f>
        <v>1357251.6546790388</v>
      </c>
      <c r="Q98" s="89">
        <f>Q48/1000</f>
        <v>2329502.1662762039</v>
      </c>
    </row>
    <row r="99" spans="14:17" ht="3" customHeight="1" thickBot="1">
      <c r="O99" s="48"/>
      <c r="P99" s="48"/>
      <c r="Q99" s="48"/>
    </row>
    <row r="100" spans="14:17">
      <c r="N100" s="90" t="s">
        <v>99</v>
      </c>
      <c r="O100" s="91" t="e">
        <f>O61/1000</f>
        <v>#REF!</v>
      </c>
      <c r="P100" s="91" t="e">
        <f>P61/1000</f>
        <v>#REF!</v>
      </c>
      <c r="Q100" s="91" t="e">
        <f>Q61/1000</f>
        <v>#REF!</v>
      </c>
    </row>
    <row r="101" spans="14:17" ht="15" thickBot="1">
      <c r="N101" s="92" t="s">
        <v>100</v>
      </c>
      <c r="O101" s="93" t="e">
        <f>O64</f>
        <v>#REF!</v>
      </c>
      <c r="P101" s="93" t="e">
        <f>P64</f>
        <v>#REF!</v>
      </c>
      <c r="Q101" s="93" t="e">
        <f>Q64</f>
        <v>#REF!</v>
      </c>
    </row>
    <row r="102" spans="14:17" ht="3.75" customHeight="1" thickBot="1">
      <c r="N102" s="86"/>
      <c r="O102" s="78"/>
      <c r="P102" s="78"/>
      <c r="Q102" s="78"/>
    </row>
    <row r="103" spans="14:17">
      <c r="N103" s="90" t="s">
        <v>101</v>
      </c>
      <c r="O103" s="91" t="e">
        <f>O90/1000</f>
        <v>#REF!</v>
      </c>
      <c r="P103" s="91" t="e">
        <f>P90/1000</f>
        <v>#REF!</v>
      </c>
      <c r="Q103" s="91" t="e">
        <f>Q90/1000</f>
        <v>#REF!</v>
      </c>
    </row>
    <row r="104" spans="14:17" ht="15" thickBot="1">
      <c r="N104" s="92" t="s">
        <v>100</v>
      </c>
      <c r="O104" s="94" t="e">
        <f>O93</f>
        <v>#REF!</v>
      </c>
      <c r="P104" s="94" t="e">
        <f>P93</f>
        <v>#REF!</v>
      </c>
      <c r="Q104" s="94" t="e">
        <f>Q93</f>
        <v>#REF!</v>
      </c>
    </row>
    <row r="105" spans="14:17" ht="5.25" customHeight="1" thickBot="1"/>
    <row r="106" spans="14:17">
      <c r="N106" s="90" t="s">
        <v>102</v>
      </c>
      <c r="O106" s="91" t="e">
        <f>O27</f>
        <v>#REF!</v>
      </c>
      <c r="P106" s="91" t="e">
        <f>P27</f>
        <v>#REF!</v>
      </c>
      <c r="Q106" s="91" t="e">
        <f>Q27</f>
        <v>#REF!</v>
      </c>
    </row>
    <row r="107" spans="14:17" ht="15" thickBot="1">
      <c r="N107" s="92" t="s">
        <v>100</v>
      </c>
      <c r="O107" s="94" t="e">
        <f>O31</f>
        <v>#REF!</v>
      </c>
      <c r="P107" s="94" t="e">
        <f>P31</f>
        <v>#REF!</v>
      </c>
      <c r="Q107" s="94" t="e">
        <f>Q31</f>
        <v>#REF!</v>
      </c>
    </row>
  </sheetData>
  <pageMargins left="0.7" right="0.7" top="0.75" bottom="0.75" header="0.3" footer="0.3"/>
  <pageSetup orientation="portrait"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W53"/>
  <sheetViews>
    <sheetView workbookViewId="0">
      <selection activeCell="J20" sqref="J20"/>
    </sheetView>
  </sheetViews>
  <sheetFormatPr defaultRowHeight="14.45"/>
  <cols>
    <col min="1" max="1" width="40.5703125" customWidth="1"/>
    <col min="2" max="2" width="15.85546875" customWidth="1"/>
    <col min="3" max="3" width="16.7109375" customWidth="1"/>
    <col min="4" max="5" width="14.85546875" bestFit="1" customWidth="1"/>
    <col min="15" max="15" width="107.5703125" bestFit="1" customWidth="1"/>
  </cols>
  <sheetData>
    <row r="4" spans="1:23">
      <c r="A4" t="s">
        <v>103</v>
      </c>
      <c r="O4" t="s">
        <v>104</v>
      </c>
    </row>
    <row r="5" spans="1:23">
      <c r="A5" s="1" t="s">
        <v>105</v>
      </c>
      <c r="O5" s="1" t="s">
        <v>105</v>
      </c>
    </row>
    <row r="6" spans="1:23">
      <c r="A6" s="2">
        <v>44316</v>
      </c>
      <c r="O6" s="2">
        <v>44316</v>
      </c>
    </row>
    <row r="7" spans="1:23">
      <c r="C7" s="282" t="s">
        <v>106</v>
      </c>
      <c r="D7" s="283"/>
      <c r="E7" s="283"/>
      <c r="F7" s="284"/>
      <c r="Q7" s="282" t="s">
        <v>106</v>
      </c>
      <c r="R7" s="283"/>
      <c r="S7" s="283"/>
      <c r="T7" s="284"/>
    </row>
    <row r="8" spans="1:23">
      <c r="C8" s="3"/>
      <c r="F8" s="4"/>
      <c r="Q8" s="3"/>
      <c r="T8" s="4"/>
    </row>
    <row r="9" spans="1:23">
      <c r="C9" s="5">
        <v>2022</v>
      </c>
      <c r="D9" s="6">
        <v>2023</v>
      </c>
      <c r="E9" s="6">
        <v>2024</v>
      </c>
      <c r="F9" s="7">
        <v>2025</v>
      </c>
      <c r="G9" s="6">
        <v>2026</v>
      </c>
      <c r="I9" s="6" t="s">
        <v>107</v>
      </c>
      <c r="Q9" s="5">
        <v>2022</v>
      </c>
      <c r="R9" s="6">
        <v>2023</v>
      </c>
      <c r="S9" s="6">
        <v>2024</v>
      </c>
      <c r="T9" s="7">
        <v>2025</v>
      </c>
      <c r="U9" s="6">
        <v>2026</v>
      </c>
      <c r="W9" s="6" t="s">
        <v>107</v>
      </c>
    </row>
    <row r="10" spans="1:23">
      <c r="A10" s="8" t="s">
        <v>108</v>
      </c>
      <c r="C10" s="3"/>
      <c r="F10" s="4"/>
      <c r="O10" s="8" t="s">
        <v>108</v>
      </c>
      <c r="Q10" s="3"/>
      <c r="T10" s="4"/>
    </row>
    <row r="11" spans="1:23">
      <c r="A11" t="s">
        <v>109</v>
      </c>
      <c r="C11" s="9">
        <v>0</v>
      </c>
      <c r="D11" s="10">
        <v>4.8</v>
      </c>
      <c r="E11" s="10">
        <v>7.2000000000000011</v>
      </c>
      <c r="F11" s="11">
        <v>13.600000000000001</v>
      </c>
      <c r="G11" s="12">
        <v>25</v>
      </c>
      <c r="I11" t="s">
        <v>110</v>
      </c>
      <c r="O11" t="s">
        <v>109</v>
      </c>
      <c r="Q11" s="9">
        <v>3.4634261957826169</v>
      </c>
      <c r="R11" s="10">
        <v>4.0074549974284253</v>
      </c>
      <c r="S11" s="10">
        <v>8.2032016115206599</v>
      </c>
      <c r="T11" s="11">
        <v>9.460522887022119</v>
      </c>
      <c r="U11" s="12">
        <v>25</v>
      </c>
      <c r="W11" t="s">
        <v>110</v>
      </c>
    </row>
    <row r="12" spans="1:23">
      <c r="A12" t="s">
        <v>111</v>
      </c>
      <c r="C12" s="9">
        <v>0</v>
      </c>
      <c r="D12" s="10">
        <v>25.389999999999997</v>
      </c>
      <c r="E12" s="10">
        <v>27.408999999999999</v>
      </c>
      <c r="F12" s="11">
        <v>26.577999999999996</v>
      </c>
      <c r="G12" s="12">
        <v>30</v>
      </c>
      <c r="I12" t="s">
        <v>110</v>
      </c>
      <c r="O12" t="s">
        <v>111</v>
      </c>
      <c r="Q12" s="9">
        <v>12.089</v>
      </c>
      <c r="R12" s="10">
        <v>17.055</v>
      </c>
      <c r="S12" s="10">
        <v>22.776999999999997</v>
      </c>
      <c r="T12" s="11">
        <v>28.564999999999998</v>
      </c>
      <c r="U12" s="12">
        <v>30</v>
      </c>
      <c r="W12" t="s">
        <v>110</v>
      </c>
    </row>
    <row r="13" spans="1:23">
      <c r="A13" t="s">
        <v>33</v>
      </c>
      <c r="C13" s="3"/>
      <c r="D13">
        <v>5</v>
      </c>
      <c r="E13">
        <v>6</v>
      </c>
      <c r="F13" s="4">
        <v>18</v>
      </c>
      <c r="G13">
        <v>27</v>
      </c>
      <c r="I13" t="s">
        <v>112</v>
      </c>
      <c r="O13" t="s">
        <v>33</v>
      </c>
      <c r="Q13" s="3"/>
      <c r="R13">
        <v>5</v>
      </c>
      <c r="S13">
        <v>6</v>
      </c>
      <c r="T13" s="4">
        <v>18</v>
      </c>
      <c r="U13">
        <v>27</v>
      </c>
      <c r="W13" t="s">
        <v>112</v>
      </c>
    </row>
    <row r="14" spans="1:23">
      <c r="C14" s="3"/>
      <c r="F14" s="4"/>
      <c r="Q14" s="3"/>
      <c r="T14" s="4"/>
    </row>
    <row r="15" spans="1:23">
      <c r="C15" s="3"/>
      <c r="F15" s="4"/>
      <c r="Q15" s="3"/>
      <c r="T15" s="4"/>
    </row>
    <row r="16" spans="1:23">
      <c r="A16" s="13" t="s">
        <v>113</v>
      </c>
      <c r="B16" s="14"/>
      <c r="C16" s="15"/>
      <c r="D16" s="14"/>
      <c r="E16" s="14"/>
      <c r="F16" s="16"/>
      <c r="G16" s="14"/>
      <c r="H16" s="14"/>
      <c r="I16" s="14"/>
      <c r="O16" s="13" t="s">
        <v>113</v>
      </c>
      <c r="P16" s="14"/>
      <c r="Q16" s="15"/>
      <c r="R16" s="14"/>
      <c r="S16" s="14"/>
      <c r="T16" s="16"/>
      <c r="U16" s="14"/>
      <c r="V16" s="14"/>
      <c r="W16" s="14"/>
    </row>
    <row r="17" spans="1:23">
      <c r="A17" s="8"/>
      <c r="B17" t="s">
        <v>114</v>
      </c>
      <c r="C17" s="3" t="s">
        <v>115</v>
      </c>
      <c r="F17" s="4"/>
      <c r="O17" s="8"/>
      <c r="P17" t="s">
        <v>114</v>
      </c>
      <c r="Q17" s="3" t="s">
        <v>115</v>
      </c>
      <c r="T17" s="4"/>
    </row>
    <row r="18" spans="1:23">
      <c r="A18" t="s">
        <v>109</v>
      </c>
      <c r="B18" s="17">
        <v>1934</v>
      </c>
      <c r="C18" s="18">
        <v>1.1085935595150571E-2</v>
      </c>
      <c r="D18" s="19">
        <v>2.4854730565468555</v>
      </c>
      <c r="E18" s="19">
        <v>7.814465120525167</v>
      </c>
      <c r="F18" s="20">
        <v>20.176999626582898</v>
      </c>
      <c r="G18" s="21">
        <f t="shared" ref="C18:G20" si="0">$B18*1000*G11/1000000</f>
        <v>48.35</v>
      </c>
      <c r="I18" t="s">
        <v>110</v>
      </c>
      <c r="O18" t="s">
        <v>109</v>
      </c>
      <c r="P18" s="17">
        <v>1934</v>
      </c>
      <c r="Q18" s="18">
        <v>2.1319451540892982</v>
      </c>
      <c r="R18" s="19">
        <v>3.5552513985789362</v>
      </c>
      <c r="S18" s="19">
        <v>10.723894894960448</v>
      </c>
      <c r="T18" s="20">
        <v>16.572663190628163</v>
      </c>
      <c r="U18" s="21">
        <f t="shared" ref="Q18:U20" si="1">$B18*1000*U11/1000000</f>
        <v>48.35</v>
      </c>
      <c r="W18" t="s">
        <v>110</v>
      </c>
    </row>
    <row r="19" spans="1:23">
      <c r="A19" t="s">
        <v>111</v>
      </c>
      <c r="B19" s="17">
        <v>3590</v>
      </c>
      <c r="C19" s="18">
        <v>0.10324291549006048</v>
      </c>
      <c r="D19" s="19">
        <v>3.3506553123174343</v>
      </c>
      <c r="E19" s="19">
        <v>6.4663756129360941</v>
      </c>
      <c r="F19" s="20">
        <v>8.1799766538726164</v>
      </c>
      <c r="G19" s="21">
        <f t="shared" si="0"/>
        <v>107.7</v>
      </c>
      <c r="I19" t="s">
        <v>110</v>
      </c>
      <c r="O19" t="s">
        <v>111</v>
      </c>
      <c r="P19" s="17">
        <v>3590</v>
      </c>
      <c r="Q19" s="18">
        <v>3.6923199060381218</v>
      </c>
      <c r="R19" s="19">
        <v>13.088251620089467</v>
      </c>
      <c r="S19" s="19">
        <v>24.165794749877801</v>
      </c>
      <c r="T19" s="20">
        <v>44.876805939070096</v>
      </c>
      <c r="U19" s="21">
        <f t="shared" si="1"/>
        <v>107.7</v>
      </c>
      <c r="W19" t="s">
        <v>110</v>
      </c>
    </row>
    <row r="20" spans="1:23">
      <c r="A20" t="s">
        <v>33</v>
      </c>
      <c r="B20" s="17">
        <v>500</v>
      </c>
      <c r="C20" s="22">
        <f t="shared" si="0"/>
        <v>0</v>
      </c>
      <c r="D20" s="23">
        <f t="shared" si="0"/>
        <v>2.5</v>
      </c>
      <c r="E20" s="23">
        <f t="shared" si="0"/>
        <v>3</v>
      </c>
      <c r="F20" s="24">
        <f t="shared" si="0"/>
        <v>9</v>
      </c>
      <c r="G20" s="17">
        <f t="shared" si="0"/>
        <v>13.5</v>
      </c>
      <c r="I20" t="s">
        <v>116</v>
      </c>
      <c r="O20" t="s">
        <v>33</v>
      </c>
      <c r="P20" s="17">
        <v>500</v>
      </c>
      <c r="Q20" s="22">
        <f t="shared" si="1"/>
        <v>0</v>
      </c>
      <c r="R20" s="23">
        <f t="shared" si="1"/>
        <v>2.5</v>
      </c>
      <c r="S20" s="23">
        <f t="shared" si="1"/>
        <v>3</v>
      </c>
      <c r="T20" s="24">
        <f t="shared" si="1"/>
        <v>9</v>
      </c>
      <c r="U20" s="17">
        <f t="shared" si="1"/>
        <v>13.5</v>
      </c>
      <c r="W20" t="s">
        <v>116</v>
      </c>
    </row>
    <row r="21" spans="1:23">
      <c r="A21" s="25" t="s">
        <v>35</v>
      </c>
      <c r="B21" s="26"/>
      <c r="C21" s="27">
        <f>SUM(C18:C20)</f>
        <v>0.11432885108521106</v>
      </c>
      <c r="D21" s="26">
        <f t="shared" ref="D21:G21" si="2">SUM(D18:D20)</f>
        <v>8.3361283688642906</v>
      </c>
      <c r="E21" s="26">
        <f t="shared" si="2"/>
        <v>17.280840733461261</v>
      </c>
      <c r="F21" s="28">
        <f t="shared" si="2"/>
        <v>37.356976280455513</v>
      </c>
      <c r="G21" s="26">
        <f t="shared" si="2"/>
        <v>169.55</v>
      </c>
      <c r="H21" s="25"/>
      <c r="I21" s="25"/>
      <c r="O21" s="25" t="s">
        <v>35</v>
      </c>
      <c r="P21" s="26"/>
      <c r="Q21" s="27">
        <f>SUM(Q18:Q20)</f>
        <v>5.82426506012742</v>
      </c>
      <c r="R21" s="26">
        <f t="shared" ref="R21:U21" si="3">SUM(R18:R20)</f>
        <v>19.143503018668405</v>
      </c>
      <c r="S21" s="26">
        <f t="shared" si="3"/>
        <v>37.889689644838249</v>
      </c>
      <c r="T21" s="28">
        <f t="shared" si="3"/>
        <v>70.449469129698258</v>
      </c>
      <c r="U21" s="26">
        <f t="shared" si="3"/>
        <v>169.55</v>
      </c>
      <c r="V21" s="25"/>
      <c r="W21" s="25"/>
    </row>
    <row r="22" spans="1:23">
      <c r="A22" s="8"/>
      <c r="C22" s="3"/>
      <c r="F22" s="4"/>
      <c r="O22" s="8"/>
      <c r="Q22" s="3"/>
      <c r="T22" s="4"/>
    </row>
    <row r="23" spans="1:23">
      <c r="A23" s="8" t="s">
        <v>117</v>
      </c>
      <c r="C23" s="3"/>
      <c r="F23" s="4"/>
      <c r="O23" s="8" t="s">
        <v>117</v>
      </c>
      <c r="Q23" s="3"/>
      <c r="T23" s="4"/>
    </row>
    <row r="24" spans="1:23">
      <c r="A24" t="s">
        <v>109</v>
      </c>
      <c r="B24" s="17"/>
      <c r="C24" s="22">
        <v>2</v>
      </c>
      <c r="D24" s="23">
        <v>2</v>
      </c>
      <c r="E24" s="23">
        <v>1</v>
      </c>
      <c r="F24" s="24"/>
      <c r="G24" s="17"/>
      <c r="I24" t="s">
        <v>118</v>
      </c>
      <c r="O24" t="s">
        <v>109</v>
      </c>
      <c r="P24" s="17"/>
      <c r="Q24" s="22">
        <v>2</v>
      </c>
      <c r="R24" s="23">
        <v>2</v>
      </c>
      <c r="S24" s="23">
        <v>1</v>
      </c>
      <c r="T24" s="24"/>
      <c r="U24" s="17"/>
      <c r="W24" t="s">
        <v>118</v>
      </c>
    </row>
    <row r="25" spans="1:23">
      <c r="A25" t="s">
        <v>111</v>
      </c>
      <c r="B25" s="17"/>
      <c r="C25" s="22"/>
      <c r="D25" s="23"/>
      <c r="E25" s="23"/>
      <c r="F25" s="24"/>
      <c r="G25" s="17"/>
      <c r="O25" t="s">
        <v>111</v>
      </c>
      <c r="P25" s="17"/>
      <c r="Q25" s="22"/>
      <c r="R25" s="23"/>
      <c r="S25" s="23"/>
      <c r="T25" s="24"/>
      <c r="U25" s="17"/>
    </row>
    <row r="26" spans="1:23">
      <c r="A26" t="s">
        <v>33</v>
      </c>
      <c r="B26" s="17"/>
      <c r="C26" s="22">
        <v>2</v>
      </c>
      <c r="D26" s="23">
        <v>2</v>
      </c>
      <c r="E26" s="23"/>
      <c r="F26" s="24"/>
      <c r="G26" s="17"/>
      <c r="I26" t="s">
        <v>119</v>
      </c>
      <c r="O26" t="s">
        <v>33</v>
      </c>
      <c r="P26" s="17"/>
      <c r="Q26" s="22">
        <v>2</v>
      </c>
      <c r="R26" s="23">
        <v>2</v>
      </c>
      <c r="S26" s="23"/>
      <c r="T26" s="24"/>
      <c r="U26" s="17"/>
      <c r="W26" t="s">
        <v>119</v>
      </c>
    </row>
    <row r="27" spans="1:23">
      <c r="C27" s="3"/>
      <c r="F27" s="4"/>
      <c r="Q27" s="3"/>
      <c r="T27" s="4"/>
    </row>
    <row r="28" spans="1:23" ht="15" thickBot="1">
      <c r="A28" s="8" t="s">
        <v>120</v>
      </c>
      <c r="C28" s="29">
        <f>SUM(C21:C26)*0.2</f>
        <v>0.82286577021704232</v>
      </c>
      <c r="D28" s="30">
        <f>SUM(D21:D26)*0.2</f>
        <v>2.4672256737728584</v>
      </c>
      <c r="E28" s="30">
        <f>SUM(E21:E26)*0.2</f>
        <v>3.6561681466922522</v>
      </c>
      <c r="F28" s="31">
        <f>SUM(F21:F26)*0.2</f>
        <v>7.4713952560911032</v>
      </c>
      <c r="G28" s="32">
        <f>SUM(G21:G26)*0.2</f>
        <v>33.910000000000004</v>
      </c>
      <c r="O28" s="8" t="s">
        <v>120</v>
      </c>
      <c r="Q28" s="29">
        <f>SUM(Q21:Q26)*0.2</f>
        <v>1.9648530120254841</v>
      </c>
      <c r="R28" s="30">
        <f>SUM(R21:R26)*0.2</f>
        <v>4.6287006037336811</v>
      </c>
      <c r="S28" s="30">
        <f>SUM(S21:S26)*0.2</f>
        <v>7.77793792896765</v>
      </c>
      <c r="T28" s="31">
        <f>SUM(T21:T26)*0.2</f>
        <v>14.089893825939653</v>
      </c>
      <c r="U28" s="32">
        <f>SUM(U21:U26)*0.2</f>
        <v>33.910000000000004</v>
      </c>
    </row>
    <row r="29" spans="1:23" ht="15" thickTop="1">
      <c r="A29" s="33" t="s">
        <v>121</v>
      </c>
      <c r="B29" s="34"/>
      <c r="C29" s="35">
        <f>SUM(C21:C28)</f>
        <v>4.9371946213022539</v>
      </c>
      <c r="D29" s="36">
        <f t="shared" ref="D29:G29" si="4">SUM(D21:D28)</f>
        <v>14.803354042637149</v>
      </c>
      <c r="E29" s="36">
        <f t="shared" si="4"/>
        <v>21.937008880153513</v>
      </c>
      <c r="F29" s="37">
        <f t="shared" si="4"/>
        <v>44.828371536546612</v>
      </c>
      <c r="G29" s="35">
        <f t="shared" si="4"/>
        <v>203.46</v>
      </c>
      <c r="H29" s="34"/>
      <c r="I29" s="34"/>
      <c r="O29" s="33" t="s">
        <v>121</v>
      </c>
      <c r="P29" s="34"/>
      <c r="Q29" s="35">
        <f>SUM(Q21:Q28)</f>
        <v>11.789118072152904</v>
      </c>
      <c r="R29" s="36">
        <f t="shared" ref="R29:U29" si="5">SUM(R21:R28)</f>
        <v>27.772203622402085</v>
      </c>
      <c r="S29" s="36">
        <f t="shared" si="5"/>
        <v>46.667627573805902</v>
      </c>
      <c r="T29" s="37">
        <f t="shared" si="5"/>
        <v>84.539362955637912</v>
      </c>
      <c r="U29" s="35">
        <f t="shared" si="5"/>
        <v>203.46</v>
      </c>
      <c r="V29" s="34"/>
      <c r="W29" s="34"/>
    </row>
    <row r="30" spans="1:23">
      <c r="C30" s="3"/>
      <c r="F30" s="4"/>
      <c r="Q30" s="3"/>
      <c r="T30" s="4"/>
    </row>
    <row r="31" spans="1:23">
      <c r="C31" s="3"/>
      <c r="F31" s="4"/>
      <c r="Q31" s="3"/>
      <c r="T31" s="4"/>
    </row>
    <row r="32" spans="1:23">
      <c r="C32" s="3"/>
      <c r="F32" s="4"/>
      <c r="Q32" s="3"/>
      <c r="T32" s="4"/>
    </row>
    <row r="33" spans="1:23">
      <c r="C33" s="3"/>
      <c r="F33" s="4"/>
      <c r="Q33" s="3"/>
      <c r="T33" s="4"/>
    </row>
    <row r="34" spans="1:23">
      <c r="A34" s="13" t="s">
        <v>122</v>
      </c>
      <c r="B34" s="14"/>
      <c r="C34" s="15"/>
      <c r="D34" s="14"/>
      <c r="E34" s="14"/>
      <c r="F34" s="16"/>
      <c r="G34" s="14"/>
      <c r="H34" s="14"/>
      <c r="I34" s="14"/>
      <c r="O34" s="13" t="s">
        <v>122</v>
      </c>
      <c r="P34" s="14"/>
      <c r="Q34" s="15"/>
      <c r="R34" s="14"/>
      <c r="S34" s="14"/>
      <c r="T34" s="16"/>
      <c r="U34" s="14"/>
      <c r="V34" s="14"/>
      <c r="W34" s="14"/>
    </row>
    <row r="35" spans="1:23">
      <c r="A35" s="8"/>
      <c r="C35" s="3"/>
      <c r="F35" s="4"/>
      <c r="O35" s="8"/>
      <c r="Q35" s="3"/>
      <c r="T35" s="4"/>
    </row>
    <row r="36" spans="1:23">
      <c r="A36" s="8" t="s">
        <v>123</v>
      </c>
      <c r="C36" s="3"/>
      <c r="F36" s="4"/>
      <c r="O36" s="8" t="s">
        <v>123</v>
      </c>
      <c r="Q36" s="3"/>
      <c r="T36" s="4"/>
    </row>
    <row r="37" spans="1:23">
      <c r="B37" t="s">
        <v>124</v>
      </c>
      <c r="C37" s="3" t="s">
        <v>115</v>
      </c>
      <c r="F37" s="4"/>
      <c r="I37" t="s">
        <v>125</v>
      </c>
      <c r="P37" t="s">
        <v>124</v>
      </c>
      <c r="Q37" s="3" t="s">
        <v>115</v>
      </c>
      <c r="T37" s="4"/>
      <c r="W37" t="s">
        <v>125</v>
      </c>
    </row>
    <row r="38" spans="1:23">
      <c r="A38" t="s">
        <v>109</v>
      </c>
      <c r="B38" s="38">
        <v>31.93</v>
      </c>
      <c r="C38" s="39">
        <v>0</v>
      </c>
      <c r="D38" s="40">
        <v>0.14531312249999997</v>
      </c>
      <c r="E38" s="40">
        <v>0.65758302221863918</v>
      </c>
      <c r="F38" s="41">
        <v>2.2573056852988644</v>
      </c>
      <c r="G38" s="39">
        <f t="shared" ref="G38:G40" si="6">G11*1000*$B38/1000000</f>
        <v>0.79825000000000002</v>
      </c>
      <c r="I38" t="s">
        <v>110</v>
      </c>
      <c r="O38" t="s">
        <v>109</v>
      </c>
      <c r="P38" s="38">
        <v>31.93</v>
      </c>
      <c r="Q38" s="39">
        <v>0.11233822162499998</v>
      </c>
      <c r="R38" s="40">
        <v>0.29690520665624992</v>
      </c>
      <c r="S38" s="40">
        <v>0.99698866596266866</v>
      </c>
      <c r="T38" s="41">
        <v>2.1641517550296876</v>
      </c>
      <c r="U38" s="39">
        <f t="shared" ref="U38:U40" si="7">U11*1000*$B38/1000000</f>
        <v>0.79825000000000002</v>
      </c>
      <c r="W38" t="s">
        <v>110</v>
      </c>
    </row>
    <row r="39" spans="1:23">
      <c r="A39" t="s">
        <v>111</v>
      </c>
      <c r="B39" s="38">
        <v>22.23</v>
      </c>
      <c r="C39" s="39">
        <v>0</v>
      </c>
      <c r="D39" s="40">
        <v>7.0526871834527194</v>
      </c>
      <c r="E39" s="40">
        <v>11.589352810362938</v>
      </c>
      <c r="F39" s="41">
        <v>15.890289780272733</v>
      </c>
      <c r="G39" s="39">
        <f t="shared" si="6"/>
        <v>0.66690000000000005</v>
      </c>
      <c r="I39" t="s">
        <v>110</v>
      </c>
      <c r="O39" t="s">
        <v>111</v>
      </c>
      <c r="P39" s="38">
        <v>22.23</v>
      </c>
      <c r="Q39" s="39">
        <v>3.9399940312006274</v>
      </c>
      <c r="R39" s="40">
        <v>7.2504726591134965</v>
      </c>
      <c r="S39" s="40">
        <v>11.105229302442401</v>
      </c>
      <c r="T39" s="41">
        <v>15.658596208005816</v>
      </c>
      <c r="U39" s="39">
        <f t="shared" si="7"/>
        <v>0.66690000000000005</v>
      </c>
      <c r="W39" t="s">
        <v>110</v>
      </c>
    </row>
    <row r="40" spans="1:23">
      <c r="A40" t="s">
        <v>33</v>
      </c>
      <c r="B40" s="38">
        <v>0</v>
      </c>
      <c r="C40" s="42">
        <f t="shared" ref="C40:F40" si="8">C13*1000*$B40/1000000</f>
        <v>0</v>
      </c>
      <c r="D40" s="43">
        <f t="shared" si="8"/>
        <v>0</v>
      </c>
      <c r="E40" s="43">
        <f t="shared" si="8"/>
        <v>0</v>
      </c>
      <c r="F40" s="44">
        <f t="shared" si="8"/>
        <v>0</v>
      </c>
      <c r="G40" s="42">
        <f t="shared" si="6"/>
        <v>0</v>
      </c>
      <c r="I40" t="s">
        <v>126</v>
      </c>
      <c r="O40" t="s">
        <v>33</v>
      </c>
      <c r="P40" s="38">
        <v>0</v>
      </c>
      <c r="Q40" s="42">
        <f t="shared" ref="Q40:T40" si="9">Q13*1000*$B40/1000000</f>
        <v>0</v>
      </c>
      <c r="R40" s="43">
        <f t="shared" si="9"/>
        <v>0</v>
      </c>
      <c r="S40" s="43">
        <f t="shared" si="9"/>
        <v>0</v>
      </c>
      <c r="T40" s="44">
        <f t="shared" si="9"/>
        <v>0</v>
      </c>
      <c r="U40" s="42">
        <f t="shared" si="7"/>
        <v>0</v>
      </c>
      <c r="W40" t="s">
        <v>126</v>
      </c>
    </row>
    <row r="41" spans="1:23">
      <c r="C41" s="3"/>
      <c r="F41" s="4"/>
      <c r="G41" s="3"/>
      <c r="Q41" s="3"/>
      <c r="T41" s="4"/>
      <c r="U41" s="3"/>
    </row>
    <row r="42" spans="1:23">
      <c r="A42" s="8" t="s">
        <v>127</v>
      </c>
      <c r="C42" s="3" t="s">
        <v>115</v>
      </c>
      <c r="F42" s="4"/>
      <c r="G42" s="3"/>
      <c r="I42" t="s">
        <v>128</v>
      </c>
      <c r="O42" s="8" t="s">
        <v>127</v>
      </c>
      <c r="Q42" s="3" t="s">
        <v>115</v>
      </c>
      <c r="T42" s="4"/>
      <c r="U42" s="3"/>
      <c r="W42" t="s">
        <v>128</v>
      </c>
    </row>
    <row r="43" spans="1:23">
      <c r="A43" t="s">
        <v>109</v>
      </c>
      <c r="C43" s="39">
        <v>0.29412153782554779</v>
      </c>
      <c r="D43" s="40">
        <v>0.61605208763952046</v>
      </c>
      <c r="E43" s="40">
        <v>0.21</v>
      </c>
      <c r="F43" s="41">
        <v>0</v>
      </c>
      <c r="G43" s="39"/>
      <c r="I43" t="s">
        <v>129</v>
      </c>
      <c r="O43" t="s">
        <v>109</v>
      </c>
      <c r="Q43" s="39">
        <v>0.42017362546506826</v>
      </c>
      <c r="R43" s="40">
        <v>0.48999999999999994</v>
      </c>
      <c r="S43" s="40">
        <v>0.21</v>
      </c>
      <c r="T43" s="41">
        <v>0</v>
      </c>
      <c r="U43" s="39"/>
      <c r="W43" t="s">
        <v>129</v>
      </c>
    </row>
    <row r="44" spans="1:23">
      <c r="A44" t="s">
        <v>111</v>
      </c>
      <c r="C44" s="39">
        <v>2.5753784823529413</v>
      </c>
      <c r="D44" s="40">
        <v>1.1037336352941176</v>
      </c>
      <c r="E44" s="40">
        <v>0</v>
      </c>
      <c r="F44" s="41">
        <v>0</v>
      </c>
      <c r="G44" s="39"/>
      <c r="I44" t="s">
        <v>129</v>
      </c>
      <c r="O44" t="s">
        <v>111</v>
      </c>
      <c r="Q44" s="39">
        <v>4.1791121176470583</v>
      </c>
      <c r="R44" s="40">
        <v>0</v>
      </c>
      <c r="S44" s="40">
        <v>0</v>
      </c>
      <c r="T44" s="41">
        <v>0</v>
      </c>
      <c r="U44" s="39"/>
      <c r="W44" t="s">
        <v>129</v>
      </c>
    </row>
    <row r="45" spans="1:23">
      <c r="A45" t="s">
        <v>33</v>
      </c>
      <c r="C45" s="42">
        <v>1</v>
      </c>
      <c r="D45" s="43">
        <v>1</v>
      </c>
      <c r="E45" s="43">
        <v>0.5</v>
      </c>
      <c r="F45" s="44">
        <v>0.5</v>
      </c>
      <c r="G45" s="42"/>
      <c r="I45" t="s">
        <v>129</v>
      </c>
      <c r="O45" t="s">
        <v>33</v>
      </c>
      <c r="Q45" s="42">
        <v>1</v>
      </c>
      <c r="R45" s="43">
        <v>1</v>
      </c>
      <c r="S45" s="43">
        <v>0.5</v>
      </c>
      <c r="T45" s="44">
        <v>0.5</v>
      </c>
      <c r="U45" s="42"/>
      <c r="W45" t="s">
        <v>129</v>
      </c>
    </row>
    <row r="46" spans="1:23" ht="15" thickBot="1">
      <c r="C46" s="3"/>
      <c r="F46" s="4"/>
      <c r="G46" s="3"/>
      <c r="Q46" s="3"/>
      <c r="T46" s="4"/>
      <c r="U46" s="3"/>
    </row>
    <row r="47" spans="1:23" ht="15" thickTop="1">
      <c r="A47" s="33" t="s">
        <v>130</v>
      </c>
      <c r="B47" s="34"/>
      <c r="C47" s="45">
        <f>SUM(C38:C40,C43:C45)</f>
        <v>3.869500020178489</v>
      </c>
      <c r="D47" s="46">
        <f>SUM(D38:D40,D43:D45)</f>
        <v>9.9177860288863577</v>
      </c>
      <c r="E47" s="46">
        <f>SUM(E38:E40,E43:E45)</f>
        <v>12.956935832581578</v>
      </c>
      <c r="F47" s="47">
        <f>SUM(F38:F40,F43:F45)</f>
        <v>18.647595465571598</v>
      </c>
      <c r="G47" s="45">
        <f>SUM(G38:G40,G43:G45)</f>
        <v>1.46515</v>
      </c>
      <c r="H47" s="34"/>
      <c r="I47" s="34"/>
      <c r="O47" s="33" t="s">
        <v>130</v>
      </c>
      <c r="P47" s="34"/>
      <c r="Q47" s="45">
        <f>SUM(Q38:Q40,Q43:Q45)</f>
        <v>9.6516179959377553</v>
      </c>
      <c r="R47" s="46">
        <f>SUM(R38:R40,R43:R45)</f>
        <v>9.0373778657697468</v>
      </c>
      <c r="S47" s="46">
        <f>SUM(S38:S40,S43:S45)</f>
        <v>12.81221796840507</v>
      </c>
      <c r="T47" s="47">
        <f>SUM(T38:T40,T43:T45)</f>
        <v>18.322747963035503</v>
      </c>
      <c r="U47" s="45">
        <f>SUM(U38:U40,U43:U45)</f>
        <v>1.46515</v>
      </c>
      <c r="V47" s="34"/>
      <c r="W47" s="34"/>
    </row>
    <row r="48" spans="1:23">
      <c r="C48" s="3"/>
      <c r="F48" s="4"/>
      <c r="G48" s="3"/>
      <c r="Q48" s="3"/>
      <c r="T48" s="4"/>
      <c r="U48" s="3"/>
    </row>
    <row r="49" spans="3:20">
      <c r="C49" s="3"/>
      <c r="F49" s="4"/>
      <c r="Q49" s="3"/>
      <c r="T49" s="4"/>
    </row>
    <row r="50" spans="3:20">
      <c r="C50" s="3"/>
      <c r="F50" s="4"/>
      <c r="Q50" s="3"/>
      <c r="T50" s="4"/>
    </row>
    <row r="51" spans="3:20">
      <c r="O51" s="8" t="s">
        <v>131</v>
      </c>
    </row>
    <row r="52" spans="3:20">
      <c r="O52" t="s">
        <v>132</v>
      </c>
    </row>
    <row r="53" spans="3:20">
      <c r="O53" t="s">
        <v>133</v>
      </c>
    </row>
  </sheetData>
  <mergeCells count="2">
    <mergeCell ref="C7:F7"/>
    <mergeCell ref="Q7:T7"/>
  </mergeCells>
  <pageMargins left="0.7" right="0.7" top="0.75" bottom="0.75" header="0.3" footer="0.3"/>
  <pageSetup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
  <sheetViews>
    <sheetView workbookViewId="0">
      <selection activeCell="G5" sqref="G5"/>
    </sheetView>
  </sheetViews>
  <sheetFormatPr defaultRowHeight="14.45"/>
  <cols>
    <col min="1" max="1" width="21.85546875" bestFit="1" customWidth="1"/>
    <col min="3" max="3" width="9.85546875" bestFit="1" customWidth="1"/>
    <col min="4" max="6" width="9.7109375" bestFit="1" customWidth="1"/>
    <col min="7" max="7" width="12.5703125" bestFit="1" customWidth="1"/>
  </cols>
  <sheetData>
    <row r="1" spans="1:7">
      <c r="B1">
        <v>2022</v>
      </c>
      <c r="C1">
        <v>2023</v>
      </c>
      <c r="D1">
        <v>2024</v>
      </c>
      <c r="E1">
        <v>2025</v>
      </c>
      <c r="F1">
        <v>2026</v>
      </c>
    </row>
    <row r="2" spans="1:7">
      <c r="A2" t="s">
        <v>134</v>
      </c>
      <c r="B2" s="100">
        <v>3692148</v>
      </c>
      <c r="C2" s="100">
        <v>15757803</v>
      </c>
      <c r="D2" s="100">
        <v>17691117</v>
      </c>
      <c r="E2" s="100">
        <v>19154298</v>
      </c>
      <c r="F2" s="100">
        <v>22419612</v>
      </c>
      <c r="G2" s="99">
        <f>SUM(B2:F2)</f>
        <v>78714978</v>
      </c>
    </row>
    <row r="5" spans="1:7">
      <c r="G5" s="82"/>
    </row>
  </sheetData>
  <pageMargins left="0.7" right="0.7" top="0.75" bottom="0.75" header="0.3" footer="0.3"/>
  <pageSetup orientation="portrait" horizontalDpi="300" verticalDpi="300"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3"/>
  <sheetViews>
    <sheetView topLeftCell="A22" workbookViewId="0">
      <selection activeCell="A23" sqref="A23:XFD23"/>
    </sheetView>
  </sheetViews>
  <sheetFormatPr defaultRowHeight="14.45"/>
  <cols>
    <col min="1" max="1" width="48.85546875" bestFit="1" customWidth="1"/>
    <col min="2" max="2" width="18.5703125" bestFit="1" customWidth="1"/>
    <col min="3" max="3" width="12.7109375" bestFit="1" customWidth="1"/>
    <col min="4" max="4" width="4.42578125" bestFit="1" customWidth="1"/>
    <col min="5" max="5" width="18.28515625" customWidth="1"/>
    <col min="6" max="6" width="22.42578125" customWidth="1"/>
    <col min="7" max="7" width="23.85546875" customWidth="1"/>
    <col min="8" max="8" width="12.5703125" bestFit="1" customWidth="1"/>
    <col min="9" max="9" width="11.28515625" customWidth="1"/>
    <col min="10" max="11" width="11.5703125" bestFit="1" customWidth="1"/>
    <col min="12" max="12" width="12.5703125" bestFit="1" customWidth="1"/>
    <col min="13" max="13" width="13.28515625" customWidth="1"/>
    <col min="14" max="14" width="12.5703125" bestFit="1" customWidth="1"/>
    <col min="18" max="18" width="12.5703125" bestFit="1" customWidth="1"/>
  </cols>
  <sheetData>
    <row r="1" spans="1:18">
      <c r="A1" t="s">
        <v>135</v>
      </c>
      <c r="H1" s="287" t="s">
        <v>136</v>
      </c>
      <c r="I1" s="287"/>
      <c r="J1" s="287"/>
      <c r="K1" s="287"/>
      <c r="L1" s="287"/>
      <c r="M1" s="52"/>
      <c r="N1" s="287" t="s">
        <v>137</v>
      </c>
      <c r="O1" s="287"/>
      <c r="P1" s="287"/>
      <c r="Q1" s="287"/>
      <c r="R1" s="287"/>
    </row>
    <row r="2" spans="1:18" ht="29.1">
      <c r="A2" s="52" t="s">
        <v>138</v>
      </c>
      <c r="B2" s="52" t="s">
        <v>139</v>
      </c>
      <c r="C2" s="52" t="s">
        <v>140</v>
      </c>
      <c r="D2" s="52" t="s">
        <v>141</v>
      </c>
      <c r="E2" s="52" t="s">
        <v>142</v>
      </c>
      <c r="F2" s="52" t="s">
        <v>143</v>
      </c>
      <c r="G2" s="52" t="s">
        <v>144</v>
      </c>
      <c r="H2" s="52">
        <v>2022</v>
      </c>
      <c r="I2" s="52">
        <v>2023</v>
      </c>
      <c r="J2" s="52">
        <v>2024</v>
      </c>
      <c r="K2" s="52">
        <v>2025</v>
      </c>
      <c r="L2" s="53" t="s">
        <v>35</v>
      </c>
      <c r="M2" s="54" t="s">
        <v>145</v>
      </c>
      <c r="N2" s="52">
        <v>2022</v>
      </c>
      <c r="O2" s="52">
        <v>2023</v>
      </c>
      <c r="P2" s="52">
        <v>2024</v>
      </c>
      <c r="Q2" s="52">
        <v>2025</v>
      </c>
      <c r="R2" s="53" t="s">
        <v>35</v>
      </c>
    </row>
    <row r="3" spans="1:18">
      <c r="A3" s="52"/>
      <c r="B3" s="52"/>
      <c r="C3" s="52"/>
      <c r="D3" s="52"/>
      <c r="E3" s="52"/>
      <c r="F3" s="52"/>
      <c r="G3" s="52"/>
      <c r="H3" s="52"/>
      <c r="I3" s="52"/>
      <c r="J3" s="52"/>
      <c r="K3" s="52"/>
      <c r="L3" s="53"/>
      <c r="M3" s="54"/>
      <c r="N3" s="52"/>
      <c r="O3" s="52"/>
      <c r="P3" s="52"/>
      <c r="Q3" s="52"/>
      <c r="R3" s="53"/>
    </row>
    <row r="4" spans="1:18">
      <c r="A4" s="55" t="s">
        <v>146</v>
      </c>
      <c r="B4" s="52"/>
      <c r="C4" s="52"/>
      <c r="D4" s="52"/>
      <c r="E4" s="52"/>
      <c r="F4" s="52"/>
      <c r="G4" s="52"/>
      <c r="H4" s="52"/>
      <c r="I4" s="52"/>
      <c r="J4" s="52"/>
      <c r="K4" s="52"/>
      <c r="L4" s="53"/>
      <c r="M4" s="54"/>
      <c r="N4" s="52"/>
      <c r="O4" s="52"/>
      <c r="P4" s="52"/>
      <c r="Q4" s="52"/>
      <c r="R4" s="53"/>
    </row>
    <row r="5" spans="1:18">
      <c r="A5" s="53" t="s">
        <v>147</v>
      </c>
      <c r="B5" s="50" t="s">
        <v>148</v>
      </c>
      <c r="C5" s="51" t="s">
        <v>149</v>
      </c>
      <c r="D5" s="52"/>
      <c r="E5" s="52"/>
      <c r="F5" s="56" t="s">
        <v>150</v>
      </c>
      <c r="G5" s="51" t="s">
        <v>151</v>
      </c>
      <c r="H5" s="57">
        <v>160807.5</v>
      </c>
      <c r="I5" s="57">
        <v>0</v>
      </c>
      <c r="J5" s="57">
        <v>55122.5</v>
      </c>
      <c r="K5" s="57">
        <v>0</v>
      </c>
      <c r="L5" s="58">
        <v>215930</v>
      </c>
      <c r="M5" s="67">
        <v>1</v>
      </c>
      <c r="N5" s="59">
        <v>160807.5</v>
      </c>
      <c r="O5" s="59">
        <v>0</v>
      </c>
      <c r="P5" s="59">
        <v>55122.5</v>
      </c>
      <c r="Q5" s="59">
        <v>0</v>
      </c>
      <c r="R5" s="60">
        <v>215930</v>
      </c>
    </row>
    <row r="6" spans="1:18">
      <c r="A6" s="61" t="s">
        <v>152</v>
      </c>
      <c r="D6" s="52"/>
      <c r="E6" s="52"/>
      <c r="F6" s="56"/>
      <c r="H6" s="57">
        <v>75000</v>
      </c>
      <c r="I6" s="57">
        <v>0</v>
      </c>
      <c r="J6" s="57">
        <v>0</v>
      </c>
      <c r="K6" s="57">
        <v>0</v>
      </c>
      <c r="L6" s="58">
        <v>75000</v>
      </c>
      <c r="N6" s="59">
        <v>75000</v>
      </c>
      <c r="O6" s="59">
        <v>0</v>
      </c>
      <c r="P6" s="59">
        <v>0</v>
      </c>
      <c r="Q6" s="59">
        <v>0</v>
      </c>
      <c r="R6" s="60"/>
    </row>
    <row r="7" spans="1:18">
      <c r="A7" s="62" t="s">
        <v>153</v>
      </c>
      <c r="D7" s="52"/>
      <c r="E7" s="52"/>
      <c r="F7" s="56"/>
      <c r="H7" s="49"/>
      <c r="I7" s="59"/>
      <c r="J7" s="59"/>
      <c r="L7" s="60">
        <v>0</v>
      </c>
      <c r="N7" s="59"/>
      <c r="O7" s="59"/>
      <c r="P7" s="59"/>
      <c r="R7" s="60"/>
    </row>
    <row r="8" spans="1:18">
      <c r="A8" s="62" t="s">
        <v>154</v>
      </c>
      <c r="D8" s="52"/>
      <c r="E8" s="52"/>
      <c r="F8" s="56"/>
      <c r="H8" s="49">
        <v>75000</v>
      </c>
      <c r="I8" s="49"/>
      <c r="J8" s="49"/>
      <c r="K8" s="49"/>
      <c r="L8" s="60">
        <v>75000</v>
      </c>
      <c r="N8" s="59"/>
      <c r="O8" s="59"/>
      <c r="P8" s="59"/>
      <c r="R8" s="60"/>
    </row>
    <row r="9" spans="1:18">
      <c r="A9" s="62" t="s">
        <v>155</v>
      </c>
      <c r="D9" s="52"/>
      <c r="E9" s="52"/>
      <c r="F9" s="56"/>
      <c r="H9" s="49"/>
      <c r="I9" s="49"/>
      <c r="J9" s="49"/>
      <c r="K9" s="49"/>
      <c r="L9" s="60">
        <v>0</v>
      </c>
      <c r="N9" s="59"/>
      <c r="O9" s="59"/>
      <c r="P9" s="59"/>
      <c r="R9" s="60"/>
    </row>
    <row r="10" spans="1:18">
      <c r="A10" s="62" t="s">
        <v>156</v>
      </c>
      <c r="D10" s="52"/>
      <c r="E10" s="52"/>
      <c r="F10" s="56"/>
      <c r="H10" s="49"/>
      <c r="I10" s="49"/>
      <c r="J10" s="49"/>
      <c r="K10" s="49"/>
      <c r="L10" s="60">
        <v>0</v>
      </c>
      <c r="N10" s="59"/>
      <c r="O10" s="59"/>
      <c r="P10" s="59"/>
      <c r="R10" s="60"/>
    </row>
    <row r="11" spans="1:18">
      <c r="A11" s="61" t="s">
        <v>157</v>
      </c>
      <c r="D11" s="52"/>
      <c r="E11" s="52"/>
      <c r="F11" s="56"/>
      <c r="H11" s="57">
        <v>85807.5</v>
      </c>
      <c r="I11" s="57">
        <v>0</v>
      </c>
      <c r="J11" s="57">
        <v>55122.5</v>
      </c>
      <c r="K11" s="57">
        <v>0</v>
      </c>
      <c r="L11" s="58">
        <v>140930</v>
      </c>
      <c r="N11" s="59">
        <v>85807.5</v>
      </c>
      <c r="O11" s="59">
        <v>0</v>
      </c>
      <c r="P11" s="59">
        <v>55122.5</v>
      </c>
      <c r="Q11" s="59">
        <v>0</v>
      </c>
      <c r="R11" s="60">
        <v>140930</v>
      </c>
    </row>
    <row r="12" spans="1:18">
      <c r="A12" s="62" t="s">
        <v>153</v>
      </c>
      <c r="D12" s="52"/>
      <c r="E12" s="52"/>
      <c r="F12" s="56"/>
      <c r="H12" s="63">
        <v>85807.5</v>
      </c>
      <c r="I12" s="63">
        <v>0</v>
      </c>
      <c r="J12" s="63">
        <v>55122.5</v>
      </c>
      <c r="K12" s="63">
        <v>0</v>
      </c>
      <c r="L12" s="60">
        <v>140930</v>
      </c>
      <c r="N12" s="59"/>
      <c r="O12" s="59"/>
      <c r="P12" s="59"/>
      <c r="R12" s="60"/>
    </row>
    <row r="13" spans="1:18">
      <c r="A13" s="62" t="s">
        <v>154</v>
      </c>
      <c r="D13" s="52"/>
      <c r="E13" s="52"/>
      <c r="F13" s="56"/>
      <c r="H13" s="49"/>
      <c r="I13" s="49"/>
      <c r="J13" s="49"/>
      <c r="K13" s="49"/>
      <c r="L13" s="60">
        <v>0</v>
      </c>
      <c r="N13" s="59"/>
      <c r="O13" s="59"/>
      <c r="P13" s="59"/>
      <c r="R13" s="60"/>
    </row>
    <row r="14" spans="1:18">
      <c r="A14" s="62" t="s">
        <v>156</v>
      </c>
      <c r="D14" s="52"/>
      <c r="E14" s="52"/>
      <c r="F14" s="56"/>
      <c r="H14" s="49"/>
      <c r="I14" s="49"/>
      <c r="J14" s="49"/>
      <c r="K14" s="49"/>
      <c r="L14" s="60">
        <v>0</v>
      </c>
      <c r="N14" s="59"/>
      <c r="O14" s="59"/>
      <c r="P14" s="59"/>
      <c r="R14" s="60"/>
    </row>
    <row r="15" spans="1:18">
      <c r="A15" s="53" t="s">
        <v>158</v>
      </c>
      <c r="B15" s="50" t="s">
        <v>148</v>
      </c>
      <c r="C15" s="51" t="s">
        <v>149</v>
      </c>
      <c r="D15" s="52"/>
      <c r="E15" s="52"/>
      <c r="F15" s="56" t="s">
        <v>159</v>
      </c>
      <c r="G15" s="51" t="s">
        <v>160</v>
      </c>
      <c r="H15" s="57">
        <v>0</v>
      </c>
      <c r="I15" s="57">
        <v>0</v>
      </c>
      <c r="J15" s="57">
        <v>0</v>
      </c>
      <c r="K15" s="57">
        <v>200000</v>
      </c>
      <c r="L15" s="58">
        <v>200000</v>
      </c>
      <c r="M15" s="67">
        <v>1</v>
      </c>
      <c r="N15" s="59">
        <v>0</v>
      </c>
      <c r="O15" s="59">
        <v>0</v>
      </c>
      <c r="P15" s="59">
        <v>0</v>
      </c>
      <c r="Q15" s="59">
        <v>200000</v>
      </c>
      <c r="R15" s="60">
        <v>200000</v>
      </c>
    </row>
    <row r="16" spans="1:18">
      <c r="A16" s="61" t="s">
        <v>152</v>
      </c>
      <c r="D16" s="52"/>
      <c r="E16" s="52"/>
      <c r="F16" s="56"/>
      <c r="H16" s="57">
        <v>0</v>
      </c>
      <c r="I16" s="57">
        <v>0</v>
      </c>
      <c r="J16" s="57">
        <v>0</v>
      </c>
      <c r="K16" s="57">
        <v>200000</v>
      </c>
      <c r="L16" s="58">
        <v>200000</v>
      </c>
      <c r="N16" s="59">
        <v>0</v>
      </c>
      <c r="O16" s="59">
        <v>0</v>
      </c>
      <c r="P16" s="59">
        <v>0</v>
      </c>
      <c r="Q16" s="59">
        <v>200000</v>
      </c>
      <c r="R16" s="60">
        <v>200000</v>
      </c>
    </row>
    <row r="17" spans="1:18">
      <c r="A17" s="62" t="s">
        <v>153</v>
      </c>
      <c r="D17" s="52"/>
      <c r="E17" s="52"/>
      <c r="F17" s="56"/>
      <c r="H17" s="59"/>
      <c r="I17" s="59"/>
      <c r="J17" s="59"/>
      <c r="L17" s="60">
        <v>0</v>
      </c>
      <c r="N17" s="59"/>
      <c r="O17" s="59"/>
      <c r="P17" s="59"/>
      <c r="R17" s="60"/>
    </row>
    <row r="18" spans="1:18">
      <c r="A18" s="62" t="s">
        <v>154</v>
      </c>
      <c r="D18" s="52"/>
      <c r="E18" s="52"/>
      <c r="F18" s="56"/>
      <c r="H18" s="49"/>
      <c r="I18" s="49"/>
      <c r="J18" s="49"/>
      <c r="K18" s="49">
        <v>200000</v>
      </c>
      <c r="L18" s="60">
        <v>200000</v>
      </c>
      <c r="N18" s="59"/>
      <c r="O18" s="59"/>
      <c r="P18" s="59"/>
      <c r="R18" s="60"/>
    </row>
    <row r="19" spans="1:18">
      <c r="A19" s="62" t="s">
        <v>155</v>
      </c>
      <c r="D19" s="52"/>
      <c r="E19" s="52"/>
      <c r="F19" s="56"/>
      <c r="H19" s="49"/>
      <c r="I19" s="49"/>
      <c r="J19" s="49"/>
      <c r="K19" s="49"/>
      <c r="L19" s="60">
        <v>0</v>
      </c>
      <c r="N19" s="59"/>
      <c r="O19" s="59"/>
      <c r="P19" s="59"/>
      <c r="R19" s="60"/>
    </row>
    <row r="20" spans="1:18">
      <c r="A20" s="62" t="s">
        <v>156</v>
      </c>
      <c r="D20" s="52"/>
      <c r="E20" s="52"/>
      <c r="F20" s="56"/>
      <c r="H20" s="49"/>
      <c r="I20" s="49"/>
      <c r="J20" s="49"/>
      <c r="K20" s="49"/>
      <c r="L20" s="60">
        <v>0</v>
      </c>
      <c r="N20" s="59"/>
      <c r="O20" s="59"/>
      <c r="P20" s="59"/>
      <c r="R20" s="60"/>
    </row>
    <row r="21" spans="1:18">
      <c r="A21" s="61" t="s">
        <v>157</v>
      </c>
      <c r="D21" s="52"/>
      <c r="E21" s="52"/>
      <c r="F21" s="56"/>
      <c r="H21" s="57">
        <v>0</v>
      </c>
      <c r="I21" s="57">
        <v>0</v>
      </c>
      <c r="J21" s="57">
        <v>0</v>
      </c>
      <c r="K21" s="57">
        <v>0</v>
      </c>
      <c r="L21" s="58">
        <v>0</v>
      </c>
      <c r="N21" s="59">
        <v>0</v>
      </c>
      <c r="O21" s="59">
        <v>0</v>
      </c>
      <c r="P21" s="59">
        <v>0</v>
      </c>
      <c r="Q21" s="59">
        <v>0</v>
      </c>
      <c r="R21" s="60">
        <v>0</v>
      </c>
    </row>
    <row r="22" spans="1:18">
      <c r="A22" s="62" t="s">
        <v>153</v>
      </c>
      <c r="D22" s="52"/>
      <c r="E22" s="52"/>
      <c r="F22" s="56"/>
      <c r="H22" s="63">
        <v>0</v>
      </c>
      <c r="I22" s="63">
        <v>0</v>
      </c>
      <c r="J22" s="63">
        <v>0</v>
      </c>
      <c r="K22" s="63">
        <v>0</v>
      </c>
      <c r="L22" s="60">
        <v>0</v>
      </c>
      <c r="N22" s="59"/>
      <c r="O22" s="59"/>
      <c r="P22" s="59"/>
      <c r="R22" s="60"/>
    </row>
    <row r="23" spans="1:18">
      <c r="A23" s="62" t="s">
        <v>154</v>
      </c>
      <c r="D23" s="52"/>
      <c r="E23" s="52"/>
      <c r="F23" s="56"/>
      <c r="H23" s="49"/>
      <c r="I23" s="49"/>
      <c r="J23" s="49"/>
      <c r="K23" s="49"/>
      <c r="L23" s="60">
        <v>0</v>
      </c>
      <c r="N23" s="59"/>
      <c r="O23" s="59"/>
      <c r="P23" s="59"/>
      <c r="R23" s="60"/>
    </row>
    <row r="24" spans="1:18">
      <c r="A24" s="62" t="s">
        <v>156</v>
      </c>
      <c r="D24" s="52"/>
      <c r="E24" s="52"/>
      <c r="F24" s="56"/>
      <c r="H24" s="49"/>
      <c r="I24" s="49"/>
      <c r="J24" s="49"/>
      <c r="K24" s="49"/>
      <c r="L24" s="60">
        <v>0</v>
      </c>
      <c r="N24" s="59"/>
      <c r="O24" s="59"/>
      <c r="P24" s="59"/>
      <c r="R24" s="60"/>
    </row>
    <row r="25" spans="1:18">
      <c r="A25" s="53" t="s">
        <v>161</v>
      </c>
      <c r="B25" s="50" t="s">
        <v>162</v>
      </c>
      <c r="C25" s="51" t="s">
        <v>149</v>
      </c>
      <c r="D25" s="52"/>
      <c r="E25" s="52"/>
      <c r="F25" s="56" t="s">
        <v>163</v>
      </c>
      <c r="G25" s="51" t="s">
        <v>160</v>
      </c>
      <c r="H25" s="57">
        <v>0</v>
      </c>
      <c r="I25" s="57">
        <v>0</v>
      </c>
      <c r="J25" s="57">
        <v>0</v>
      </c>
      <c r="K25" s="57">
        <v>0</v>
      </c>
      <c r="L25" s="58">
        <v>0</v>
      </c>
      <c r="M25" s="67">
        <v>1</v>
      </c>
      <c r="N25" s="59">
        <v>0</v>
      </c>
      <c r="O25" s="59">
        <v>0</v>
      </c>
      <c r="P25" s="59">
        <v>0</v>
      </c>
      <c r="Q25" s="59">
        <v>0</v>
      </c>
      <c r="R25" s="60">
        <v>0</v>
      </c>
    </row>
    <row r="26" spans="1:18">
      <c r="A26" s="61" t="s">
        <v>152</v>
      </c>
      <c r="D26" s="52"/>
      <c r="E26" s="52"/>
      <c r="F26" s="56"/>
      <c r="H26" s="57">
        <v>0</v>
      </c>
      <c r="I26" s="57">
        <v>0</v>
      </c>
      <c r="J26" s="57">
        <v>0</v>
      </c>
      <c r="K26" s="57">
        <v>0</v>
      </c>
      <c r="L26" s="58">
        <v>0</v>
      </c>
      <c r="N26" s="59">
        <v>0</v>
      </c>
      <c r="O26" s="59">
        <v>0</v>
      </c>
      <c r="P26" s="59">
        <v>0</v>
      </c>
      <c r="Q26" s="59">
        <v>0</v>
      </c>
      <c r="R26" s="60">
        <v>0</v>
      </c>
    </row>
    <row r="27" spans="1:18">
      <c r="A27" s="62" t="s">
        <v>153</v>
      </c>
      <c r="D27" s="52"/>
      <c r="E27" s="52"/>
      <c r="F27" s="56"/>
      <c r="H27" s="49"/>
      <c r="I27" s="49"/>
      <c r="J27" s="49"/>
      <c r="K27" s="49"/>
      <c r="L27" s="60">
        <v>0</v>
      </c>
      <c r="N27" s="59"/>
      <c r="O27" s="59"/>
      <c r="P27" s="59"/>
      <c r="R27" s="60"/>
    </row>
    <row r="28" spans="1:18">
      <c r="A28" s="62" t="s">
        <v>154</v>
      </c>
      <c r="D28" s="52"/>
      <c r="E28" s="52"/>
      <c r="F28" s="56"/>
      <c r="H28" s="49"/>
      <c r="I28" s="49"/>
      <c r="J28" s="49"/>
      <c r="K28" s="49"/>
      <c r="L28" s="60">
        <v>0</v>
      </c>
      <c r="N28" s="59"/>
      <c r="O28" s="59"/>
      <c r="P28" s="59"/>
      <c r="R28" s="60"/>
    </row>
    <row r="29" spans="1:18">
      <c r="A29" s="62" t="s">
        <v>155</v>
      </c>
      <c r="D29" s="52"/>
      <c r="E29" s="52"/>
      <c r="F29" s="56"/>
      <c r="H29" s="49"/>
      <c r="I29" s="49"/>
      <c r="J29" s="49"/>
      <c r="K29" s="49"/>
      <c r="L29" s="60">
        <v>0</v>
      </c>
      <c r="N29" s="59"/>
      <c r="O29" s="59"/>
      <c r="P29" s="59"/>
      <c r="R29" s="60"/>
    </row>
    <row r="30" spans="1:18">
      <c r="A30" s="62" t="s">
        <v>156</v>
      </c>
      <c r="D30" s="52"/>
      <c r="E30" s="52"/>
      <c r="F30" s="56"/>
      <c r="H30" s="49"/>
      <c r="I30" s="49"/>
      <c r="J30" s="49"/>
      <c r="K30" s="49"/>
      <c r="L30" s="60">
        <v>0</v>
      </c>
      <c r="N30" s="59"/>
      <c r="O30" s="59"/>
      <c r="P30" s="59"/>
      <c r="R30" s="60"/>
    </row>
    <row r="31" spans="1:18">
      <c r="A31" s="61" t="s">
        <v>157</v>
      </c>
      <c r="D31" s="52"/>
      <c r="E31" s="52"/>
      <c r="F31" s="56"/>
      <c r="H31" s="57">
        <v>0</v>
      </c>
      <c r="I31" s="57">
        <v>0</v>
      </c>
      <c r="J31" s="57">
        <v>0</v>
      </c>
      <c r="K31" s="57">
        <v>0</v>
      </c>
      <c r="L31" s="58">
        <v>0</v>
      </c>
      <c r="N31" s="59">
        <v>0</v>
      </c>
      <c r="O31" s="59">
        <v>0</v>
      </c>
      <c r="P31" s="59">
        <v>0</v>
      </c>
      <c r="Q31" s="59">
        <v>0</v>
      </c>
      <c r="R31" s="60">
        <v>0</v>
      </c>
    </row>
    <row r="32" spans="1:18">
      <c r="A32" s="62" t="s">
        <v>153</v>
      </c>
      <c r="D32" s="52"/>
      <c r="E32" s="52"/>
      <c r="F32" s="56"/>
      <c r="H32" s="63">
        <v>0</v>
      </c>
      <c r="I32" s="63">
        <v>0</v>
      </c>
      <c r="J32" s="63">
        <v>0</v>
      </c>
      <c r="K32" s="63">
        <v>0</v>
      </c>
      <c r="L32" s="60">
        <v>0</v>
      </c>
      <c r="N32" s="59"/>
      <c r="O32" s="59"/>
      <c r="P32" s="59"/>
      <c r="R32" s="60"/>
    </row>
    <row r="33" spans="1:18">
      <c r="A33" s="62" t="s">
        <v>154</v>
      </c>
      <c r="D33" s="52"/>
      <c r="E33" s="52"/>
      <c r="F33" s="56"/>
      <c r="H33" s="49"/>
      <c r="I33" s="49"/>
      <c r="J33" s="49"/>
      <c r="K33" s="49"/>
      <c r="L33" s="60">
        <v>0</v>
      </c>
      <c r="N33" s="59"/>
      <c r="O33" s="59"/>
      <c r="P33" s="59"/>
      <c r="R33" s="60"/>
    </row>
    <row r="34" spans="1:18">
      <c r="A34" s="62" t="s">
        <v>156</v>
      </c>
      <c r="D34" s="52"/>
      <c r="E34" s="52"/>
      <c r="F34" s="56"/>
      <c r="H34" s="49"/>
      <c r="I34" s="49"/>
      <c r="J34" s="49"/>
      <c r="K34" s="49"/>
      <c r="L34" s="60">
        <v>0</v>
      </c>
      <c r="N34" s="59"/>
      <c r="O34" s="59"/>
      <c r="P34" s="59"/>
      <c r="R34" s="60"/>
    </row>
    <row r="35" spans="1:18">
      <c r="A35" s="53" t="s">
        <v>164</v>
      </c>
      <c r="B35" s="50" t="s">
        <v>165</v>
      </c>
      <c r="C35" s="51" t="s">
        <v>149</v>
      </c>
      <c r="D35" s="52"/>
      <c r="E35" s="52"/>
      <c r="F35" s="56" t="s">
        <v>166</v>
      </c>
      <c r="G35" s="51" t="s">
        <v>167</v>
      </c>
      <c r="H35" s="57">
        <v>142154</v>
      </c>
      <c r="I35" s="57">
        <v>258315</v>
      </c>
      <c r="J35" s="57">
        <v>193511</v>
      </c>
      <c r="K35" s="57">
        <v>193511</v>
      </c>
      <c r="L35" s="58">
        <v>787491</v>
      </c>
      <c r="M35" s="67">
        <v>1</v>
      </c>
      <c r="N35" s="59">
        <v>142154</v>
      </c>
      <c r="O35" s="59">
        <v>258315</v>
      </c>
      <c r="P35" s="59">
        <v>193511</v>
      </c>
      <c r="Q35" s="59">
        <v>193511</v>
      </c>
      <c r="R35" s="60">
        <v>787491</v>
      </c>
    </row>
    <row r="36" spans="1:18">
      <c r="A36" s="61" t="s">
        <v>152</v>
      </c>
      <c r="D36" s="52"/>
      <c r="E36" s="52"/>
      <c r="F36" s="56"/>
      <c r="H36" s="57">
        <v>0</v>
      </c>
      <c r="I36" s="57">
        <v>0</v>
      </c>
      <c r="J36" s="57">
        <v>0</v>
      </c>
      <c r="K36" s="57">
        <v>0</v>
      </c>
      <c r="L36" s="58">
        <v>0</v>
      </c>
      <c r="N36" s="59">
        <v>0</v>
      </c>
      <c r="O36" s="59">
        <v>0</v>
      </c>
      <c r="P36" s="59">
        <v>0</v>
      </c>
      <c r="Q36" s="59">
        <v>0</v>
      </c>
      <c r="R36" s="60">
        <v>0</v>
      </c>
    </row>
    <row r="37" spans="1:18">
      <c r="A37" s="62" t="s">
        <v>153</v>
      </c>
      <c r="D37" s="52"/>
      <c r="E37" s="52"/>
      <c r="F37" s="56"/>
      <c r="H37" s="49"/>
      <c r="I37" s="49"/>
      <c r="J37" s="49"/>
      <c r="K37" s="49"/>
      <c r="L37" s="60">
        <v>0</v>
      </c>
      <c r="N37" s="59"/>
      <c r="O37" s="59"/>
      <c r="P37" s="59"/>
      <c r="R37" s="60"/>
    </row>
    <row r="38" spans="1:18">
      <c r="A38" s="62" t="s">
        <v>154</v>
      </c>
      <c r="D38" s="52"/>
      <c r="E38" s="52"/>
      <c r="F38" s="56"/>
      <c r="H38" s="49"/>
      <c r="I38" s="49"/>
      <c r="J38" s="49"/>
      <c r="K38" s="49"/>
      <c r="L38" s="60">
        <v>0</v>
      </c>
      <c r="N38" s="59"/>
      <c r="O38" s="59"/>
      <c r="P38" s="59"/>
      <c r="R38" s="60"/>
    </row>
    <row r="39" spans="1:18">
      <c r="A39" s="62" t="s">
        <v>155</v>
      </c>
      <c r="D39" s="52"/>
      <c r="E39" s="52"/>
      <c r="F39" s="56"/>
      <c r="H39" s="49"/>
      <c r="I39" s="49"/>
      <c r="J39" s="49"/>
      <c r="K39" s="49"/>
      <c r="L39" s="60">
        <v>0</v>
      </c>
      <c r="N39" s="59"/>
      <c r="O39" s="59"/>
      <c r="P39" s="59"/>
      <c r="R39" s="60"/>
    </row>
    <row r="40" spans="1:18">
      <c r="A40" s="62" t="s">
        <v>156</v>
      </c>
      <c r="D40" s="52"/>
      <c r="E40" s="52"/>
      <c r="F40" s="56"/>
      <c r="H40" s="49"/>
      <c r="I40" s="49"/>
      <c r="J40" s="49"/>
      <c r="K40" s="49"/>
      <c r="L40" s="60">
        <v>0</v>
      </c>
      <c r="N40" s="59"/>
      <c r="O40" s="59"/>
      <c r="P40" s="59"/>
      <c r="R40" s="60"/>
    </row>
    <row r="41" spans="1:18">
      <c r="A41" s="61" t="s">
        <v>157</v>
      </c>
      <c r="D41" s="52"/>
      <c r="E41" s="52"/>
      <c r="F41" s="56"/>
      <c r="H41" s="57">
        <v>142154</v>
      </c>
      <c r="I41" s="57">
        <v>258315</v>
      </c>
      <c r="J41" s="57">
        <v>193511</v>
      </c>
      <c r="K41" s="57">
        <v>193511</v>
      </c>
      <c r="L41" s="58">
        <v>787491</v>
      </c>
      <c r="N41" s="59">
        <v>142154</v>
      </c>
      <c r="O41" s="59">
        <v>258315</v>
      </c>
      <c r="P41" s="59">
        <v>193511</v>
      </c>
      <c r="Q41" s="59">
        <v>193511</v>
      </c>
      <c r="R41" s="60">
        <v>787491</v>
      </c>
    </row>
    <row r="42" spans="1:18">
      <c r="A42" s="62" t="s">
        <v>153</v>
      </c>
      <c r="D42" s="52"/>
      <c r="E42" s="52"/>
      <c r="F42" s="56"/>
      <c r="H42" s="63">
        <v>142154</v>
      </c>
      <c r="I42" s="63">
        <v>258315</v>
      </c>
      <c r="J42" s="63">
        <v>193511</v>
      </c>
      <c r="K42" s="63">
        <v>193511</v>
      </c>
      <c r="L42" s="60">
        <v>787491</v>
      </c>
      <c r="N42" s="59"/>
      <c r="O42" s="59"/>
      <c r="P42" s="59"/>
      <c r="R42" s="60"/>
    </row>
    <row r="43" spans="1:18">
      <c r="A43" s="62" t="s">
        <v>154</v>
      </c>
      <c r="D43" s="52"/>
      <c r="E43" s="52"/>
      <c r="F43" s="56"/>
      <c r="H43" s="49"/>
      <c r="I43" s="49"/>
      <c r="J43" s="49"/>
      <c r="K43" s="49"/>
      <c r="L43" s="60">
        <v>0</v>
      </c>
      <c r="N43" s="59"/>
      <c r="O43" s="59"/>
      <c r="P43" s="59"/>
      <c r="R43" s="60"/>
    </row>
    <row r="44" spans="1:18">
      <c r="A44" s="62" t="s">
        <v>156</v>
      </c>
      <c r="D44" s="52"/>
      <c r="E44" s="52"/>
      <c r="F44" s="56"/>
      <c r="H44" s="49"/>
      <c r="I44" s="49"/>
      <c r="J44" s="49"/>
      <c r="K44" s="49"/>
      <c r="L44" s="60">
        <v>0</v>
      </c>
      <c r="N44" s="59"/>
      <c r="O44" s="59"/>
      <c r="P44" s="59"/>
      <c r="R44" s="60"/>
    </row>
    <row r="45" spans="1:18">
      <c r="A45" s="53" t="s">
        <v>168</v>
      </c>
      <c r="B45" s="50" t="s">
        <v>165</v>
      </c>
      <c r="C45" s="51" t="s">
        <v>149</v>
      </c>
      <c r="D45" s="52"/>
      <c r="E45" s="52"/>
      <c r="F45" s="56" t="s">
        <v>169</v>
      </c>
      <c r="G45" s="51" t="s">
        <v>170</v>
      </c>
      <c r="H45" s="57">
        <v>376495</v>
      </c>
      <c r="I45" s="57">
        <v>185245</v>
      </c>
      <c r="J45" s="57">
        <v>36711.5</v>
      </c>
      <c r="K45" s="57">
        <v>36711.5</v>
      </c>
      <c r="L45" s="58">
        <v>635163</v>
      </c>
      <c r="M45" s="67">
        <v>1</v>
      </c>
      <c r="N45" s="59">
        <v>376495</v>
      </c>
      <c r="O45" s="59">
        <v>185245</v>
      </c>
      <c r="P45" s="59">
        <v>36711.5</v>
      </c>
      <c r="Q45" s="59">
        <v>36711.5</v>
      </c>
      <c r="R45" s="60">
        <v>635163</v>
      </c>
    </row>
    <row r="46" spans="1:18">
      <c r="A46" s="61" t="s">
        <v>152</v>
      </c>
      <c r="D46" s="52"/>
      <c r="E46" s="52"/>
      <c r="F46" s="56"/>
      <c r="H46" s="57">
        <v>0</v>
      </c>
      <c r="I46" s="57">
        <v>0</v>
      </c>
      <c r="J46" s="57">
        <v>0</v>
      </c>
      <c r="K46" s="57">
        <v>0</v>
      </c>
      <c r="L46" s="58">
        <v>0</v>
      </c>
      <c r="N46" s="59">
        <v>0</v>
      </c>
      <c r="O46" s="59">
        <v>0</v>
      </c>
      <c r="P46" s="59">
        <v>0</v>
      </c>
      <c r="Q46" s="59">
        <v>0</v>
      </c>
      <c r="R46" s="60">
        <v>0</v>
      </c>
    </row>
    <row r="47" spans="1:18">
      <c r="A47" s="62" t="s">
        <v>153</v>
      </c>
      <c r="D47" s="52"/>
      <c r="E47" s="52"/>
      <c r="F47" s="56"/>
      <c r="H47" s="49"/>
      <c r="I47" s="49"/>
      <c r="J47" s="49"/>
      <c r="K47" s="49"/>
      <c r="L47" s="60">
        <v>0</v>
      </c>
      <c r="N47" s="59"/>
      <c r="O47" s="59"/>
      <c r="P47" s="59"/>
      <c r="R47" s="60"/>
    </row>
    <row r="48" spans="1:18">
      <c r="A48" s="62" t="s">
        <v>154</v>
      </c>
      <c r="D48" s="52"/>
      <c r="E48" s="52"/>
      <c r="F48" s="56"/>
      <c r="H48" s="49"/>
      <c r="I48" s="49"/>
      <c r="J48" s="49"/>
      <c r="K48" s="49"/>
      <c r="L48" s="60">
        <v>0</v>
      </c>
      <c r="N48" s="59"/>
      <c r="O48" s="59"/>
      <c r="P48" s="59"/>
      <c r="R48" s="60"/>
    </row>
    <row r="49" spans="1:18">
      <c r="A49" s="62" t="s">
        <v>155</v>
      </c>
      <c r="D49" s="52"/>
      <c r="E49" s="52"/>
      <c r="F49" s="56"/>
      <c r="H49" s="49"/>
      <c r="I49" s="49"/>
      <c r="J49" s="49"/>
      <c r="K49" s="49"/>
      <c r="L49" s="60">
        <v>0</v>
      </c>
      <c r="N49" s="59"/>
      <c r="O49" s="59"/>
      <c r="P49" s="59"/>
      <c r="R49" s="60"/>
    </row>
    <row r="50" spans="1:18">
      <c r="A50" s="62" t="s">
        <v>156</v>
      </c>
      <c r="D50" s="52"/>
      <c r="E50" s="52"/>
      <c r="F50" s="56"/>
      <c r="H50" s="49"/>
      <c r="I50" s="49"/>
      <c r="J50" s="49"/>
      <c r="K50" s="49"/>
      <c r="L50" s="60">
        <v>0</v>
      </c>
      <c r="N50" s="59"/>
      <c r="O50" s="59"/>
      <c r="P50" s="59"/>
      <c r="R50" s="60"/>
    </row>
    <row r="51" spans="1:18">
      <c r="A51" s="61" t="s">
        <v>157</v>
      </c>
      <c r="D51" s="52"/>
      <c r="E51" s="52"/>
      <c r="F51" s="56"/>
      <c r="H51" s="57">
        <v>376495</v>
      </c>
      <c r="I51" s="57">
        <v>185245</v>
      </c>
      <c r="J51" s="57">
        <v>36711.5</v>
      </c>
      <c r="K51" s="57">
        <v>36711.5</v>
      </c>
      <c r="L51" s="58">
        <v>635163</v>
      </c>
      <c r="N51" s="59">
        <v>376495</v>
      </c>
      <c r="O51" s="59">
        <v>185245</v>
      </c>
      <c r="P51" s="59">
        <v>36711.5</v>
      </c>
      <c r="Q51" s="59">
        <v>36711.5</v>
      </c>
      <c r="R51" s="60">
        <v>635163</v>
      </c>
    </row>
    <row r="52" spans="1:18">
      <c r="A52" s="62" t="s">
        <v>153</v>
      </c>
      <c r="D52" s="52"/>
      <c r="E52" s="52"/>
      <c r="F52" s="56"/>
      <c r="H52" s="63">
        <v>301495</v>
      </c>
      <c r="I52" s="63">
        <v>110245</v>
      </c>
      <c r="J52" s="63">
        <v>36711.5</v>
      </c>
      <c r="K52" s="63">
        <v>36711.5</v>
      </c>
      <c r="L52" s="60">
        <v>485163</v>
      </c>
      <c r="N52" s="59"/>
      <c r="O52" s="59"/>
      <c r="P52" s="59"/>
      <c r="R52" s="60"/>
    </row>
    <row r="53" spans="1:18">
      <c r="A53" s="62" t="s">
        <v>154</v>
      </c>
      <c r="D53" s="52"/>
      <c r="E53" s="52"/>
      <c r="F53" s="56"/>
      <c r="H53" s="49">
        <v>75000</v>
      </c>
      <c r="I53" s="49">
        <v>75000</v>
      </c>
      <c r="J53" s="49"/>
      <c r="K53" s="49"/>
      <c r="L53" s="60">
        <v>150000</v>
      </c>
      <c r="N53" s="59"/>
      <c r="O53" s="59"/>
      <c r="P53" s="59"/>
      <c r="R53" s="60"/>
    </row>
    <row r="54" spans="1:18">
      <c r="A54" s="62" t="s">
        <v>156</v>
      </c>
      <c r="D54" s="52"/>
      <c r="E54" s="52"/>
      <c r="F54" s="56"/>
      <c r="H54" s="59"/>
      <c r="I54" s="59"/>
      <c r="J54" s="59"/>
      <c r="L54" s="60">
        <v>0</v>
      </c>
      <c r="N54" s="59"/>
      <c r="O54" s="59"/>
      <c r="P54" s="59"/>
      <c r="R54" s="60"/>
    </row>
    <row r="55" spans="1:18">
      <c r="A55" s="53" t="s">
        <v>171</v>
      </c>
      <c r="B55" s="50" t="s">
        <v>165</v>
      </c>
      <c r="C55" s="51" t="s">
        <v>149</v>
      </c>
      <c r="D55" s="52"/>
      <c r="E55" s="52"/>
      <c r="F55" s="56" t="s">
        <v>163</v>
      </c>
      <c r="G55" s="51" t="s">
        <v>160</v>
      </c>
      <c r="H55" s="57">
        <v>250000</v>
      </c>
      <c r="I55" s="57">
        <v>0</v>
      </c>
      <c r="J55" s="57">
        <v>0</v>
      </c>
      <c r="K55" s="57">
        <v>0</v>
      </c>
      <c r="L55" s="58">
        <v>250000</v>
      </c>
      <c r="M55" s="67">
        <v>1</v>
      </c>
      <c r="N55" s="59">
        <v>250000</v>
      </c>
      <c r="O55" s="59">
        <v>0</v>
      </c>
      <c r="P55" s="59">
        <v>0</v>
      </c>
      <c r="Q55" s="59">
        <v>0</v>
      </c>
      <c r="R55" s="60">
        <v>250000</v>
      </c>
    </row>
    <row r="56" spans="1:18">
      <c r="A56" s="61" t="s">
        <v>152</v>
      </c>
      <c r="D56" s="52"/>
      <c r="E56" s="52"/>
      <c r="F56" s="56"/>
      <c r="H56" s="57">
        <v>0</v>
      </c>
      <c r="I56" s="57">
        <v>0</v>
      </c>
      <c r="J56" s="57">
        <v>0</v>
      </c>
      <c r="K56" s="57">
        <v>0</v>
      </c>
      <c r="L56" s="58">
        <v>0</v>
      </c>
      <c r="N56" s="59">
        <v>0</v>
      </c>
      <c r="O56" s="59">
        <v>0</v>
      </c>
      <c r="P56" s="59">
        <v>0</v>
      </c>
      <c r="Q56" s="59">
        <v>0</v>
      </c>
      <c r="R56" s="60">
        <v>0</v>
      </c>
    </row>
    <row r="57" spans="1:18">
      <c r="A57" s="62" t="s">
        <v>153</v>
      </c>
      <c r="D57" s="52"/>
      <c r="E57" s="52"/>
      <c r="F57" s="56"/>
      <c r="H57" s="49"/>
      <c r="I57" s="49"/>
      <c r="J57" s="49"/>
      <c r="K57" s="49"/>
      <c r="L57" s="60">
        <v>0</v>
      </c>
      <c r="N57" s="59"/>
      <c r="O57" s="59"/>
      <c r="P57" s="59"/>
      <c r="R57" s="60"/>
    </row>
    <row r="58" spans="1:18">
      <c r="A58" s="62" t="s">
        <v>154</v>
      </c>
      <c r="D58" s="52"/>
      <c r="E58" s="52"/>
      <c r="F58" s="56"/>
      <c r="H58" s="49"/>
      <c r="I58" s="49"/>
      <c r="J58" s="49"/>
      <c r="K58" s="49"/>
      <c r="L58" s="60">
        <v>0</v>
      </c>
      <c r="N58" s="59"/>
      <c r="O58" s="59"/>
      <c r="P58" s="59"/>
      <c r="R58" s="60"/>
    </row>
    <row r="59" spans="1:18">
      <c r="A59" s="62" t="s">
        <v>155</v>
      </c>
      <c r="D59" s="52"/>
      <c r="E59" s="52"/>
      <c r="F59" s="56"/>
      <c r="H59" s="49"/>
      <c r="I59" s="49"/>
      <c r="J59" s="49"/>
      <c r="K59" s="49"/>
      <c r="L59" s="60">
        <v>0</v>
      </c>
      <c r="N59" s="59"/>
      <c r="O59" s="59"/>
      <c r="P59" s="59"/>
      <c r="R59" s="60"/>
    </row>
    <row r="60" spans="1:18">
      <c r="A60" s="62" t="s">
        <v>156</v>
      </c>
      <c r="D60" s="52"/>
      <c r="E60" s="52"/>
      <c r="F60" s="56"/>
      <c r="H60" s="49"/>
      <c r="I60" s="49"/>
      <c r="J60" s="49"/>
      <c r="K60" s="49"/>
      <c r="L60" s="60">
        <v>0</v>
      </c>
      <c r="N60" s="59"/>
      <c r="O60" s="59"/>
      <c r="P60" s="59"/>
      <c r="R60" s="60"/>
    </row>
    <row r="61" spans="1:18">
      <c r="A61" s="61" t="s">
        <v>157</v>
      </c>
      <c r="D61" s="52"/>
      <c r="E61" s="52"/>
      <c r="F61" s="56"/>
      <c r="H61" s="57">
        <v>250000</v>
      </c>
      <c r="I61" s="57">
        <v>0</v>
      </c>
      <c r="J61" s="57">
        <v>0</v>
      </c>
      <c r="K61" s="57">
        <v>0</v>
      </c>
      <c r="L61" s="58">
        <v>250000</v>
      </c>
      <c r="N61" s="59">
        <v>250000</v>
      </c>
      <c r="O61" s="59">
        <v>0</v>
      </c>
      <c r="P61" s="59">
        <v>0</v>
      </c>
      <c r="Q61" s="59">
        <v>0</v>
      </c>
      <c r="R61" s="60">
        <v>250000</v>
      </c>
    </row>
    <row r="62" spans="1:18">
      <c r="A62" s="62" t="s">
        <v>153</v>
      </c>
      <c r="D62" s="52"/>
      <c r="E62" s="52"/>
      <c r="F62" s="56"/>
      <c r="H62" s="63">
        <v>0</v>
      </c>
      <c r="I62" s="63">
        <v>0</v>
      </c>
      <c r="J62" s="63">
        <v>0</v>
      </c>
      <c r="K62" s="63">
        <v>0</v>
      </c>
      <c r="L62" s="60">
        <v>0</v>
      </c>
      <c r="N62" s="59"/>
      <c r="O62" s="59"/>
      <c r="P62" s="59"/>
      <c r="R62" s="60"/>
    </row>
    <row r="63" spans="1:18">
      <c r="A63" s="62" t="s">
        <v>154</v>
      </c>
      <c r="D63" s="52"/>
      <c r="E63" s="52"/>
      <c r="F63" s="56"/>
      <c r="H63" s="49">
        <v>250000</v>
      </c>
      <c r="I63" s="49"/>
      <c r="J63" s="49"/>
      <c r="K63" s="49"/>
      <c r="L63" s="60">
        <v>250000</v>
      </c>
      <c r="N63" s="59"/>
      <c r="O63" s="59"/>
      <c r="P63" s="59"/>
      <c r="R63" s="60"/>
    </row>
    <row r="64" spans="1:18">
      <c r="A64" s="62" t="s">
        <v>156</v>
      </c>
      <c r="D64" s="52"/>
      <c r="E64" s="52"/>
      <c r="F64" s="56"/>
      <c r="H64" s="49"/>
      <c r="I64" s="49"/>
      <c r="J64" s="49"/>
      <c r="K64" s="49"/>
      <c r="L64" s="60">
        <v>0</v>
      </c>
      <c r="N64" s="59"/>
      <c r="O64" s="59"/>
      <c r="P64" s="59"/>
      <c r="R64" s="60"/>
    </row>
    <row r="65" spans="1:18">
      <c r="A65" s="53" t="s">
        <v>172</v>
      </c>
      <c r="B65" s="50" t="s">
        <v>165</v>
      </c>
      <c r="C65" s="51" t="s">
        <v>173</v>
      </c>
      <c r="D65" s="52"/>
      <c r="E65" s="52"/>
      <c r="F65" s="56" t="s">
        <v>174</v>
      </c>
      <c r="G65" s="51" t="s">
        <v>175</v>
      </c>
      <c r="H65" s="57">
        <v>1200000</v>
      </c>
      <c r="I65" s="57">
        <v>3300000</v>
      </c>
      <c r="J65" s="57">
        <v>0</v>
      </c>
      <c r="K65" s="57">
        <v>0</v>
      </c>
      <c r="L65" s="58">
        <v>4500000</v>
      </c>
      <c r="M65" s="67">
        <v>1</v>
      </c>
      <c r="N65" s="59">
        <v>1200000</v>
      </c>
      <c r="O65" s="59">
        <v>3300000</v>
      </c>
      <c r="P65" s="59">
        <v>0</v>
      </c>
      <c r="Q65" s="59">
        <v>0</v>
      </c>
      <c r="R65" s="60">
        <v>4500000</v>
      </c>
    </row>
    <row r="66" spans="1:18">
      <c r="A66" s="61" t="s">
        <v>152</v>
      </c>
      <c r="D66" s="52"/>
      <c r="E66" s="52"/>
      <c r="F66" s="56"/>
      <c r="H66" s="57">
        <v>1200000</v>
      </c>
      <c r="I66" s="57">
        <v>3300000</v>
      </c>
      <c r="J66" s="57">
        <v>0</v>
      </c>
      <c r="K66" s="57">
        <v>0</v>
      </c>
      <c r="L66" s="58">
        <v>4500000</v>
      </c>
      <c r="N66" s="59">
        <v>1200000</v>
      </c>
      <c r="O66" s="59">
        <v>3300000</v>
      </c>
      <c r="P66" s="59">
        <v>0</v>
      </c>
      <c r="Q66" s="59">
        <v>0</v>
      </c>
      <c r="R66" s="60">
        <v>4500000</v>
      </c>
    </row>
    <row r="67" spans="1:18">
      <c r="A67" s="62" t="s">
        <v>153</v>
      </c>
      <c r="D67" s="52"/>
      <c r="E67" s="52"/>
      <c r="F67" s="56"/>
      <c r="H67" s="49"/>
      <c r="I67" s="49"/>
      <c r="J67" s="49"/>
      <c r="K67" s="49"/>
      <c r="L67" s="60">
        <v>0</v>
      </c>
      <c r="N67" s="59"/>
      <c r="O67" s="59"/>
      <c r="P67" s="59"/>
      <c r="R67" s="60"/>
    </row>
    <row r="68" spans="1:18">
      <c r="A68" s="62" t="s">
        <v>154</v>
      </c>
      <c r="D68" s="52"/>
      <c r="E68" s="52"/>
      <c r="F68" s="56"/>
      <c r="H68" s="49">
        <v>200000</v>
      </c>
      <c r="I68" s="49">
        <v>300000</v>
      </c>
      <c r="J68" s="49"/>
      <c r="K68" s="49"/>
      <c r="L68" s="60">
        <v>500000</v>
      </c>
      <c r="N68" s="59"/>
      <c r="O68" s="59"/>
      <c r="P68" s="59"/>
      <c r="R68" s="60"/>
    </row>
    <row r="69" spans="1:18">
      <c r="A69" s="62" t="s">
        <v>155</v>
      </c>
      <c r="D69" s="52"/>
      <c r="E69" s="52"/>
      <c r="F69" s="56"/>
      <c r="H69" s="49"/>
      <c r="I69" s="49"/>
      <c r="J69" s="49"/>
      <c r="K69" s="49"/>
      <c r="L69" s="60">
        <v>0</v>
      </c>
      <c r="N69" s="59"/>
      <c r="O69" s="59"/>
      <c r="P69" s="59"/>
      <c r="R69" s="60"/>
    </row>
    <row r="70" spans="1:18">
      <c r="A70" s="62" t="s">
        <v>156</v>
      </c>
      <c r="D70" s="52"/>
      <c r="E70" s="52"/>
      <c r="F70" s="56"/>
      <c r="H70" s="49">
        <v>1000000</v>
      </c>
      <c r="I70" s="49">
        <v>3000000</v>
      </c>
      <c r="J70" s="49"/>
      <c r="K70" s="49"/>
      <c r="L70" s="60">
        <v>4000000</v>
      </c>
      <c r="N70" s="59"/>
      <c r="O70" s="59"/>
      <c r="P70" s="59"/>
      <c r="R70" s="60"/>
    </row>
    <row r="71" spans="1:18">
      <c r="A71" s="61" t="s">
        <v>157</v>
      </c>
      <c r="D71" s="52"/>
      <c r="E71" s="52"/>
      <c r="F71" s="56"/>
      <c r="H71" s="57">
        <v>0</v>
      </c>
      <c r="I71" s="57">
        <v>0</v>
      </c>
      <c r="J71" s="57">
        <v>0</v>
      </c>
      <c r="K71" s="57">
        <v>0</v>
      </c>
      <c r="L71" s="58">
        <v>0</v>
      </c>
      <c r="N71" s="59">
        <v>0</v>
      </c>
      <c r="O71" s="59">
        <v>0</v>
      </c>
      <c r="P71" s="59">
        <v>0</v>
      </c>
      <c r="Q71" s="59">
        <v>0</v>
      </c>
      <c r="R71" s="60">
        <v>0</v>
      </c>
    </row>
    <row r="72" spans="1:18">
      <c r="A72" s="62" t="s">
        <v>153</v>
      </c>
      <c r="D72" s="52"/>
      <c r="E72" s="52"/>
      <c r="F72" s="56"/>
      <c r="H72" s="63">
        <v>0</v>
      </c>
      <c r="I72" s="63">
        <v>0</v>
      </c>
      <c r="J72" s="63">
        <v>0</v>
      </c>
      <c r="K72" s="63">
        <v>0</v>
      </c>
      <c r="L72" s="60">
        <v>0</v>
      </c>
      <c r="N72" s="59"/>
      <c r="O72" s="59"/>
      <c r="P72" s="59"/>
      <c r="R72" s="60"/>
    </row>
    <row r="73" spans="1:18">
      <c r="A73" s="62" t="s">
        <v>154</v>
      </c>
      <c r="D73" s="52"/>
      <c r="E73" s="52"/>
      <c r="F73" s="56"/>
      <c r="H73" s="49"/>
      <c r="I73" s="49"/>
      <c r="J73" s="49"/>
      <c r="K73" s="49"/>
      <c r="L73" s="60">
        <v>0</v>
      </c>
      <c r="N73" s="59"/>
      <c r="O73" s="59"/>
      <c r="P73" s="59"/>
      <c r="R73" s="60"/>
    </row>
    <row r="74" spans="1:18">
      <c r="A74" s="62" t="s">
        <v>156</v>
      </c>
      <c r="D74" s="52"/>
      <c r="E74" s="52"/>
      <c r="F74" s="56"/>
      <c r="H74" s="49"/>
      <c r="I74" s="49"/>
      <c r="J74" s="49"/>
      <c r="K74" s="49"/>
      <c r="L74" s="60">
        <v>0</v>
      </c>
      <c r="N74" s="59"/>
      <c r="O74" s="59"/>
      <c r="P74" s="59"/>
      <c r="R74" s="60"/>
    </row>
    <row r="75" spans="1:18">
      <c r="A75" s="53" t="s">
        <v>176</v>
      </c>
      <c r="B75" s="50" t="s">
        <v>165</v>
      </c>
      <c r="C75" s="51" t="s">
        <v>173</v>
      </c>
      <c r="D75" s="52"/>
      <c r="E75" s="52"/>
      <c r="F75" s="56" t="s">
        <v>177</v>
      </c>
      <c r="G75" s="51" t="s">
        <v>167</v>
      </c>
      <c r="H75" s="57">
        <v>0</v>
      </c>
      <c r="I75" s="57">
        <v>900000</v>
      </c>
      <c r="J75" s="57">
        <v>0</v>
      </c>
      <c r="K75" s="57">
        <v>0</v>
      </c>
      <c r="L75" s="58">
        <v>900000</v>
      </c>
      <c r="M75" s="67">
        <v>1</v>
      </c>
      <c r="N75" s="59">
        <v>0</v>
      </c>
      <c r="O75" s="59">
        <v>900000</v>
      </c>
      <c r="P75" s="59">
        <v>0</v>
      </c>
      <c r="Q75" s="59">
        <v>0</v>
      </c>
      <c r="R75" s="60">
        <v>900000</v>
      </c>
    </row>
    <row r="76" spans="1:18">
      <c r="A76" s="61" t="s">
        <v>152</v>
      </c>
      <c r="D76" s="52"/>
      <c r="E76" s="52"/>
      <c r="F76" s="56"/>
      <c r="H76" s="57">
        <v>0</v>
      </c>
      <c r="I76" s="57">
        <v>900000</v>
      </c>
      <c r="J76" s="57">
        <v>0</v>
      </c>
      <c r="K76" s="57">
        <v>0</v>
      </c>
      <c r="L76" s="58">
        <v>900000</v>
      </c>
      <c r="N76" s="59">
        <v>0</v>
      </c>
      <c r="O76" s="59">
        <v>900000</v>
      </c>
      <c r="P76" s="59">
        <v>0</v>
      </c>
      <c r="Q76" s="59">
        <v>0</v>
      </c>
      <c r="R76" s="60">
        <v>900000</v>
      </c>
    </row>
    <row r="77" spans="1:18">
      <c r="A77" s="62" t="s">
        <v>153</v>
      </c>
      <c r="D77" s="52"/>
      <c r="E77" s="52"/>
      <c r="F77" s="56"/>
      <c r="H77" s="49"/>
      <c r="I77" s="49"/>
      <c r="J77" s="49"/>
      <c r="K77" s="49"/>
      <c r="L77" s="60">
        <v>0</v>
      </c>
      <c r="N77" s="59"/>
      <c r="O77" s="59"/>
      <c r="P77" s="59"/>
      <c r="R77" s="60"/>
    </row>
    <row r="78" spans="1:18">
      <c r="A78" s="62" t="s">
        <v>154</v>
      </c>
      <c r="D78" s="52"/>
      <c r="E78" s="52"/>
      <c r="F78" s="56"/>
      <c r="H78" s="49"/>
      <c r="I78" s="49">
        <v>500000</v>
      </c>
      <c r="J78" s="49"/>
      <c r="K78" s="49"/>
      <c r="L78" s="60">
        <v>500000</v>
      </c>
      <c r="N78" s="59"/>
      <c r="O78" s="59"/>
      <c r="P78" s="59"/>
      <c r="R78" s="60"/>
    </row>
    <row r="79" spans="1:18">
      <c r="A79" s="62" t="s">
        <v>155</v>
      </c>
      <c r="D79" s="52"/>
      <c r="E79" s="52"/>
      <c r="F79" s="56"/>
      <c r="H79" s="49"/>
      <c r="I79" s="49"/>
      <c r="J79" s="49"/>
      <c r="K79" s="49"/>
      <c r="L79" s="60">
        <v>0</v>
      </c>
      <c r="N79" s="59"/>
      <c r="O79" s="59"/>
      <c r="P79" s="59"/>
      <c r="R79" s="60"/>
    </row>
    <row r="80" spans="1:18">
      <c r="A80" s="62" t="s">
        <v>156</v>
      </c>
      <c r="D80" s="52"/>
      <c r="E80" s="52"/>
      <c r="F80" s="56"/>
      <c r="H80" s="49"/>
      <c r="I80" s="49">
        <v>400000</v>
      </c>
      <c r="J80" s="49"/>
      <c r="K80" s="49"/>
      <c r="L80" s="60">
        <v>400000</v>
      </c>
      <c r="N80" s="59"/>
      <c r="O80" s="59"/>
      <c r="P80" s="59"/>
      <c r="R80" s="60"/>
    </row>
    <row r="81" spans="1:18">
      <c r="A81" s="61" t="s">
        <v>157</v>
      </c>
      <c r="D81" s="52"/>
      <c r="E81" s="52"/>
      <c r="F81" s="56"/>
      <c r="H81" s="57">
        <v>0</v>
      </c>
      <c r="I81" s="57">
        <v>0</v>
      </c>
      <c r="J81" s="57">
        <v>0</v>
      </c>
      <c r="K81" s="57">
        <v>0</v>
      </c>
      <c r="L81" s="58">
        <v>0</v>
      </c>
      <c r="N81" s="59">
        <v>0</v>
      </c>
      <c r="O81" s="59">
        <v>0</v>
      </c>
      <c r="P81" s="59">
        <v>0</v>
      </c>
      <c r="Q81" s="59">
        <v>0</v>
      </c>
      <c r="R81" s="60">
        <v>0</v>
      </c>
    </row>
    <row r="82" spans="1:18">
      <c r="A82" s="62" t="s">
        <v>153</v>
      </c>
      <c r="D82" s="52"/>
      <c r="E82" s="52"/>
      <c r="F82" s="56"/>
      <c r="H82" s="63">
        <v>0</v>
      </c>
      <c r="I82" s="63">
        <v>0</v>
      </c>
      <c r="J82" s="63">
        <v>0</v>
      </c>
      <c r="K82" s="63">
        <v>0</v>
      </c>
      <c r="L82" s="60">
        <v>0</v>
      </c>
      <c r="N82" s="59"/>
      <c r="O82" s="59"/>
      <c r="P82" s="59"/>
      <c r="R82" s="60"/>
    </row>
    <row r="83" spans="1:18">
      <c r="A83" s="62" t="s">
        <v>154</v>
      </c>
      <c r="D83" s="52"/>
      <c r="E83" s="52"/>
      <c r="F83" s="56"/>
      <c r="H83" s="49"/>
      <c r="I83" s="49"/>
      <c r="J83" s="49"/>
      <c r="K83" s="49"/>
      <c r="L83" s="60">
        <v>0</v>
      </c>
      <c r="N83" s="59"/>
      <c r="O83" s="59"/>
      <c r="P83" s="59"/>
      <c r="R83" s="60"/>
    </row>
    <row r="84" spans="1:18">
      <c r="A84" s="62" t="s">
        <v>156</v>
      </c>
      <c r="D84" s="52"/>
      <c r="E84" s="52"/>
      <c r="F84" s="56"/>
      <c r="H84" s="49"/>
      <c r="I84" s="49"/>
      <c r="J84" s="49"/>
      <c r="K84" s="49"/>
      <c r="L84" s="60">
        <v>0</v>
      </c>
      <c r="N84" s="59"/>
      <c r="O84" s="59"/>
      <c r="P84" s="59"/>
      <c r="R84" s="60"/>
    </row>
    <row r="85" spans="1:18">
      <c r="A85" s="53" t="s">
        <v>178</v>
      </c>
      <c r="B85" s="50" t="s">
        <v>165</v>
      </c>
      <c r="C85" s="51" t="s">
        <v>179</v>
      </c>
      <c r="D85" s="52"/>
      <c r="E85" s="52"/>
      <c r="F85" s="56" t="s">
        <v>180</v>
      </c>
      <c r="G85" s="51" t="s">
        <v>167</v>
      </c>
      <c r="H85" s="57">
        <v>811370</v>
      </c>
      <c r="I85" s="57">
        <v>322740</v>
      </c>
      <c r="J85" s="57">
        <v>122740</v>
      </c>
      <c r="K85" s="57">
        <v>122740</v>
      </c>
      <c r="L85" s="58">
        <v>1379590</v>
      </c>
      <c r="M85" s="67">
        <v>1</v>
      </c>
      <c r="N85" s="59">
        <v>811370</v>
      </c>
      <c r="O85" s="59">
        <v>322740</v>
      </c>
      <c r="P85" s="59">
        <v>122740</v>
      </c>
      <c r="Q85" s="59">
        <v>122740</v>
      </c>
      <c r="R85" s="60">
        <v>1379590</v>
      </c>
    </row>
    <row r="86" spans="1:18">
      <c r="A86" s="61" t="s">
        <v>152</v>
      </c>
      <c r="D86" s="52"/>
      <c r="E86" s="52"/>
      <c r="F86" s="56"/>
      <c r="H86" s="57">
        <v>750000</v>
      </c>
      <c r="I86" s="57">
        <v>200000</v>
      </c>
      <c r="J86" s="57">
        <v>0</v>
      </c>
      <c r="K86" s="57">
        <v>0</v>
      </c>
      <c r="L86" s="58">
        <v>950000</v>
      </c>
      <c r="N86" s="59">
        <v>750000</v>
      </c>
      <c r="O86" s="59">
        <v>200000</v>
      </c>
      <c r="P86" s="59">
        <v>0</v>
      </c>
      <c r="Q86" s="59">
        <v>0</v>
      </c>
      <c r="R86" s="60">
        <v>950000</v>
      </c>
    </row>
    <row r="87" spans="1:18">
      <c r="A87" s="62" t="s">
        <v>153</v>
      </c>
      <c r="D87" s="52"/>
      <c r="E87" s="52"/>
      <c r="F87" s="56"/>
      <c r="H87" s="49"/>
      <c r="I87" s="49"/>
      <c r="J87" s="49"/>
      <c r="K87" s="49"/>
      <c r="L87" s="60">
        <v>0</v>
      </c>
      <c r="N87" s="59"/>
      <c r="O87" s="59"/>
      <c r="P87" s="59"/>
      <c r="R87" s="60"/>
    </row>
    <row r="88" spans="1:18">
      <c r="A88" s="62" t="s">
        <v>154</v>
      </c>
      <c r="D88" s="52"/>
      <c r="E88" s="52"/>
      <c r="F88" s="56"/>
      <c r="H88" s="49">
        <v>150000</v>
      </c>
      <c r="I88" s="49"/>
      <c r="J88" s="49"/>
      <c r="K88" s="49"/>
      <c r="L88" s="60">
        <v>150000</v>
      </c>
      <c r="N88" s="59"/>
      <c r="O88" s="59"/>
      <c r="P88" s="59"/>
      <c r="R88" s="60"/>
    </row>
    <row r="89" spans="1:18">
      <c r="A89" s="62" t="s">
        <v>155</v>
      </c>
      <c r="D89" s="52"/>
      <c r="E89" s="52"/>
      <c r="F89" s="56"/>
      <c r="H89" s="49"/>
      <c r="I89" s="49"/>
      <c r="J89" s="49"/>
      <c r="K89" s="49"/>
      <c r="L89" s="60">
        <v>0</v>
      </c>
      <c r="N89" s="59"/>
      <c r="O89" s="59"/>
      <c r="P89" s="59"/>
      <c r="R89" s="60"/>
    </row>
    <row r="90" spans="1:18">
      <c r="A90" s="62" t="s">
        <v>156</v>
      </c>
      <c r="D90" s="52"/>
      <c r="E90" s="52"/>
      <c r="F90" s="56"/>
      <c r="H90" s="49">
        <v>600000</v>
      </c>
      <c r="I90" s="49">
        <v>200000</v>
      </c>
      <c r="J90" s="49"/>
      <c r="K90" s="49"/>
      <c r="L90" s="60">
        <v>800000</v>
      </c>
      <c r="N90" s="59"/>
      <c r="O90" s="59"/>
      <c r="P90" s="59"/>
      <c r="R90" s="60"/>
    </row>
    <row r="91" spans="1:18">
      <c r="A91" s="61" t="s">
        <v>157</v>
      </c>
      <c r="D91" s="52"/>
      <c r="E91" s="52"/>
      <c r="F91" s="56"/>
      <c r="H91" s="57">
        <v>61370</v>
      </c>
      <c r="I91" s="57">
        <v>122740</v>
      </c>
      <c r="J91" s="57">
        <v>122740</v>
      </c>
      <c r="K91" s="57">
        <v>122740</v>
      </c>
      <c r="L91" s="58">
        <v>429590</v>
      </c>
      <c r="N91" s="59">
        <v>61370</v>
      </c>
      <c r="O91" s="59">
        <v>122740</v>
      </c>
      <c r="P91" s="59">
        <v>122740</v>
      </c>
      <c r="Q91" s="59">
        <v>122740</v>
      </c>
      <c r="R91" s="60">
        <v>429590</v>
      </c>
    </row>
    <row r="92" spans="1:18">
      <c r="A92" s="62" t="s">
        <v>153</v>
      </c>
      <c r="D92" s="52"/>
      <c r="E92" s="52"/>
      <c r="F92" s="56"/>
      <c r="H92" s="63">
        <v>61370</v>
      </c>
      <c r="I92" s="63">
        <v>122740</v>
      </c>
      <c r="J92" s="63">
        <v>122740</v>
      </c>
      <c r="K92" s="63">
        <v>122740</v>
      </c>
      <c r="L92" s="60">
        <v>429590</v>
      </c>
      <c r="N92" s="59"/>
      <c r="O92" s="59"/>
      <c r="P92" s="59"/>
      <c r="R92" s="60"/>
    </row>
    <row r="93" spans="1:18">
      <c r="A93" s="62" t="s">
        <v>154</v>
      </c>
      <c r="D93" s="52"/>
      <c r="E93" s="52"/>
      <c r="F93" s="56"/>
      <c r="H93" s="49"/>
      <c r="I93" s="49"/>
      <c r="J93" s="49"/>
      <c r="K93" s="49"/>
      <c r="L93" s="60">
        <v>0</v>
      </c>
      <c r="N93" s="59"/>
      <c r="O93" s="59"/>
      <c r="P93" s="59"/>
      <c r="R93" s="60"/>
    </row>
    <row r="94" spans="1:18">
      <c r="A94" s="62" t="s">
        <v>156</v>
      </c>
      <c r="D94" s="52"/>
      <c r="E94" s="52"/>
      <c r="F94" s="56"/>
      <c r="H94" s="49"/>
      <c r="I94" s="49"/>
      <c r="J94" s="49"/>
      <c r="K94" s="49"/>
      <c r="L94" s="60">
        <v>0</v>
      </c>
      <c r="N94" s="59"/>
      <c r="O94" s="59"/>
      <c r="P94" s="59"/>
      <c r="R94" s="60"/>
    </row>
    <row r="95" spans="1:18">
      <c r="A95" s="53" t="s">
        <v>181</v>
      </c>
      <c r="B95" s="50" t="s">
        <v>165</v>
      </c>
      <c r="C95" s="51" t="s">
        <v>173</v>
      </c>
      <c r="D95" s="52"/>
      <c r="E95" s="52"/>
      <c r="F95" s="56" t="s">
        <v>182</v>
      </c>
      <c r="G95" s="51" t="s">
        <v>175</v>
      </c>
      <c r="H95" s="57">
        <v>4044375</v>
      </c>
      <c r="I95" s="57">
        <v>4244375</v>
      </c>
      <c r="J95" s="57">
        <v>244375</v>
      </c>
      <c r="K95" s="57">
        <v>244375</v>
      </c>
      <c r="L95" s="58">
        <v>8777500</v>
      </c>
      <c r="M95" s="67">
        <v>1</v>
      </c>
      <c r="N95" s="59">
        <v>4044375</v>
      </c>
      <c r="O95" s="59">
        <v>4244375</v>
      </c>
      <c r="P95" s="59">
        <v>244375</v>
      </c>
      <c r="Q95" s="59">
        <v>244375</v>
      </c>
      <c r="R95" s="60">
        <v>8777500</v>
      </c>
    </row>
    <row r="96" spans="1:18">
      <c r="A96" s="61" t="s">
        <v>152</v>
      </c>
      <c r="D96" s="52"/>
      <c r="E96" s="52"/>
      <c r="F96" s="56"/>
      <c r="H96" s="57">
        <v>3800000</v>
      </c>
      <c r="I96" s="57">
        <v>4000000</v>
      </c>
      <c r="J96" s="57">
        <v>0</v>
      </c>
      <c r="K96" s="57">
        <v>0</v>
      </c>
      <c r="L96" s="58">
        <v>7800000</v>
      </c>
      <c r="N96" s="59">
        <v>3800000</v>
      </c>
      <c r="O96" s="59">
        <v>4000000</v>
      </c>
      <c r="P96" s="59">
        <v>0</v>
      </c>
      <c r="Q96" s="59">
        <v>0</v>
      </c>
      <c r="R96" s="60">
        <v>7800000</v>
      </c>
    </row>
    <row r="97" spans="1:18">
      <c r="A97" s="62" t="s">
        <v>153</v>
      </c>
      <c r="D97" s="52"/>
      <c r="E97" s="52"/>
      <c r="F97" s="56"/>
      <c r="H97" s="49"/>
      <c r="I97" s="49"/>
      <c r="J97" s="49"/>
      <c r="K97" s="49"/>
      <c r="L97" s="60">
        <v>0</v>
      </c>
      <c r="N97" s="59"/>
      <c r="O97" s="59"/>
      <c r="P97" s="59"/>
      <c r="R97" s="60"/>
    </row>
    <row r="98" spans="1:18">
      <c r="A98" s="62" t="s">
        <v>154</v>
      </c>
      <c r="D98" s="52"/>
      <c r="E98" s="52"/>
      <c r="F98" s="56"/>
      <c r="H98" s="49">
        <v>300000</v>
      </c>
      <c r="I98" s="49"/>
      <c r="J98" s="49"/>
      <c r="K98" s="49"/>
      <c r="L98" s="60">
        <v>300000</v>
      </c>
      <c r="N98" s="59"/>
      <c r="O98" s="59"/>
      <c r="P98" s="59"/>
      <c r="R98" s="60"/>
    </row>
    <row r="99" spans="1:18">
      <c r="A99" s="62" t="s">
        <v>155</v>
      </c>
      <c r="D99" s="52"/>
      <c r="E99" s="52"/>
      <c r="F99" s="56"/>
      <c r="H99" s="49"/>
      <c r="I99" s="49"/>
      <c r="J99" s="49"/>
      <c r="K99" s="49"/>
      <c r="L99" s="60">
        <v>0</v>
      </c>
      <c r="N99" s="59"/>
      <c r="O99" s="59"/>
      <c r="P99" s="59"/>
      <c r="R99" s="60"/>
    </row>
    <row r="100" spans="1:18">
      <c r="A100" s="62" t="s">
        <v>156</v>
      </c>
      <c r="D100" s="52"/>
      <c r="E100" s="52"/>
      <c r="F100" s="56"/>
      <c r="H100" s="49">
        <v>3500000</v>
      </c>
      <c r="I100" s="49">
        <v>4000000</v>
      </c>
      <c r="J100" s="49"/>
      <c r="K100" s="49"/>
      <c r="L100" s="60">
        <v>7500000</v>
      </c>
      <c r="N100" s="59"/>
      <c r="O100" s="59"/>
      <c r="P100" s="59"/>
      <c r="R100" s="60"/>
    </row>
    <row r="101" spans="1:18">
      <c r="A101" s="61" t="s">
        <v>157</v>
      </c>
      <c r="D101" s="52"/>
      <c r="E101" s="52"/>
      <c r="F101" s="56"/>
      <c r="H101" s="57">
        <v>244375</v>
      </c>
      <c r="I101" s="57">
        <v>244375</v>
      </c>
      <c r="J101" s="57">
        <v>244375</v>
      </c>
      <c r="K101" s="57">
        <v>244375</v>
      </c>
      <c r="L101" s="58">
        <v>977500</v>
      </c>
      <c r="N101" s="59">
        <v>244375</v>
      </c>
      <c r="O101" s="59">
        <v>244375</v>
      </c>
      <c r="P101" s="59">
        <v>244375</v>
      </c>
      <c r="Q101" s="59">
        <v>244375</v>
      </c>
      <c r="R101" s="60">
        <v>977500</v>
      </c>
    </row>
    <row r="102" spans="1:18">
      <c r="A102" s="62" t="s">
        <v>153</v>
      </c>
      <c r="D102" s="52"/>
      <c r="E102" s="52"/>
      <c r="F102" s="56"/>
      <c r="H102" s="63">
        <v>244375</v>
      </c>
      <c r="I102" s="63">
        <v>244375</v>
      </c>
      <c r="J102" s="63">
        <v>244375</v>
      </c>
      <c r="K102" s="63">
        <v>244375</v>
      </c>
      <c r="L102" s="60">
        <v>977500</v>
      </c>
      <c r="N102" s="59"/>
      <c r="O102" s="59"/>
      <c r="P102" s="59"/>
      <c r="R102" s="60"/>
    </row>
    <row r="103" spans="1:18">
      <c r="A103" s="62" t="s">
        <v>154</v>
      </c>
      <c r="D103" s="52"/>
      <c r="E103" s="52"/>
      <c r="F103" s="56"/>
      <c r="H103" s="49"/>
      <c r="I103" s="49"/>
      <c r="J103" s="49"/>
      <c r="K103" s="49"/>
      <c r="L103" s="60">
        <v>0</v>
      </c>
      <c r="N103" s="59"/>
      <c r="O103" s="59"/>
      <c r="P103" s="59"/>
      <c r="R103" s="60"/>
    </row>
    <row r="104" spans="1:18">
      <c r="A104" s="62" t="s">
        <v>156</v>
      </c>
      <c r="D104" s="52"/>
      <c r="E104" s="52"/>
      <c r="F104" s="56"/>
      <c r="H104" s="49"/>
      <c r="I104" s="49"/>
      <c r="J104" s="49"/>
      <c r="K104" s="49"/>
      <c r="L104" s="60">
        <v>0</v>
      </c>
      <c r="N104" s="59"/>
      <c r="O104" s="59"/>
      <c r="P104" s="59"/>
      <c r="R104" s="60"/>
    </row>
    <row r="105" spans="1:18">
      <c r="A105" s="53" t="s">
        <v>183</v>
      </c>
      <c r="B105" s="50" t="s">
        <v>165</v>
      </c>
      <c r="C105" s="51" t="s">
        <v>149</v>
      </c>
      <c r="D105" s="52"/>
      <c r="E105" s="52"/>
      <c r="F105" s="56" t="s">
        <v>184</v>
      </c>
      <c r="G105" s="51" t="s">
        <v>160</v>
      </c>
      <c r="H105" s="57">
        <v>0</v>
      </c>
      <c r="I105" s="57">
        <v>0</v>
      </c>
      <c r="J105" s="57">
        <v>950000</v>
      </c>
      <c r="K105" s="57">
        <v>0</v>
      </c>
      <c r="L105" s="58">
        <v>950000</v>
      </c>
      <c r="M105" s="67">
        <v>1</v>
      </c>
      <c r="N105" s="59">
        <v>0</v>
      </c>
      <c r="O105" s="59">
        <v>0</v>
      </c>
      <c r="P105" s="59">
        <v>950000</v>
      </c>
      <c r="Q105" s="59">
        <v>0</v>
      </c>
      <c r="R105" s="60">
        <v>950000</v>
      </c>
    </row>
    <row r="106" spans="1:18">
      <c r="A106" s="61" t="s">
        <v>152</v>
      </c>
      <c r="D106" s="52"/>
      <c r="E106" s="52"/>
      <c r="F106" s="56"/>
      <c r="H106" s="57">
        <v>0</v>
      </c>
      <c r="I106" s="57">
        <v>0</v>
      </c>
      <c r="J106" s="57">
        <v>950000</v>
      </c>
      <c r="K106" s="57">
        <v>0</v>
      </c>
      <c r="L106" s="58">
        <v>950000</v>
      </c>
      <c r="N106" s="59">
        <v>0</v>
      </c>
      <c r="O106" s="59">
        <v>0</v>
      </c>
      <c r="P106" s="59">
        <v>950000</v>
      </c>
      <c r="Q106" s="59">
        <v>0</v>
      </c>
      <c r="R106" s="60">
        <v>950000</v>
      </c>
    </row>
    <row r="107" spans="1:18">
      <c r="A107" s="62" t="s">
        <v>153</v>
      </c>
      <c r="D107" s="52"/>
      <c r="E107" s="52"/>
      <c r="F107" s="56"/>
      <c r="H107" s="49"/>
      <c r="I107" s="49"/>
      <c r="J107" s="49"/>
      <c r="K107" s="49"/>
      <c r="L107" s="60">
        <v>0</v>
      </c>
      <c r="N107" s="59"/>
      <c r="O107" s="59"/>
      <c r="P107" s="59"/>
      <c r="R107" s="60"/>
    </row>
    <row r="108" spans="1:18">
      <c r="A108" s="62" t="s">
        <v>154</v>
      </c>
      <c r="D108" s="52"/>
      <c r="E108" s="52"/>
      <c r="F108" s="56"/>
      <c r="H108" s="49"/>
      <c r="I108" s="49"/>
      <c r="J108" s="49">
        <v>150000</v>
      </c>
      <c r="K108" s="49"/>
      <c r="L108" s="60">
        <v>150000</v>
      </c>
      <c r="N108" s="59"/>
      <c r="O108" s="59"/>
      <c r="P108" s="59"/>
      <c r="R108" s="60"/>
    </row>
    <row r="109" spans="1:18">
      <c r="A109" s="62" t="s">
        <v>155</v>
      </c>
      <c r="D109" s="52"/>
      <c r="E109" s="52"/>
      <c r="F109" s="56"/>
      <c r="H109" s="49"/>
      <c r="I109" s="49"/>
      <c r="J109" s="49"/>
      <c r="K109" s="49"/>
      <c r="L109" s="60">
        <v>0</v>
      </c>
      <c r="N109" s="59"/>
      <c r="O109" s="59"/>
      <c r="P109" s="59"/>
      <c r="R109" s="60"/>
    </row>
    <row r="110" spans="1:18">
      <c r="A110" s="62" t="s">
        <v>156</v>
      </c>
      <c r="D110" s="52"/>
      <c r="E110" s="52"/>
      <c r="F110" s="56"/>
      <c r="H110" s="49"/>
      <c r="I110" s="49"/>
      <c r="J110" s="49">
        <v>800000</v>
      </c>
      <c r="K110" s="49"/>
      <c r="L110" s="60">
        <v>800000</v>
      </c>
      <c r="N110" s="59"/>
      <c r="O110" s="59"/>
      <c r="P110" s="59"/>
      <c r="R110" s="60"/>
    </row>
    <row r="111" spans="1:18">
      <c r="A111" s="61" t="s">
        <v>157</v>
      </c>
      <c r="D111" s="52"/>
      <c r="E111" s="52"/>
      <c r="F111" s="56"/>
      <c r="H111" s="57">
        <v>0</v>
      </c>
      <c r="I111" s="57">
        <v>0</v>
      </c>
      <c r="J111" s="57">
        <v>0</v>
      </c>
      <c r="K111" s="57">
        <v>0</v>
      </c>
      <c r="L111" s="58">
        <v>0</v>
      </c>
      <c r="N111" s="59">
        <v>0</v>
      </c>
      <c r="O111" s="59">
        <v>0</v>
      </c>
      <c r="P111" s="59">
        <v>0</v>
      </c>
      <c r="Q111" s="59">
        <v>0</v>
      </c>
      <c r="R111" s="60">
        <v>0</v>
      </c>
    </row>
    <row r="112" spans="1:18">
      <c r="A112" s="62" t="s">
        <v>153</v>
      </c>
      <c r="D112" s="52"/>
      <c r="E112" s="52"/>
      <c r="F112" s="56"/>
      <c r="H112" s="63">
        <v>0</v>
      </c>
      <c r="I112" s="63">
        <v>0</v>
      </c>
      <c r="J112" s="63">
        <v>0</v>
      </c>
      <c r="K112" s="63">
        <v>0</v>
      </c>
      <c r="L112" s="60">
        <v>0</v>
      </c>
      <c r="N112" s="59"/>
      <c r="O112" s="59"/>
      <c r="P112" s="59"/>
      <c r="R112" s="60"/>
    </row>
    <row r="113" spans="1:18">
      <c r="A113" s="62" t="s">
        <v>154</v>
      </c>
      <c r="D113" s="52"/>
      <c r="E113" s="52"/>
      <c r="F113" s="56"/>
      <c r="H113" s="49"/>
      <c r="I113" s="49"/>
      <c r="J113" s="49"/>
      <c r="K113" s="49"/>
      <c r="L113" s="60">
        <v>0</v>
      </c>
      <c r="N113" s="59"/>
      <c r="O113" s="59"/>
      <c r="P113" s="59"/>
      <c r="R113" s="60"/>
    </row>
    <row r="114" spans="1:18">
      <c r="A114" s="62" t="s">
        <v>156</v>
      </c>
      <c r="D114" s="52"/>
      <c r="E114" s="52"/>
      <c r="F114" s="56"/>
      <c r="H114" s="49"/>
      <c r="I114" s="49"/>
      <c r="J114" s="49"/>
      <c r="K114" s="49"/>
      <c r="L114" s="60">
        <v>0</v>
      </c>
      <c r="N114" s="59"/>
      <c r="O114" s="59"/>
      <c r="P114" s="59"/>
      <c r="R114" s="60"/>
    </row>
    <row r="115" spans="1:18">
      <c r="A115" s="53" t="s">
        <v>185</v>
      </c>
      <c r="B115" s="50" t="s">
        <v>165</v>
      </c>
      <c r="C115" s="51" t="s">
        <v>179</v>
      </c>
      <c r="D115" s="52"/>
      <c r="E115" s="52"/>
      <c r="F115" s="56" t="s">
        <v>182</v>
      </c>
      <c r="G115" s="51" t="s">
        <v>175</v>
      </c>
      <c r="H115" s="57">
        <v>0</v>
      </c>
      <c r="I115" s="57">
        <v>1150000</v>
      </c>
      <c r="J115" s="57">
        <v>0</v>
      </c>
      <c r="K115" s="57">
        <v>0</v>
      </c>
      <c r="L115" s="58">
        <v>1150000</v>
      </c>
      <c r="M115" s="67">
        <v>1</v>
      </c>
      <c r="N115" s="59">
        <v>0</v>
      </c>
      <c r="O115" s="59">
        <v>1150000</v>
      </c>
      <c r="P115" s="59">
        <v>0</v>
      </c>
      <c r="Q115" s="59">
        <v>0</v>
      </c>
      <c r="R115" s="60">
        <v>1150000</v>
      </c>
    </row>
    <row r="116" spans="1:18">
      <c r="A116" s="61" t="s">
        <v>152</v>
      </c>
      <c r="D116" s="52"/>
      <c r="E116" s="52"/>
      <c r="F116" s="56"/>
      <c r="H116" s="57">
        <v>0</v>
      </c>
      <c r="I116" s="57">
        <v>1150000</v>
      </c>
      <c r="J116" s="57">
        <v>0</v>
      </c>
      <c r="K116" s="57">
        <v>0</v>
      </c>
      <c r="L116" s="58">
        <v>1150000</v>
      </c>
      <c r="N116" s="59">
        <v>0</v>
      </c>
      <c r="O116" s="59">
        <v>1150000</v>
      </c>
      <c r="P116" s="59">
        <v>0</v>
      </c>
      <c r="Q116" s="59">
        <v>0</v>
      </c>
      <c r="R116" s="60">
        <v>1150000</v>
      </c>
    </row>
    <row r="117" spans="1:18">
      <c r="A117" s="62" t="s">
        <v>153</v>
      </c>
      <c r="D117" s="52"/>
      <c r="E117" s="52"/>
      <c r="F117" s="56"/>
      <c r="H117" s="49"/>
      <c r="I117" s="49"/>
      <c r="J117" s="49"/>
      <c r="K117" s="49"/>
      <c r="L117" s="60">
        <v>0</v>
      </c>
      <c r="N117" s="59"/>
      <c r="O117" s="59"/>
      <c r="P117" s="59"/>
      <c r="R117" s="60"/>
    </row>
    <row r="118" spans="1:18">
      <c r="A118" s="62" t="s">
        <v>154</v>
      </c>
      <c r="D118" s="52"/>
      <c r="E118" s="52"/>
      <c r="F118" s="56"/>
      <c r="H118" s="49"/>
      <c r="I118" s="49">
        <v>150000</v>
      </c>
      <c r="J118" s="49"/>
      <c r="K118" s="49"/>
      <c r="L118" s="60">
        <v>150000</v>
      </c>
      <c r="N118" s="59"/>
      <c r="O118" s="59"/>
      <c r="P118" s="59"/>
      <c r="R118" s="60"/>
    </row>
    <row r="119" spans="1:18">
      <c r="A119" s="62" t="s">
        <v>155</v>
      </c>
      <c r="D119" s="52"/>
      <c r="E119" s="52"/>
      <c r="F119" s="56"/>
      <c r="H119" s="49"/>
      <c r="I119" s="49"/>
      <c r="J119" s="49"/>
      <c r="K119" s="49"/>
      <c r="L119" s="60">
        <v>0</v>
      </c>
      <c r="N119" s="59"/>
      <c r="O119" s="59"/>
      <c r="P119" s="59"/>
      <c r="R119" s="60"/>
    </row>
    <row r="120" spans="1:18">
      <c r="A120" s="62" t="s">
        <v>156</v>
      </c>
      <c r="D120" s="52"/>
      <c r="E120" s="52"/>
      <c r="F120" s="56"/>
      <c r="H120" s="49"/>
      <c r="I120" s="49">
        <v>1000000</v>
      </c>
      <c r="J120" s="49"/>
      <c r="K120" s="49"/>
      <c r="L120" s="60">
        <v>1000000</v>
      </c>
      <c r="N120" s="59"/>
      <c r="O120" s="59"/>
      <c r="P120" s="59"/>
      <c r="R120" s="60"/>
    </row>
    <row r="121" spans="1:18">
      <c r="A121" s="61" t="s">
        <v>157</v>
      </c>
      <c r="D121" s="52"/>
      <c r="E121" s="52"/>
      <c r="F121" s="56"/>
      <c r="H121" s="57">
        <v>0</v>
      </c>
      <c r="I121" s="57">
        <v>0</v>
      </c>
      <c r="J121" s="57">
        <v>0</v>
      </c>
      <c r="K121" s="57">
        <v>0</v>
      </c>
      <c r="L121" s="58">
        <v>0</v>
      </c>
      <c r="N121" s="59">
        <v>0</v>
      </c>
      <c r="O121" s="59">
        <v>0</v>
      </c>
      <c r="P121" s="59">
        <v>0</v>
      </c>
      <c r="Q121" s="59">
        <v>0</v>
      </c>
      <c r="R121" s="60">
        <v>0</v>
      </c>
    </row>
    <row r="122" spans="1:18">
      <c r="A122" s="62" t="s">
        <v>153</v>
      </c>
      <c r="D122" s="52"/>
      <c r="E122" s="52"/>
      <c r="F122" s="56"/>
      <c r="H122" s="63">
        <v>0</v>
      </c>
      <c r="I122" s="63">
        <v>0</v>
      </c>
      <c r="J122" s="63">
        <v>0</v>
      </c>
      <c r="K122" s="63">
        <v>0</v>
      </c>
      <c r="L122" s="60">
        <v>0</v>
      </c>
      <c r="N122" s="59"/>
      <c r="O122" s="59"/>
      <c r="P122" s="59"/>
      <c r="R122" s="60"/>
    </row>
    <row r="123" spans="1:18">
      <c r="A123" s="62" t="s">
        <v>154</v>
      </c>
      <c r="D123" s="52"/>
      <c r="E123" s="52"/>
      <c r="F123" s="56"/>
      <c r="H123" s="49"/>
      <c r="I123" s="49"/>
      <c r="J123" s="49"/>
      <c r="K123" s="49"/>
      <c r="L123" s="60">
        <v>0</v>
      </c>
      <c r="N123" s="59"/>
      <c r="O123" s="59"/>
      <c r="P123" s="59"/>
      <c r="R123" s="60"/>
    </row>
    <row r="124" spans="1:18">
      <c r="A124" s="62" t="s">
        <v>156</v>
      </c>
      <c r="D124" s="52"/>
      <c r="E124" s="52"/>
      <c r="F124" s="56"/>
      <c r="H124" s="49"/>
      <c r="I124" s="49"/>
      <c r="J124" s="49"/>
      <c r="K124" s="49"/>
      <c r="L124" s="60">
        <v>0</v>
      </c>
      <c r="N124" s="59"/>
      <c r="O124" s="59"/>
      <c r="P124" s="59"/>
      <c r="R124" s="60"/>
    </row>
    <row r="125" spans="1:18">
      <c r="A125" s="53" t="s">
        <v>186</v>
      </c>
      <c r="B125" s="50" t="s">
        <v>162</v>
      </c>
      <c r="C125" s="51" t="s">
        <v>149</v>
      </c>
      <c r="D125" s="52"/>
      <c r="E125" s="52"/>
      <c r="F125" s="56"/>
      <c r="G125" s="51" t="s">
        <v>160</v>
      </c>
      <c r="H125" s="57">
        <v>75000</v>
      </c>
      <c r="I125" s="57">
        <v>0</v>
      </c>
      <c r="J125" s="57">
        <v>0</v>
      </c>
      <c r="K125" s="57">
        <v>0</v>
      </c>
      <c r="L125" s="58">
        <v>75000</v>
      </c>
      <c r="M125" s="67">
        <v>1</v>
      </c>
      <c r="N125" s="59">
        <v>75000</v>
      </c>
      <c r="O125" s="59">
        <v>0</v>
      </c>
      <c r="P125" s="59">
        <v>0</v>
      </c>
      <c r="Q125" s="59">
        <v>0</v>
      </c>
      <c r="R125" s="60">
        <v>75000</v>
      </c>
    </row>
    <row r="126" spans="1:18">
      <c r="A126" s="61" t="s">
        <v>152</v>
      </c>
      <c r="D126" s="52"/>
      <c r="E126" s="52"/>
      <c r="F126" s="56"/>
      <c r="H126" s="57">
        <v>0</v>
      </c>
      <c r="I126" s="57">
        <v>0</v>
      </c>
      <c r="J126" s="57">
        <v>0</v>
      </c>
      <c r="K126" s="57">
        <v>0</v>
      </c>
      <c r="L126" s="58">
        <v>0</v>
      </c>
      <c r="N126" s="59">
        <v>0</v>
      </c>
      <c r="O126" s="59">
        <v>0</v>
      </c>
      <c r="P126" s="59">
        <v>0</v>
      </c>
      <c r="Q126" s="59">
        <v>0</v>
      </c>
      <c r="R126" s="60">
        <v>0</v>
      </c>
    </row>
    <row r="127" spans="1:18">
      <c r="A127" s="62" t="s">
        <v>153</v>
      </c>
      <c r="D127" s="52"/>
      <c r="E127" s="52"/>
      <c r="F127" s="56"/>
      <c r="H127" s="49"/>
      <c r="I127" s="49"/>
      <c r="J127" s="49"/>
      <c r="K127" s="49"/>
      <c r="L127" s="60">
        <v>0</v>
      </c>
      <c r="N127" s="59"/>
      <c r="O127" s="59"/>
      <c r="P127" s="59"/>
      <c r="R127" s="60"/>
    </row>
    <row r="128" spans="1:18">
      <c r="A128" s="62" t="s">
        <v>154</v>
      </c>
      <c r="D128" s="52"/>
      <c r="E128" s="52"/>
      <c r="F128" s="56"/>
      <c r="H128" s="49"/>
      <c r="I128" s="49"/>
      <c r="J128" s="49"/>
      <c r="K128" s="49"/>
      <c r="L128" s="60">
        <v>0</v>
      </c>
      <c r="N128" s="59"/>
      <c r="O128" s="59"/>
      <c r="P128" s="59"/>
      <c r="R128" s="60"/>
    </row>
    <row r="129" spans="1:18">
      <c r="A129" s="62" t="s">
        <v>155</v>
      </c>
      <c r="D129" s="52"/>
      <c r="E129" s="52"/>
      <c r="F129" s="56"/>
      <c r="H129" s="49"/>
      <c r="I129" s="49"/>
      <c r="J129" s="49"/>
      <c r="K129" s="49"/>
      <c r="L129" s="60">
        <v>0</v>
      </c>
      <c r="N129" s="59"/>
      <c r="O129" s="59"/>
      <c r="P129" s="59"/>
      <c r="R129" s="60"/>
    </row>
    <row r="130" spans="1:18">
      <c r="A130" s="62" t="s">
        <v>156</v>
      </c>
      <c r="D130" s="52"/>
      <c r="E130" s="52"/>
      <c r="F130" s="56"/>
      <c r="H130" s="49"/>
      <c r="I130" s="49"/>
      <c r="J130" s="49"/>
      <c r="K130" s="49"/>
      <c r="L130" s="60">
        <v>0</v>
      </c>
      <c r="N130" s="59"/>
      <c r="O130" s="59"/>
      <c r="P130" s="59"/>
      <c r="R130" s="60"/>
    </row>
    <row r="131" spans="1:18">
      <c r="A131" s="61" t="s">
        <v>157</v>
      </c>
      <c r="D131" s="52"/>
      <c r="E131" s="52"/>
      <c r="F131" s="56"/>
      <c r="H131" s="57">
        <v>75000</v>
      </c>
      <c r="I131" s="57">
        <v>0</v>
      </c>
      <c r="J131" s="57">
        <v>0</v>
      </c>
      <c r="K131" s="57">
        <v>0</v>
      </c>
      <c r="L131" s="58">
        <v>75000</v>
      </c>
      <c r="N131" s="59">
        <v>75000</v>
      </c>
      <c r="O131" s="59">
        <v>0</v>
      </c>
      <c r="P131" s="59">
        <v>0</v>
      </c>
      <c r="Q131" s="59">
        <v>0</v>
      </c>
      <c r="R131" s="60">
        <v>75000</v>
      </c>
    </row>
    <row r="132" spans="1:18">
      <c r="A132" s="62" t="s">
        <v>153</v>
      </c>
      <c r="D132" s="52"/>
      <c r="E132" s="52"/>
      <c r="F132" s="56"/>
      <c r="H132" s="63">
        <v>0</v>
      </c>
      <c r="I132" s="63">
        <v>0</v>
      </c>
      <c r="J132" s="63">
        <v>0</v>
      </c>
      <c r="K132" s="63">
        <v>0</v>
      </c>
      <c r="L132" s="60">
        <v>0</v>
      </c>
      <c r="N132" s="59"/>
      <c r="O132" s="59"/>
      <c r="P132" s="59"/>
      <c r="R132" s="60"/>
    </row>
    <row r="133" spans="1:18">
      <c r="A133" s="62" t="s">
        <v>154</v>
      </c>
      <c r="D133" s="52"/>
      <c r="E133" s="52"/>
      <c r="F133" s="56"/>
      <c r="H133" s="49">
        <v>75000</v>
      </c>
      <c r="I133" s="49"/>
      <c r="J133" s="49"/>
      <c r="K133" s="49"/>
      <c r="L133" s="60">
        <v>75000</v>
      </c>
      <c r="N133" s="59"/>
      <c r="O133" s="59"/>
      <c r="P133" s="59"/>
      <c r="R133" s="60"/>
    </row>
    <row r="134" spans="1:18">
      <c r="A134" s="62" t="s">
        <v>156</v>
      </c>
      <c r="D134" s="52"/>
      <c r="E134" s="52"/>
      <c r="F134" s="56"/>
      <c r="H134" s="49"/>
      <c r="I134" s="49"/>
      <c r="J134" s="49"/>
      <c r="K134" s="49"/>
      <c r="L134" s="60">
        <v>0</v>
      </c>
      <c r="N134" s="59"/>
      <c r="O134" s="59"/>
      <c r="P134" s="59"/>
      <c r="R134" s="60"/>
    </row>
    <row r="135" spans="1:18">
      <c r="A135" s="53" t="s">
        <v>187</v>
      </c>
      <c r="B135" s="50" t="s">
        <v>162</v>
      </c>
      <c r="C135" s="51" t="s">
        <v>173</v>
      </c>
      <c r="D135" s="52"/>
      <c r="E135" s="52"/>
      <c r="F135" s="56" t="s">
        <v>188</v>
      </c>
      <c r="G135" s="51" t="s">
        <v>151</v>
      </c>
      <c r="H135" s="57">
        <v>0</v>
      </c>
      <c r="I135" s="57">
        <v>122740</v>
      </c>
      <c r="J135" s="57">
        <v>0</v>
      </c>
      <c r="K135" s="57">
        <v>0</v>
      </c>
      <c r="L135" s="58">
        <v>122740</v>
      </c>
      <c r="M135" s="67">
        <v>1</v>
      </c>
      <c r="N135" s="59">
        <v>0</v>
      </c>
      <c r="O135" s="59">
        <v>122740</v>
      </c>
      <c r="P135" s="59">
        <v>0</v>
      </c>
      <c r="Q135" s="59">
        <v>0</v>
      </c>
      <c r="R135" s="60">
        <v>122740</v>
      </c>
    </row>
    <row r="136" spans="1:18">
      <c r="A136" s="61" t="s">
        <v>152</v>
      </c>
      <c r="D136" s="52"/>
      <c r="E136" s="52"/>
      <c r="F136" s="56"/>
      <c r="H136" s="57">
        <v>0</v>
      </c>
      <c r="I136" s="57">
        <v>0</v>
      </c>
      <c r="J136" s="57">
        <v>0</v>
      </c>
      <c r="K136" s="57">
        <v>0</v>
      </c>
      <c r="L136" s="58">
        <v>0</v>
      </c>
      <c r="N136" s="59">
        <v>0</v>
      </c>
      <c r="O136" s="59">
        <v>0</v>
      </c>
      <c r="P136" s="59">
        <v>0</v>
      </c>
      <c r="Q136" s="59">
        <v>0</v>
      </c>
      <c r="R136" s="60">
        <v>0</v>
      </c>
    </row>
    <row r="137" spans="1:18">
      <c r="A137" s="62" t="s">
        <v>153</v>
      </c>
      <c r="D137" s="52"/>
      <c r="E137" s="52"/>
      <c r="F137" s="56"/>
      <c r="H137" s="49"/>
      <c r="I137" s="49"/>
      <c r="J137" s="49"/>
      <c r="K137" s="49"/>
      <c r="L137" s="60">
        <v>0</v>
      </c>
      <c r="N137" s="59"/>
      <c r="O137" s="59"/>
      <c r="P137" s="59"/>
      <c r="R137" s="60"/>
    </row>
    <row r="138" spans="1:18">
      <c r="A138" s="62" t="s">
        <v>154</v>
      </c>
      <c r="D138" s="52"/>
      <c r="E138" s="52"/>
      <c r="F138" s="56"/>
      <c r="H138" s="49"/>
      <c r="I138" s="49"/>
      <c r="J138" s="49"/>
      <c r="K138" s="49"/>
      <c r="L138" s="60">
        <v>0</v>
      </c>
      <c r="N138" s="59"/>
      <c r="O138" s="59"/>
      <c r="P138" s="59"/>
      <c r="R138" s="60"/>
    </row>
    <row r="139" spans="1:18">
      <c r="A139" s="62" t="s">
        <v>155</v>
      </c>
      <c r="D139" s="52"/>
      <c r="E139" s="52"/>
      <c r="F139" s="56"/>
      <c r="H139" s="49"/>
      <c r="I139" s="49"/>
      <c r="J139" s="49"/>
      <c r="K139" s="49"/>
      <c r="L139" s="60">
        <v>0</v>
      </c>
      <c r="N139" s="59"/>
      <c r="O139" s="59"/>
      <c r="P139" s="59"/>
      <c r="R139" s="60"/>
    </row>
    <row r="140" spans="1:18">
      <c r="A140" s="62" t="s">
        <v>156</v>
      </c>
      <c r="D140" s="52"/>
      <c r="E140" s="52"/>
      <c r="F140" s="56"/>
      <c r="H140" s="49"/>
      <c r="I140" s="49"/>
      <c r="J140" s="49"/>
      <c r="K140" s="49"/>
      <c r="L140" s="60">
        <v>0</v>
      </c>
      <c r="N140" s="59"/>
      <c r="O140" s="59"/>
      <c r="P140" s="59"/>
      <c r="R140" s="60"/>
    </row>
    <row r="141" spans="1:18">
      <c r="A141" s="61" t="s">
        <v>157</v>
      </c>
      <c r="D141" s="52"/>
      <c r="E141" s="52"/>
      <c r="F141" s="56"/>
      <c r="H141" s="57">
        <v>0</v>
      </c>
      <c r="I141" s="57">
        <v>122740</v>
      </c>
      <c r="J141" s="57">
        <v>0</v>
      </c>
      <c r="K141" s="57">
        <v>0</v>
      </c>
      <c r="L141" s="58">
        <v>122740</v>
      </c>
      <c r="N141" s="59">
        <v>0</v>
      </c>
      <c r="O141" s="59">
        <v>122740</v>
      </c>
      <c r="P141" s="59">
        <v>0</v>
      </c>
      <c r="Q141" s="59">
        <v>0</v>
      </c>
      <c r="R141" s="60">
        <v>122740</v>
      </c>
    </row>
    <row r="142" spans="1:18">
      <c r="A142" s="62" t="s">
        <v>153</v>
      </c>
      <c r="D142" s="52"/>
      <c r="E142" s="52"/>
      <c r="F142" s="56"/>
      <c r="H142" s="63">
        <v>0</v>
      </c>
      <c r="I142" s="63">
        <v>122740</v>
      </c>
      <c r="J142" s="63">
        <v>0</v>
      </c>
      <c r="K142" s="63">
        <v>0</v>
      </c>
      <c r="L142" s="60">
        <v>122740</v>
      </c>
      <c r="N142" s="59"/>
      <c r="O142" s="59"/>
      <c r="P142" s="59"/>
      <c r="R142" s="60"/>
    </row>
    <row r="143" spans="1:18">
      <c r="A143" s="62" t="s">
        <v>154</v>
      </c>
      <c r="D143" s="52"/>
      <c r="E143" s="52"/>
      <c r="F143" s="56"/>
      <c r="H143" s="49"/>
      <c r="I143" s="49"/>
      <c r="J143" s="49"/>
      <c r="K143" s="49"/>
      <c r="L143" s="60">
        <v>0</v>
      </c>
      <c r="N143" s="59"/>
      <c r="O143" s="59"/>
      <c r="P143" s="59"/>
      <c r="R143" s="60"/>
    </row>
    <row r="144" spans="1:18">
      <c r="A144" s="62" t="s">
        <v>156</v>
      </c>
      <c r="D144" s="52"/>
      <c r="E144" s="52"/>
      <c r="F144" s="56"/>
      <c r="H144" s="49"/>
      <c r="I144" s="49"/>
      <c r="J144" s="49"/>
      <c r="K144" s="49"/>
      <c r="L144" s="60">
        <v>0</v>
      </c>
      <c r="N144" s="59"/>
      <c r="O144" s="59"/>
      <c r="P144" s="59"/>
      <c r="R144" s="60"/>
    </row>
    <row r="145" spans="1:18">
      <c r="A145" s="53" t="s">
        <v>189</v>
      </c>
      <c r="B145" s="50" t="s">
        <v>190</v>
      </c>
      <c r="C145" s="51" t="s">
        <v>149</v>
      </c>
      <c r="D145" s="52"/>
      <c r="E145" s="52"/>
      <c r="F145" s="56"/>
      <c r="G145" s="51" t="s">
        <v>191</v>
      </c>
      <c r="H145" s="57">
        <v>290502.5</v>
      </c>
      <c r="I145" s="57">
        <v>138252.5</v>
      </c>
      <c r="J145" s="57">
        <v>97750</v>
      </c>
      <c r="K145" s="57">
        <v>97750</v>
      </c>
      <c r="L145" s="58">
        <v>624255</v>
      </c>
      <c r="M145" s="67">
        <v>1</v>
      </c>
      <c r="N145" s="59">
        <v>290502.5</v>
      </c>
      <c r="O145" s="59">
        <v>138252.5</v>
      </c>
      <c r="P145" s="59">
        <v>97750</v>
      </c>
      <c r="Q145" s="59">
        <v>97750</v>
      </c>
      <c r="R145" s="60">
        <v>624255</v>
      </c>
    </row>
    <row r="146" spans="1:18">
      <c r="A146" s="61" t="s">
        <v>152</v>
      </c>
      <c r="D146" s="52"/>
      <c r="E146" s="52"/>
      <c r="F146" s="56"/>
      <c r="H146" s="57">
        <v>0</v>
      </c>
      <c r="I146" s="57">
        <v>0</v>
      </c>
      <c r="J146" s="57">
        <v>0</v>
      </c>
      <c r="K146" s="57">
        <v>0</v>
      </c>
      <c r="L146" s="58">
        <v>0</v>
      </c>
      <c r="N146" s="59">
        <v>0</v>
      </c>
      <c r="O146" s="59">
        <v>0</v>
      </c>
      <c r="P146" s="59">
        <v>0</v>
      </c>
      <c r="Q146" s="59">
        <v>0</v>
      </c>
      <c r="R146" s="60">
        <v>0</v>
      </c>
    </row>
    <row r="147" spans="1:18">
      <c r="A147" s="62" t="s">
        <v>153</v>
      </c>
      <c r="D147" s="52"/>
      <c r="E147" s="52"/>
      <c r="F147" s="56"/>
      <c r="I147" s="49"/>
      <c r="J147" s="49"/>
      <c r="K147" s="49"/>
      <c r="L147" s="60">
        <v>0</v>
      </c>
      <c r="N147" s="59"/>
      <c r="O147" s="59"/>
      <c r="P147" s="59"/>
      <c r="R147" s="60"/>
    </row>
    <row r="148" spans="1:18">
      <c r="A148" s="62" t="s">
        <v>154</v>
      </c>
      <c r="D148" s="52"/>
      <c r="E148" s="52"/>
      <c r="F148" s="56"/>
      <c r="H148" s="49"/>
      <c r="I148" s="49"/>
      <c r="J148" s="49"/>
      <c r="K148" s="49"/>
      <c r="L148" s="60">
        <v>0</v>
      </c>
      <c r="N148" s="59"/>
      <c r="O148" s="59"/>
      <c r="P148" s="59"/>
      <c r="R148" s="60"/>
    </row>
    <row r="149" spans="1:18">
      <c r="A149" s="62" t="s">
        <v>155</v>
      </c>
      <c r="D149" s="52"/>
      <c r="E149" s="52"/>
      <c r="F149" s="56"/>
      <c r="H149" s="49"/>
      <c r="I149" s="49"/>
      <c r="J149" s="49"/>
      <c r="K149" s="49"/>
      <c r="L149" s="60">
        <v>0</v>
      </c>
      <c r="N149" s="59"/>
      <c r="O149" s="59"/>
      <c r="P149" s="59"/>
      <c r="R149" s="60"/>
    </row>
    <row r="150" spans="1:18">
      <c r="A150" s="62" t="s">
        <v>156</v>
      </c>
      <c r="D150" s="52"/>
      <c r="E150" s="52"/>
      <c r="F150" s="56"/>
      <c r="H150" s="49"/>
      <c r="I150" s="49"/>
      <c r="J150" s="49"/>
      <c r="K150" s="49"/>
      <c r="L150" s="60">
        <v>0</v>
      </c>
      <c r="N150" s="59"/>
      <c r="O150" s="59"/>
      <c r="P150" s="59"/>
      <c r="R150" s="60"/>
    </row>
    <row r="151" spans="1:18">
      <c r="A151" s="61" t="s">
        <v>157</v>
      </c>
      <c r="D151" s="52"/>
      <c r="E151" s="52"/>
      <c r="F151" s="56"/>
      <c r="H151" s="57">
        <v>290502.5</v>
      </c>
      <c r="I151" s="57">
        <v>138252.5</v>
      </c>
      <c r="J151" s="57">
        <v>97750</v>
      </c>
      <c r="K151" s="57">
        <v>97750</v>
      </c>
      <c r="L151" s="58">
        <v>624255</v>
      </c>
      <c r="N151" s="59">
        <v>290502.5</v>
      </c>
      <c r="O151" s="59">
        <v>138252.5</v>
      </c>
      <c r="P151" s="59">
        <v>97750</v>
      </c>
      <c r="Q151" s="59">
        <v>97750</v>
      </c>
      <c r="R151" s="60">
        <v>624255</v>
      </c>
    </row>
    <row r="152" spans="1:18">
      <c r="A152" s="62" t="s">
        <v>153</v>
      </c>
      <c r="D152" s="52"/>
      <c r="E152" s="52"/>
      <c r="F152" s="56"/>
      <c r="H152" s="63">
        <v>40502.5</v>
      </c>
      <c r="I152" s="63">
        <v>138252.5</v>
      </c>
      <c r="J152" s="63">
        <v>97750</v>
      </c>
      <c r="K152" s="63">
        <v>97750</v>
      </c>
      <c r="L152" s="60">
        <v>374255</v>
      </c>
      <c r="N152" s="59"/>
      <c r="O152" s="59"/>
      <c r="P152" s="59"/>
      <c r="R152" s="60"/>
    </row>
    <row r="153" spans="1:18">
      <c r="A153" s="62" t="s">
        <v>154</v>
      </c>
      <c r="D153" s="52"/>
      <c r="E153" s="52"/>
      <c r="F153" s="56"/>
      <c r="H153" s="49">
        <v>250000</v>
      </c>
      <c r="I153" s="49"/>
      <c r="J153" s="49"/>
      <c r="K153" s="49"/>
      <c r="L153" s="60">
        <v>250000</v>
      </c>
      <c r="N153" s="59"/>
      <c r="O153" s="59"/>
      <c r="P153" s="59"/>
      <c r="R153" s="60"/>
    </row>
    <row r="154" spans="1:18">
      <c r="A154" s="62" t="s">
        <v>156</v>
      </c>
      <c r="D154" s="52"/>
      <c r="E154" s="52"/>
      <c r="F154" s="56"/>
      <c r="H154" s="49"/>
      <c r="I154" s="49"/>
      <c r="J154" s="49"/>
      <c r="K154" s="49"/>
      <c r="L154" s="60">
        <v>0</v>
      </c>
      <c r="N154" s="59"/>
      <c r="O154" s="59"/>
      <c r="P154" s="59"/>
      <c r="R154" s="60"/>
    </row>
    <row r="155" spans="1:18">
      <c r="A155" s="53" t="s">
        <v>192</v>
      </c>
      <c r="B155" s="50" t="s">
        <v>190</v>
      </c>
      <c r="C155" s="51" t="s">
        <v>149</v>
      </c>
      <c r="D155" s="52"/>
      <c r="E155" s="52"/>
      <c r="F155" s="56"/>
      <c r="G155" s="51" t="s">
        <v>193</v>
      </c>
      <c r="H155" s="57">
        <v>290502.5</v>
      </c>
      <c r="I155" s="57">
        <v>138252.5</v>
      </c>
      <c r="J155" s="57">
        <v>97750</v>
      </c>
      <c r="K155" s="57">
        <v>97750</v>
      </c>
      <c r="L155" s="58">
        <v>624255</v>
      </c>
      <c r="M155" s="67">
        <v>1</v>
      </c>
      <c r="N155" s="59">
        <v>290502.5</v>
      </c>
      <c r="O155" s="59">
        <v>138252.5</v>
      </c>
      <c r="P155" s="59">
        <v>97750</v>
      </c>
      <c r="Q155" s="59">
        <v>97750</v>
      </c>
      <c r="R155" s="60">
        <v>624255</v>
      </c>
    </row>
    <row r="156" spans="1:18">
      <c r="A156" s="61" t="s">
        <v>152</v>
      </c>
      <c r="D156" s="52"/>
      <c r="E156" s="52"/>
      <c r="F156" s="56"/>
      <c r="H156" s="57">
        <v>0</v>
      </c>
      <c r="I156" s="57">
        <v>0</v>
      </c>
      <c r="J156" s="57">
        <v>0</v>
      </c>
      <c r="K156" s="57">
        <v>0</v>
      </c>
      <c r="L156" s="58">
        <v>0</v>
      </c>
      <c r="N156" s="59">
        <v>0</v>
      </c>
      <c r="O156" s="59">
        <v>0</v>
      </c>
      <c r="P156" s="59">
        <v>0</v>
      </c>
      <c r="Q156" s="59">
        <v>0</v>
      </c>
      <c r="R156" s="60">
        <v>0</v>
      </c>
    </row>
    <row r="157" spans="1:18">
      <c r="A157" s="62" t="s">
        <v>153</v>
      </c>
      <c r="D157" s="52"/>
      <c r="E157" s="52"/>
      <c r="F157" s="56"/>
      <c r="H157" s="49"/>
      <c r="I157" s="49"/>
      <c r="J157" s="49"/>
      <c r="K157" s="49"/>
      <c r="L157" s="60">
        <v>0</v>
      </c>
      <c r="N157" s="59"/>
      <c r="O157" s="59"/>
      <c r="P157" s="59"/>
      <c r="R157" s="60"/>
    </row>
    <row r="158" spans="1:18">
      <c r="A158" s="62" t="s">
        <v>154</v>
      </c>
      <c r="D158" s="52"/>
      <c r="E158" s="52"/>
      <c r="F158" s="56"/>
      <c r="H158" s="49"/>
      <c r="I158" s="49"/>
      <c r="J158" s="49"/>
      <c r="K158" s="49"/>
      <c r="L158" s="60">
        <v>0</v>
      </c>
      <c r="N158" s="59"/>
      <c r="O158" s="59"/>
      <c r="P158" s="59"/>
      <c r="R158" s="60"/>
    </row>
    <row r="159" spans="1:18">
      <c r="A159" s="62" t="s">
        <v>155</v>
      </c>
      <c r="D159" s="52"/>
      <c r="E159" s="52"/>
      <c r="F159" s="56"/>
      <c r="H159" s="49"/>
      <c r="I159" s="49"/>
      <c r="J159" s="49"/>
      <c r="K159" s="49"/>
      <c r="L159" s="60">
        <v>0</v>
      </c>
      <c r="N159" s="59"/>
      <c r="O159" s="59"/>
      <c r="P159" s="59"/>
      <c r="R159" s="60"/>
    </row>
    <row r="160" spans="1:18">
      <c r="A160" s="62" t="s">
        <v>156</v>
      </c>
      <c r="D160" s="52"/>
      <c r="E160" s="52"/>
      <c r="F160" s="56"/>
      <c r="H160" s="49"/>
      <c r="I160" s="49"/>
      <c r="J160" s="49"/>
      <c r="K160" s="49"/>
      <c r="L160" s="60">
        <v>0</v>
      </c>
      <c r="N160" s="59"/>
      <c r="O160" s="59"/>
      <c r="P160" s="59"/>
      <c r="R160" s="60"/>
    </row>
    <row r="161" spans="1:18">
      <c r="A161" s="61" t="s">
        <v>157</v>
      </c>
      <c r="D161" s="52"/>
      <c r="E161" s="52"/>
      <c r="F161" s="56"/>
      <c r="H161" s="57">
        <v>290502.5</v>
      </c>
      <c r="I161" s="57">
        <v>138252.5</v>
      </c>
      <c r="J161" s="57">
        <v>97750</v>
      </c>
      <c r="K161" s="57">
        <v>97750</v>
      </c>
      <c r="L161" s="58">
        <v>624255</v>
      </c>
      <c r="N161" s="59">
        <v>290502.5</v>
      </c>
      <c r="O161" s="59">
        <v>138252.5</v>
      </c>
      <c r="P161" s="59">
        <v>97750</v>
      </c>
      <c r="Q161" s="59">
        <v>97750</v>
      </c>
      <c r="R161" s="60">
        <v>624255</v>
      </c>
    </row>
    <row r="162" spans="1:18">
      <c r="A162" s="62" t="s">
        <v>153</v>
      </c>
      <c r="D162" s="52"/>
      <c r="E162" s="52"/>
      <c r="F162" s="56"/>
      <c r="H162" s="63">
        <v>40502.5</v>
      </c>
      <c r="I162" s="63">
        <v>138252.5</v>
      </c>
      <c r="J162" s="63">
        <v>97750</v>
      </c>
      <c r="K162" s="63">
        <v>97750</v>
      </c>
      <c r="L162" s="60">
        <v>374255</v>
      </c>
      <c r="N162" s="59"/>
      <c r="O162" s="59"/>
      <c r="P162" s="59"/>
      <c r="R162" s="60"/>
    </row>
    <row r="163" spans="1:18">
      <c r="A163" s="62" t="s">
        <v>154</v>
      </c>
      <c r="D163" s="52"/>
      <c r="E163" s="52"/>
      <c r="F163" s="56"/>
      <c r="H163" s="49">
        <v>250000</v>
      </c>
      <c r="I163" s="49"/>
      <c r="J163" s="49"/>
      <c r="K163" s="49"/>
      <c r="L163" s="60">
        <v>250000</v>
      </c>
      <c r="N163" s="59"/>
      <c r="O163" s="59"/>
      <c r="P163" s="59"/>
      <c r="R163" s="60"/>
    </row>
    <row r="164" spans="1:18">
      <c r="A164" s="62" t="s">
        <v>156</v>
      </c>
      <c r="D164" s="52"/>
      <c r="E164" s="52"/>
      <c r="F164" s="56"/>
      <c r="H164" s="49"/>
      <c r="I164" s="49"/>
      <c r="J164" s="49"/>
      <c r="K164" s="49"/>
      <c r="L164" s="60">
        <v>0</v>
      </c>
      <c r="N164" s="59"/>
      <c r="O164" s="59"/>
      <c r="P164" s="59"/>
      <c r="R164" s="60"/>
    </row>
    <row r="165" spans="1:18">
      <c r="A165" s="53" t="s">
        <v>194</v>
      </c>
      <c r="B165" s="50" t="s">
        <v>190</v>
      </c>
      <c r="C165" s="51" t="s">
        <v>149</v>
      </c>
      <c r="D165" s="52"/>
      <c r="E165" s="52"/>
      <c r="F165" s="56"/>
      <c r="G165" s="51" t="s">
        <v>195</v>
      </c>
      <c r="H165" s="57">
        <v>290502.5</v>
      </c>
      <c r="I165" s="57">
        <v>97750</v>
      </c>
      <c r="J165" s="57">
        <v>97750</v>
      </c>
      <c r="K165" s="57">
        <v>97750</v>
      </c>
      <c r="L165" s="58">
        <v>583752.5</v>
      </c>
      <c r="M165" s="67">
        <v>1</v>
      </c>
      <c r="N165" s="59">
        <v>290502.5</v>
      </c>
      <c r="O165" s="59">
        <v>97750</v>
      </c>
      <c r="P165" s="59">
        <v>97750</v>
      </c>
      <c r="Q165" s="59">
        <v>97750</v>
      </c>
      <c r="R165" s="60">
        <v>583752.5</v>
      </c>
    </row>
    <row r="166" spans="1:18">
      <c r="A166" s="61" t="s">
        <v>152</v>
      </c>
      <c r="D166" s="52"/>
      <c r="E166" s="52"/>
      <c r="F166" s="56"/>
      <c r="H166" s="57">
        <v>0</v>
      </c>
      <c r="I166" s="57">
        <v>0</v>
      </c>
      <c r="J166" s="57">
        <v>0</v>
      </c>
      <c r="K166" s="57">
        <v>0</v>
      </c>
      <c r="L166" s="58">
        <v>0</v>
      </c>
      <c r="N166" s="59">
        <v>0</v>
      </c>
      <c r="O166" s="59">
        <v>0</v>
      </c>
      <c r="P166" s="59">
        <v>0</v>
      </c>
      <c r="Q166" s="59">
        <v>0</v>
      </c>
      <c r="R166" s="60">
        <v>0</v>
      </c>
    </row>
    <row r="167" spans="1:18">
      <c r="A167" s="62" t="s">
        <v>153</v>
      </c>
      <c r="D167" s="52"/>
      <c r="E167" s="52"/>
      <c r="F167" s="56"/>
      <c r="H167" s="49"/>
      <c r="I167" s="49"/>
      <c r="J167" s="49"/>
      <c r="K167" s="49"/>
      <c r="L167" s="60">
        <v>0</v>
      </c>
      <c r="N167" s="59"/>
      <c r="O167" s="59"/>
      <c r="P167" s="59"/>
      <c r="R167" s="60"/>
    </row>
    <row r="168" spans="1:18">
      <c r="A168" s="62" t="s">
        <v>154</v>
      </c>
      <c r="D168" s="52"/>
      <c r="E168" s="52"/>
      <c r="F168" s="56"/>
      <c r="H168" s="49"/>
      <c r="I168" s="49"/>
      <c r="J168" s="49"/>
      <c r="K168" s="49"/>
      <c r="L168" s="60">
        <v>0</v>
      </c>
      <c r="N168" s="59"/>
      <c r="O168" s="59"/>
      <c r="P168" s="59"/>
      <c r="R168" s="60"/>
    </row>
    <row r="169" spans="1:18">
      <c r="A169" s="62" t="s">
        <v>155</v>
      </c>
      <c r="D169" s="52"/>
      <c r="E169" s="52"/>
      <c r="F169" s="56"/>
      <c r="H169" s="49"/>
      <c r="I169" s="49"/>
      <c r="J169" s="49"/>
      <c r="K169" s="49"/>
      <c r="L169" s="60">
        <v>0</v>
      </c>
      <c r="N169" s="59"/>
      <c r="O169" s="59"/>
      <c r="P169" s="59"/>
      <c r="R169" s="60"/>
    </row>
    <row r="170" spans="1:18">
      <c r="A170" s="62" t="s">
        <v>156</v>
      </c>
      <c r="D170" s="52"/>
      <c r="E170" s="52"/>
      <c r="F170" s="56"/>
      <c r="H170" s="49"/>
      <c r="I170" s="49"/>
      <c r="J170" s="49"/>
      <c r="K170" s="49"/>
      <c r="L170" s="60">
        <v>0</v>
      </c>
      <c r="N170" s="59"/>
      <c r="O170" s="59"/>
      <c r="P170" s="59"/>
      <c r="R170" s="60"/>
    </row>
    <row r="171" spans="1:18">
      <c r="A171" s="61" t="s">
        <v>157</v>
      </c>
      <c r="D171" s="52"/>
      <c r="E171" s="52"/>
      <c r="F171" s="56"/>
      <c r="H171" s="57">
        <v>290502.5</v>
      </c>
      <c r="I171" s="57">
        <v>97750</v>
      </c>
      <c r="J171" s="57">
        <v>97750</v>
      </c>
      <c r="K171" s="57">
        <v>97750</v>
      </c>
      <c r="L171" s="58">
        <v>583752.5</v>
      </c>
      <c r="N171" s="59">
        <v>290502.5</v>
      </c>
      <c r="O171" s="59">
        <v>97750</v>
      </c>
      <c r="P171" s="59">
        <v>97750</v>
      </c>
      <c r="Q171" s="59">
        <v>97750</v>
      </c>
      <c r="R171" s="60">
        <v>583752.5</v>
      </c>
    </row>
    <row r="172" spans="1:18">
      <c r="A172" s="62" t="s">
        <v>153</v>
      </c>
      <c r="D172" s="52"/>
      <c r="E172" s="52"/>
      <c r="F172" s="56"/>
      <c r="H172" s="63">
        <v>40502.5</v>
      </c>
      <c r="I172" s="63">
        <v>97750</v>
      </c>
      <c r="J172" s="63">
        <v>97750</v>
      </c>
      <c r="K172" s="63">
        <v>97750</v>
      </c>
      <c r="L172" s="60">
        <v>333752.5</v>
      </c>
      <c r="N172" s="59"/>
      <c r="O172" s="59"/>
      <c r="P172" s="59"/>
      <c r="R172" s="60"/>
    </row>
    <row r="173" spans="1:18">
      <c r="A173" s="62" t="s">
        <v>154</v>
      </c>
      <c r="D173" s="52"/>
      <c r="E173" s="52"/>
      <c r="F173" s="56"/>
      <c r="H173" s="49">
        <v>250000</v>
      </c>
      <c r="I173" s="49"/>
      <c r="J173" s="49"/>
      <c r="K173" s="49"/>
      <c r="L173" s="60">
        <v>250000</v>
      </c>
      <c r="N173" s="59"/>
      <c r="O173" s="59"/>
      <c r="P173" s="59"/>
      <c r="R173" s="60"/>
    </row>
    <row r="174" spans="1:18">
      <c r="A174" s="62" t="s">
        <v>156</v>
      </c>
      <c r="D174" s="52"/>
      <c r="E174" s="52"/>
      <c r="F174" s="56"/>
      <c r="H174" s="49"/>
      <c r="I174" s="49"/>
      <c r="J174" s="49"/>
      <c r="K174" s="49"/>
      <c r="L174" s="60">
        <v>0</v>
      </c>
      <c r="N174" s="59"/>
      <c r="O174" s="59"/>
      <c r="P174" s="59"/>
      <c r="R174" s="60"/>
    </row>
    <row r="175" spans="1:18">
      <c r="A175" s="53" t="s">
        <v>196</v>
      </c>
      <c r="B175" s="50" t="s">
        <v>190</v>
      </c>
      <c r="C175" s="51" t="s">
        <v>197</v>
      </c>
      <c r="D175" s="52"/>
      <c r="E175" s="52"/>
      <c r="F175" s="56"/>
      <c r="G175" s="51" t="s">
        <v>198</v>
      </c>
      <c r="H175" s="57">
        <v>5962737</v>
      </c>
      <c r="I175" s="57">
        <v>1839763</v>
      </c>
      <c r="J175" s="57">
        <v>0</v>
      </c>
      <c r="K175" s="57">
        <v>0</v>
      </c>
      <c r="L175" s="58">
        <v>7802500</v>
      </c>
      <c r="M175" s="67">
        <v>1</v>
      </c>
      <c r="N175" s="59">
        <v>5962737</v>
      </c>
      <c r="O175" s="59">
        <v>1839763</v>
      </c>
      <c r="P175" s="59">
        <v>0</v>
      </c>
      <c r="Q175" s="59">
        <v>0</v>
      </c>
      <c r="R175" s="60">
        <v>7802500</v>
      </c>
    </row>
    <row r="176" spans="1:18">
      <c r="A176" s="61" t="s">
        <v>152</v>
      </c>
      <c r="D176" s="52"/>
      <c r="E176" s="52"/>
      <c r="F176" s="56" t="s">
        <v>199</v>
      </c>
      <c r="H176" s="69">
        <v>5962737</v>
      </c>
      <c r="I176" s="69">
        <v>1839763</v>
      </c>
      <c r="J176" s="70">
        <v>0</v>
      </c>
      <c r="K176" s="70">
        <v>0</v>
      </c>
      <c r="L176" s="58">
        <v>7802500</v>
      </c>
      <c r="N176" s="59">
        <v>5962737</v>
      </c>
      <c r="O176" s="59">
        <v>1839763</v>
      </c>
      <c r="P176" s="59">
        <v>0</v>
      </c>
      <c r="Q176" s="59">
        <v>0</v>
      </c>
      <c r="R176" s="60">
        <v>7802500</v>
      </c>
    </row>
    <row r="177" spans="1:18">
      <c r="A177" s="62" t="s">
        <v>153</v>
      </c>
      <c r="D177" s="52"/>
      <c r="E177" s="52"/>
      <c r="F177" s="56"/>
      <c r="H177" s="49"/>
      <c r="I177" s="49"/>
      <c r="J177" s="49"/>
      <c r="K177" s="49"/>
      <c r="L177" s="60">
        <v>0</v>
      </c>
      <c r="N177" s="59"/>
      <c r="O177" s="59"/>
      <c r="P177" s="59"/>
      <c r="R177" s="60"/>
    </row>
    <row r="178" spans="1:18">
      <c r="A178" s="62" t="s">
        <v>154</v>
      </c>
      <c r="D178" s="52"/>
      <c r="E178" s="52"/>
      <c r="F178" s="56"/>
      <c r="H178" s="49"/>
      <c r="I178" s="49"/>
      <c r="J178" s="49"/>
      <c r="K178" s="49"/>
      <c r="L178" s="60">
        <v>0</v>
      </c>
      <c r="N178" s="59"/>
      <c r="O178" s="59"/>
      <c r="P178" s="59"/>
      <c r="R178" s="60"/>
    </row>
    <row r="179" spans="1:18">
      <c r="A179" s="62" t="s">
        <v>155</v>
      </c>
      <c r="D179" s="52"/>
      <c r="E179" s="52"/>
      <c r="F179" s="56"/>
      <c r="H179" s="49"/>
      <c r="I179" s="49"/>
      <c r="J179" s="49"/>
      <c r="K179" s="49"/>
      <c r="L179" s="60">
        <v>0</v>
      </c>
      <c r="N179" s="59"/>
      <c r="O179" s="59"/>
      <c r="P179" s="59"/>
      <c r="R179" s="60"/>
    </row>
    <row r="180" spans="1:18">
      <c r="A180" s="62" t="s">
        <v>156</v>
      </c>
      <c r="D180" s="52"/>
      <c r="E180" s="52"/>
      <c r="F180" s="56"/>
      <c r="H180" s="49"/>
      <c r="I180" s="49"/>
      <c r="J180" s="49"/>
      <c r="K180" s="49"/>
      <c r="L180" s="60">
        <v>0</v>
      </c>
      <c r="N180" s="59"/>
      <c r="O180" s="59"/>
      <c r="P180" s="59"/>
      <c r="R180" s="60"/>
    </row>
    <row r="181" spans="1:18">
      <c r="A181" s="61" t="s">
        <v>157</v>
      </c>
      <c r="D181" s="52"/>
      <c r="E181" s="52"/>
      <c r="F181" s="56"/>
      <c r="H181" s="57">
        <v>0</v>
      </c>
      <c r="I181" s="57">
        <v>0</v>
      </c>
      <c r="J181" s="57">
        <v>0</v>
      </c>
      <c r="K181" s="57">
        <v>0</v>
      </c>
      <c r="L181" s="58">
        <v>0</v>
      </c>
      <c r="N181" s="59">
        <v>0</v>
      </c>
      <c r="O181" s="59">
        <v>0</v>
      </c>
      <c r="P181" s="59">
        <v>0</v>
      </c>
      <c r="Q181" s="59">
        <v>0</v>
      </c>
      <c r="R181" s="60">
        <v>0</v>
      </c>
    </row>
    <row r="182" spans="1:18">
      <c r="A182" s="62" t="s">
        <v>153</v>
      </c>
      <c r="D182" s="52"/>
      <c r="E182" s="52"/>
      <c r="F182" s="56"/>
      <c r="H182" s="63">
        <v>0</v>
      </c>
      <c r="I182" s="63">
        <v>0</v>
      </c>
      <c r="J182" s="63">
        <v>0</v>
      </c>
      <c r="K182" s="63">
        <v>0</v>
      </c>
      <c r="L182" s="60">
        <v>0</v>
      </c>
      <c r="N182" s="59"/>
      <c r="O182" s="59"/>
      <c r="P182" s="59"/>
      <c r="R182" s="60"/>
    </row>
    <row r="183" spans="1:18">
      <c r="A183" s="62" t="s">
        <v>154</v>
      </c>
      <c r="D183" s="52"/>
      <c r="E183" s="52"/>
      <c r="F183" s="56"/>
      <c r="H183" s="49"/>
      <c r="I183" s="49"/>
      <c r="J183" s="49"/>
      <c r="K183" s="49"/>
      <c r="L183" s="60">
        <v>0</v>
      </c>
      <c r="N183" s="59"/>
      <c r="O183" s="59"/>
      <c r="P183" s="59"/>
      <c r="R183" s="60"/>
    </row>
    <row r="184" spans="1:18">
      <c r="A184" s="62" t="s">
        <v>156</v>
      </c>
      <c r="D184" s="52"/>
      <c r="E184" s="52"/>
      <c r="F184" s="56"/>
      <c r="H184" s="49"/>
      <c r="I184" s="49"/>
      <c r="J184" s="49"/>
      <c r="K184" s="49"/>
      <c r="L184" s="60">
        <v>0</v>
      </c>
      <c r="N184" s="59"/>
      <c r="O184" s="59"/>
      <c r="P184" s="59"/>
      <c r="R184" s="60"/>
    </row>
    <row r="185" spans="1:18">
      <c r="A185" s="71" t="s">
        <v>200</v>
      </c>
      <c r="B185" s="72"/>
      <c r="C185" s="73"/>
      <c r="D185" s="74"/>
      <c r="E185" s="74"/>
      <c r="F185" s="73"/>
      <c r="G185" s="73"/>
      <c r="H185" s="75">
        <v>13894446</v>
      </c>
      <c r="I185" s="75">
        <v>12697433</v>
      </c>
      <c r="J185" s="75">
        <v>1895710</v>
      </c>
      <c r="K185" s="75">
        <v>1090587.5</v>
      </c>
      <c r="L185" s="75">
        <v>29578176.5</v>
      </c>
      <c r="M185" s="73"/>
      <c r="N185" s="75">
        <v>13894446</v>
      </c>
      <c r="O185" s="75">
        <v>12697433</v>
      </c>
      <c r="P185" s="75">
        <v>1895710</v>
      </c>
      <c r="Q185" s="75">
        <v>1090587.5</v>
      </c>
      <c r="R185" s="75">
        <v>29578176.5</v>
      </c>
    </row>
    <row r="186" spans="1:18">
      <c r="A186" s="61" t="s">
        <v>152</v>
      </c>
      <c r="D186" s="52"/>
      <c r="E186" s="52"/>
      <c r="H186" s="64">
        <v>11787737</v>
      </c>
      <c r="I186" s="64">
        <v>11389763</v>
      </c>
      <c r="J186" s="64">
        <v>950000</v>
      </c>
      <c r="K186" s="64">
        <v>200000</v>
      </c>
      <c r="L186" s="64">
        <v>24327500</v>
      </c>
      <c r="N186" s="64">
        <v>11787737</v>
      </c>
      <c r="O186" s="64">
        <v>11389763</v>
      </c>
      <c r="P186" s="64">
        <v>950000</v>
      </c>
      <c r="Q186" s="64">
        <v>200000</v>
      </c>
      <c r="R186" s="64">
        <v>24327500</v>
      </c>
    </row>
    <row r="187" spans="1:18">
      <c r="A187" s="61" t="s">
        <v>157</v>
      </c>
      <c r="D187" s="52"/>
      <c r="E187" s="52"/>
      <c r="H187" s="64">
        <v>2106709</v>
      </c>
      <c r="I187" s="64">
        <v>1307670</v>
      </c>
      <c r="J187" s="64">
        <v>945710</v>
      </c>
      <c r="K187" s="64">
        <v>890587.5</v>
      </c>
      <c r="L187" s="64">
        <v>5250676.5</v>
      </c>
      <c r="N187" s="64">
        <v>2106709</v>
      </c>
      <c r="O187" s="64">
        <v>1307670</v>
      </c>
      <c r="P187" s="64">
        <v>945710</v>
      </c>
      <c r="Q187" s="64">
        <v>890587.5</v>
      </c>
      <c r="R187" s="64">
        <v>5250676.5</v>
      </c>
    </row>
    <row r="188" spans="1:18">
      <c r="A188" s="62"/>
      <c r="D188" s="52"/>
      <c r="E188" s="52"/>
      <c r="H188" s="65">
        <f>SUM(H176,H96,H86,H66,H6)</f>
        <v>11787737</v>
      </c>
      <c r="I188" s="65"/>
      <c r="J188" s="65"/>
      <c r="K188" s="65"/>
      <c r="N188" s="65"/>
      <c r="O188" s="65"/>
      <c r="P188" s="65"/>
      <c r="Q188" s="65"/>
    </row>
    <row r="189" spans="1:18">
      <c r="D189" s="52"/>
      <c r="E189" s="52"/>
    </row>
    <row r="190" spans="1:18">
      <c r="A190" s="66" t="s">
        <v>201</v>
      </c>
      <c r="D190" s="52"/>
      <c r="E190" s="52"/>
    </row>
    <row r="191" spans="1:18">
      <c r="A191" s="53" t="s">
        <v>202</v>
      </c>
      <c r="B191" s="50" t="s">
        <v>162</v>
      </c>
      <c r="C191" s="51" t="s">
        <v>179</v>
      </c>
      <c r="D191" s="52"/>
      <c r="E191" s="52"/>
      <c r="F191" s="56" t="s">
        <v>203</v>
      </c>
      <c r="G191" s="51" t="s">
        <v>198</v>
      </c>
      <c r="H191" s="57">
        <v>827571</v>
      </c>
      <c r="I191" s="57">
        <v>685759.66666666674</v>
      </c>
      <c r="J191" s="57">
        <v>685759.66666666674</v>
      </c>
      <c r="K191" s="57">
        <v>685759.66666666674</v>
      </c>
      <c r="L191" s="58">
        <v>2884850</v>
      </c>
      <c r="M191" s="67">
        <v>1</v>
      </c>
      <c r="N191" s="59">
        <v>827571</v>
      </c>
      <c r="O191" s="59">
        <v>685759.66666666674</v>
      </c>
      <c r="P191" s="59">
        <v>685759.66666666674</v>
      </c>
      <c r="Q191" s="59">
        <v>685759.66666666674</v>
      </c>
      <c r="R191" s="60">
        <v>2884850</v>
      </c>
    </row>
    <row r="192" spans="1:18">
      <c r="A192" s="61" t="s">
        <v>152</v>
      </c>
      <c r="D192" s="52"/>
      <c r="E192" s="52"/>
      <c r="F192" s="56"/>
      <c r="H192" s="57">
        <v>750000</v>
      </c>
      <c r="I192" s="57">
        <v>0</v>
      </c>
      <c r="J192" s="57">
        <v>0</v>
      </c>
      <c r="K192" s="57">
        <v>0</v>
      </c>
      <c r="L192" s="58">
        <v>750000</v>
      </c>
      <c r="N192" s="59">
        <v>750000</v>
      </c>
      <c r="O192" s="59">
        <v>0</v>
      </c>
      <c r="P192" s="59">
        <v>0</v>
      </c>
      <c r="Q192" s="59">
        <v>0</v>
      </c>
      <c r="R192" s="60">
        <v>750000</v>
      </c>
    </row>
    <row r="193" spans="1:18">
      <c r="A193" s="62" t="s">
        <v>153</v>
      </c>
      <c r="D193" s="52"/>
      <c r="E193" s="52"/>
      <c r="F193" s="56"/>
      <c r="H193" s="49"/>
      <c r="I193" s="49"/>
      <c r="J193" s="49"/>
      <c r="K193" s="49"/>
      <c r="L193" s="60">
        <v>0</v>
      </c>
      <c r="N193" s="59"/>
      <c r="O193" s="59"/>
      <c r="P193" s="59"/>
      <c r="R193" s="60"/>
    </row>
    <row r="194" spans="1:18">
      <c r="A194" s="62" t="s">
        <v>154</v>
      </c>
      <c r="D194" s="52"/>
      <c r="E194" s="52"/>
      <c r="F194" s="56"/>
      <c r="H194" s="49">
        <v>750000</v>
      </c>
      <c r="J194" s="49"/>
      <c r="K194" s="49"/>
      <c r="L194" s="60">
        <v>750000</v>
      </c>
      <c r="N194" s="59"/>
      <c r="O194" s="59"/>
      <c r="P194" s="59"/>
      <c r="R194" s="60"/>
    </row>
    <row r="195" spans="1:18">
      <c r="A195" s="62" t="s">
        <v>155</v>
      </c>
      <c r="D195" s="52"/>
      <c r="E195" s="52"/>
      <c r="F195" s="56"/>
      <c r="H195" s="49"/>
      <c r="I195" s="49"/>
      <c r="J195" s="49"/>
      <c r="K195" s="49"/>
      <c r="L195" s="60">
        <v>0</v>
      </c>
      <c r="N195" s="59"/>
      <c r="O195" s="59"/>
      <c r="P195" s="59"/>
      <c r="R195" s="60"/>
    </row>
    <row r="196" spans="1:18">
      <c r="A196" s="62" t="s">
        <v>156</v>
      </c>
      <c r="D196" s="52"/>
      <c r="E196" s="52"/>
      <c r="F196" s="56"/>
      <c r="H196" s="49"/>
      <c r="I196" s="49"/>
      <c r="J196" s="49"/>
      <c r="K196" s="49"/>
      <c r="L196" s="60">
        <v>0</v>
      </c>
      <c r="N196" s="59"/>
      <c r="O196" s="59"/>
      <c r="P196" s="59"/>
      <c r="R196" s="60"/>
    </row>
    <row r="197" spans="1:18">
      <c r="A197" s="61" t="s">
        <v>157</v>
      </c>
      <c r="D197" s="52"/>
      <c r="E197" s="52"/>
      <c r="F197" s="56"/>
      <c r="H197" s="57">
        <v>77571</v>
      </c>
      <c r="I197" s="57">
        <v>685759.66666666674</v>
      </c>
      <c r="J197" s="57">
        <v>685759.66666666674</v>
      </c>
      <c r="K197" s="57">
        <v>685759.66666666674</v>
      </c>
      <c r="L197" s="58">
        <v>2134850</v>
      </c>
      <c r="N197" s="59">
        <v>77571</v>
      </c>
      <c r="O197" s="59">
        <v>685759.66666666674</v>
      </c>
      <c r="P197" s="59">
        <v>685759.66666666674</v>
      </c>
      <c r="Q197" s="59">
        <v>685759.66666666674</v>
      </c>
      <c r="R197" s="60">
        <v>2134850</v>
      </c>
    </row>
    <row r="198" spans="1:18">
      <c r="A198" s="62" t="s">
        <v>153</v>
      </c>
      <c r="D198" s="52"/>
      <c r="E198" s="52"/>
      <c r="F198" s="56"/>
      <c r="H198" s="63">
        <v>77571</v>
      </c>
      <c r="I198" s="63">
        <v>269093</v>
      </c>
      <c r="J198" s="63">
        <v>269093</v>
      </c>
      <c r="K198" s="63">
        <v>269093</v>
      </c>
      <c r="L198" s="60">
        <v>884850</v>
      </c>
      <c r="N198" s="59"/>
      <c r="O198" s="59"/>
      <c r="P198" s="59"/>
      <c r="R198" s="60"/>
    </row>
    <row r="199" spans="1:18">
      <c r="A199" s="62" t="s">
        <v>154</v>
      </c>
      <c r="D199" s="52"/>
      <c r="E199" s="52"/>
      <c r="F199" s="56"/>
      <c r="H199" s="49">
        <v>0</v>
      </c>
      <c r="I199" s="49">
        <v>416666.66666666669</v>
      </c>
      <c r="J199" s="49">
        <v>416666.66666666669</v>
      </c>
      <c r="K199" s="49">
        <v>416666.66666666669</v>
      </c>
      <c r="L199" s="60">
        <v>1250000</v>
      </c>
      <c r="N199" s="59"/>
      <c r="O199" s="59"/>
      <c r="P199" s="59"/>
      <c r="R199" s="60"/>
    </row>
    <row r="200" spans="1:18">
      <c r="A200" s="62" t="s">
        <v>156</v>
      </c>
      <c r="D200" s="52"/>
      <c r="E200" s="52"/>
      <c r="F200" s="56"/>
      <c r="H200" s="49"/>
      <c r="I200" s="49"/>
      <c r="J200" s="49"/>
      <c r="K200" s="49"/>
      <c r="L200" s="60">
        <v>0</v>
      </c>
      <c r="N200" s="59"/>
      <c r="O200" s="59"/>
      <c r="P200" s="59"/>
      <c r="R200" s="60"/>
    </row>
    <row r="201" spans="1:18">
      <c r="A201" s="53" t="s">
        <v>204</v>
      </c>
      <c r="B201" s="50" t="s">
        <v>162</v>
      </c>
      <c r="C201" s="51" t="s">
        <v>197</v>
      </c>
      <c r="D201" s="52"/>
      <c r="E201" s="52"/>
      <c r="F201" s="56" t="s">
        <v>205</v>
      </c>
      <c r="G201" s="51" t="s">
        <v>198</v>
      </c>
      <c r="H201" s="57">
        <v>248900</v>
      </c>
      <c r="I201" s="57">
        <v>248900</v>
      </c>
      <c r="J201" s="57">
        <v>248900</v>
      </c>
      <c r="K201" s="57">
        <v>0</v>
      </c>
      <c r="L201" s="58">
        <v>746700</v>
      </c>
      <c r="M201" s="67">
        <v>0.2</v>
      </c>
      <c r="N201" s="59">
        <v>49780</v>
      </c>
      <c r="O201" s="59">
        <v>49780</v>
      </c>
      <c r="P201" s="59">
        <v>49780</v>
      </c>
      <c r="Q201" s="59">
        <v>0</v>
      </c>
      <c r="R201" s="60">
        <v>149340</v>
      </c>
    </row>
    <row r="202" spans="1:18">
      <c r="A202" s="61" t="s">
        <v>152</v>
      </c>
      <c r="D202" s="52"/>
      <c r="E202" s="52"/>
      <c r="F202" s="56" t="s">
        <v>199</v>
      </c>
      <c r="H202" s="70">
        <v>248900</v>
      </c>
      <c r="I202" s="70">
        <v>248900</v>
      </c>
      <c r="J202" s="70">
        <v>248900</v>
      </c>
      <c r="K202" s="70"/>
      <c r="L202" s="68">
        <v>746700</v>
      </c>
      <c r="N202" s="59">
        <v>49780</v>
      </c>
      <c r="O202" s="59">
        <v>49780</v>
      </c>
      <c r="P202" s="59">
        <v>49780</v>
      </c>
      <c r="Q202" s="59">
        <v>0</v>
      </c>
      <c r="R202" s="60">
        <v>149340</v>
      </c>
    </row>
    <row r="203" spans="1:18">
      <c r="A203" s="62" t="s">
        <v>153</v>
      </c>
      <c r="D203" s="52"/>
      <c r="E203" s="52"/>
      <c r="F203" s="56"/>
      <c r="H203" s="49"/>
      <c r="I203" s="49"/>
      <c r="J203" s="49"/>
      <c r="K203" s="49"/>
      <c r="L203" s="60">
        <v>0</v>
      </c>
      <c r="N203" s="59"/>
      <c r="O203" s="59"/>
      <c r="P203" s="59"/>
      <c r="R203" s="60"/>
    </row>
    <row r="204" spans="1:18">
      <c r="A204" s="62" t="s">
        <v>154</v>
      </c>
      <c r="D204" s="52"/>
      <c r="E204" s="52"/>
      <c r="F204" s="56"/>
      <c r="H204" s="49"/>
      <c r="I204" s="49"/>
      <c r="J204" s="49"/>
      <c r="K204" s="49"/>
      <c r="L204" s="60">
        <v>0</v>
      </c>
      <c r="N204" s="59"/>
      <c r="O204" s="59"/>
      <c r="P204" s="59"/>
      <c r="R204" s="60"/>
    </row>
    <row r="205" spans="1:18">
      <c r="A205" s="62" t="s">
        <v>155</v>
      </c>
      <c r="D205" s="52"/>
      <c r="E205" s="52"/>
      <c r="F205" s="56"/>
      <c r="H205" s="49"/>
      <c r="I205" s="49"/>
      <c r="J205" s="49"/>
      <c r="K205" s="49"/>
      <c r="L205" s="60">
        <v>0</v>
      </c>
      <c r="N205" s="59"/>
      <c r="O205" s="59"/>
      <c r="P205" s="59"/>
      <c r="R205" s="60"/>
    </row>
    <row r="206" spans="1:18">
      <c r="A206" s="62" t="s">
        <v>156</v>
      </c>
      <c r="D206" s="52"/>
      <c r="E206" s="52"/>
      <c r="F206" s="56"/>
      <c r="H206" s="49"/>
      <c r="I206" s="49"/>
      <c r="J206" s="49"/>
      <c r="K206" s="49"/>
      <c r="L206" s="60">
        <v>0</v>
      </c>
      <c r="N206" s="59"/>
      <c r="O206" s="59"/>
      <c r="P206" s="59"/>
      <c r="R206" s="60"/>
    </row>
    <row r="207" spans="1:18">
      <c r="A207" s="61" t="s">
        <v>157</v>
      </c>
      <c r="D207" s="52"/>
      <c r="E207" s="52"/>
      <c r="F207" s="56"/>
      <c r="H207" s="57">
        <v>0</v>
      </c>
      <c r="I207" s="57">
        <v>0</v>
      </c>
      <c r="J207" s="57">
        <v>0</v>
      </c>
      <c r="K207" s="57">
        <v>0</v>
      </c>
      <c r="L207" s="58">
        <v>0</v>
      </c>
      <c r="N207" s="59">
        <v>0</v>
      </c>
      <c r="O207" s="59">
        <v>0</v>
      </c>
      <c r="P207" s="59">
        <v>0</v>
      </c>
      <c r="Q207" s="59">
        <v>0</v>
      </c>
      <c r="R207" s="60">
        <v>0</v>
      </c>
    </row>
    <row r="208" spans="1:18">
      <c r="A208" s="62" t="s">
        <v>153</v>
      </c>
      <c r="D208" s="52"/>
      <c r="E208" s="52"/>
      <c r="F208" s="56"/>
      <c r="H208" s="63">
        <v>0</v>
      </c>
      <c r="I208" s="63">
        <v>0</v>
      </c>
      <c r="J208" s="63">
        <v>0</v>
      </c>
      <c r="K208" s="63">
        <v>0</v>
      </c>
      <c r="L208" s="60">
        <v>0</v>
      </c>
      <c r="N208" s="59"/>
      <c r="O208" s="59"/>
      <c r="P208" s="59"/>
      <c r="R208" s="60"/>
    </row>
    <row r="209" spans="1:18">
      <c r="A209" s="62" t="s">
        <v>154</v>
      </c>
      <c r="D209" s="52"/>
      <c r="E209" s="52"/>
      <c r="F209" s="56"/>
      <c r="H209" s="49"/>
      <c r="I209" s="49"/>
      <c r="J209" s="49"/>
      <c r="K209" s="49"/>
      <c r="L209" s="60">
        <v>0</v>
      </c>
      <c r="N209" s="59"/>
      <c r="O209" s="59"/>
      <c r="P209" s="59"/>
      <c r="R209" s="60"/>
    </row>
    <row r="210" spans="1:18">
      <c r="A210" s="62" t="s">
        <v>156</v>
      </c>
      <c r="D210" s="52"/>
      <c r="E210" s="52"/>
      <c r="F210" s="56"/>
      <c r="H210" s="49"/>
      <c r="I210" s="49"/>
      <c r="J210" s="49"/>
      <c r="K210" s="49"/>
      <c r="L210" s="60">
        <v>0</v>
      </c>
      <c r="N210" s="59"/>
      <c r="O210" s="59"/>
      <c r="P210" s="59"/>
      <c r="R210" s="60"/>
    </row>
    <row r="211" spans="1:18">
      <c r="A211" s="53" t="s">
        <v>206</v>
      </c>
      <c r="B211" s="50" t="s">
        <v>162</v>
      </c>
      <c r="C211" s="51" t="s">
        <v>197</v>
      </c>
      <c r="D211" s="52"/>
      <c r="E211" s="52"/>
      <c r="F211" s="56"/>
      <c r="G211" s="51" t="s">
        <v>198</v>
      </c>
      <c r="H211" s="57">
        <v>3500000</v>
      </c>
      <c r="I211" s="57">
        <v>30000</v>
      </c>
      <c r="J211" s="57">
        <v>30000</v>
      </c>
      <c r="K211" s="57">
        <v>30000</v>
      </c>
      <c r="L211" s="58">
        <v>3590000</v>
      </c>
      <c r="M211" s="67">
        <v>1</v>
      </c>
      <c r="N211" s="59">
        <v>3500000</v>
      </c>
      <c r="O211" s="59">
        <v>30000</v>
      </c>
      <c r="P211" s="59">
        <v>30000</v>
      </c>
      <c r="Q211" s="59">
        <v>30000</v>
      </c>
      <c r="R211" s="60">
        <v>3590000</v>
      </c>
    </row>
    <row r="212" spans="1:18">
      <c r="A212" s="61" t="s">
        <v>152</v>
      </c>
      <c r="D212" s="52"/>
      <c r="E212" s="52"/>
      <c r="F212" s="56" t="s">
        <v>199</v>
      </c>
      <c r="H212" s="70">
        <v>3500000</v>
      </c>
      <c r="I212" s="70">
        <v>30000</v>
      </c>
      <c r="J212" s="70">
        <v>30000</v>
      </c>
      <c r="K212" s="70">
        <v>30000</v>
      </c>
      <c r="L212" s="68">
        <v>3590000</v>
      </c>
      <c r="N212" s="59">
        <v>3500000</v>
      </c>
      <c r="O212" s="59">
        <v>30000</v>
      </c>
      <c r="P212" s="59">
        <v>30000</v>
      </c>
      <c r="Q212" s="59">
        <v>30000</v>
      </c>
      <c r="R212" s="60">
        <v>3590000</v>
      </c>
    </row>
    <row r="213" spans="1:18">
      <c r="A213" s="62" t="s">
        <v>153</v>
      </c>
      <c r="D213" s="52"/>
      <c r="E213" s="52"/>
      <c r="F213" s="56"/>
      <c r="H213" s="49"/>
      <c r="I213" s="49"/>
      <c r="J213" s="49"/>
      <c r="K213" s="49"/>
      <c r="L213" s="60">
        <v>0</v>
      </c>
      <c r="N213" s="59"/>
      <c r="O213" s="59"/>
      <c r="P213" s="59"/>
      <c r="R213" s="60"/>
    </row>
    <row r="214" spans="1:18">
      <c r="A214" s="62" t="s">
        <v>154</v>
      </c>
      <c r="D214" s="52"/>
      <c r="E214" s="52"/>
      <c r="F214" s="56"/>
      <c r="H214" s="49"/>
      <c r="I214" s="49"/>
      <c r="J214" s="49"/>
      <c r="K214" s="49"/>
      <c r="L214" s="60">
        <v>0</v>
      </c>
      <c r="N214" s="59"/>
      <c r="O214" s="59"/>
      <c r="P214" s="59"/>
      <c r="R214" s="60"/>
    </row>
    <row r="215" spans="1:18">
      <c r="A215" s="62" t="s">
        <v>155</v>
      </c>
      <c r="D215" s="52"/>
      <c r="E215" s="52"/>
      <c r="F215" s="56"/>
      <c r="H215" s="49"/>
      <c r="I215" s="49"/>
      <c r="J215" s="49"/>
      <c r="K215" s="49"/>
      <c r="L215" s="60">
        <v>0</v>
      </c>
      <c r="N215" s="59"/>
      <c r="O215" s="59"/>
      <c r="P215" s="59"/>
      <c r="R215" s="60"/>
    </row>
    <row r="216" spans="1:18">
      <c r="A216" s="62" t="s">
        <v>156</v>
      </c>
      <c r="D216" s="52"/>
      <c r="E216" s="52"/>
      <c r="F216" s="56"/>
      <c r="H216" s="49"/>
      <c r="I216" s="49"/>
      <c r="J216" s="49"/>
      <c r="K216" s="49"/>
      <c r="L216" s="60">
        <v>0</v>
      </c>
      <c r="N216" s="59"/>
      <c r="O216" s="59"/>
      <c r="P216" s="59"/>
      <c r="R216" s="60"/>
    </row>
    <row r="217" spans="1:18">
      <c r="A217" s="61" t="s">
        <v>157</v>
      </c>
      <c r="D217" s="52"/>
      <c r="E217" s="52"/>
      <c r="F217" s="56"/>
      <c r="H217" s="57">
        <v>0</v>
      </c>
      <c r="I217" s="57">
        <v>0</v>
      </c>
      <c r="J217" s="57">
        <v>0</v>
      </c>
      <c r="K217" s="57">
        <v>0</v>
      </c>
      <c r="L217" s="58">
        <v>0</v>
      </c>
      <c r="N217" s="59">
        <v>0</v>
      </c>
      <c r="O217" s="59">
        <v>0</v>
      </c>
      <c r="P217" s="59">
        <v>0</v>
      </c>
      <c r="Q217" s="59">
        <v>0</v>
      </c>
      <c r="R217" s="60">
        <v>0</v>
      </c>
    </row>
    <row r="218" spans="1:18">
      <c r="A218" s="62" t="s">
        <v>153</v>
      </c>
      <c r="D218" s="52"/>
      <c r="E218" s="52"/>
      <c r="F218" s="56"/>
      <c r="H218" s="63">
        <v>0</v>
      </c>
      <c r="I218" s="63">
        <v>0</v>
      </c>
      <c r="J218" s="63">
        <v>0</v>
      </c>
      <c r="K218" s="63">
        <v>0</v>
      </c>
      <c r="L218" s="60">
        <v>0</v>
      </c>
      <c r="N218" s="59"/>
      <c r="O218" s="59"/>
      <c r="P218" s="59"/>
      <c r="R218" s="60"/>
    </row>
    <row r="219" spans="1:18">
      <c r="A219" s="62" t="s">
        <v>154</v>
      </c>
      <c r="D219" s="52"/>
      <c r="E219" s="52"/>
      <c r="F219" s="56"/>
      <c r="H219" s="49"/>
      <c r="I219" s="49"/>
      <c r="J219" s="49"/>
      <c r="K219" s="49"/>
      <c r="L219" s="60">
        <v>0</v>
      </c>
      <c r="N219" s="59"/>
      <c r="O219" s="59"/>
      <c r="P219" s="59"/>
      <c r="R219" s="60"/>
    </row>
    <row r="220" spans="1:18">
      <c r="A220" s="62" t="s">
        <v>156</v>
      </c>
      <c r="D220" s="52"/>
      <c r="E220" s="52"/>
      <c r="F220" s="56"/>
      <c r="H220" s="49"/>
      <c r="I220" s="49"/>
      <c r="J220" s="49"/>
      <c r="K220" s="49"/>
      <c r="L220" s="60">
        <v>0</v>
      </c>
      <c r="N220" s="59"/>
      <c r="O220" s="59"/>
      <c r="P220" s="59"/>
      <c r="R220" s="60"/>
    </row>
    <row r="221" spans="1:18">
      <c r="A221" s="53" t="s">
        <v>207</v>
      </c>
      <c r="B221" s="50" t="s">
        <v>162</v>
      </c>
      <c r="C221" s="51" t="s">
        <v>173</v>
      </c>
      <c r="D221" s="52"/>
      <c r="E221" s="52"/>
      <c r="F221" s="56" t="s">
        <v>208</v>
      </c>
      <c r="H221" s="57">
        <v>0</v>
      </c>
      <c r="I221" s="57">
        <v>0</v>
      </c>
      <c r="J221" s="57">
        <v>1920218</v>
      </c>
      <c r="K221" s="57">
        <v>220218</v>
      </c>
      <c r="L221" s="58">
        <v>2140436</v>
      </c>
      <c r="M221" s="67">
        <v>1</v>
      </c>
      <c r="N221" s="59">
        <v>0</v>
      </c>
      <c r="O221" s="59">
        <v>0</v>
      </c>
      <c r="P221" s="59">
        <v>1920218</v>
      </c>
      <c r="Q221" s="59">
        <v>220218</v>
      </c>
      <c r="R221" s="60">
        <v>2140436</v>
      </c>
    </row>
    <row r="222" spans="1:18">
      <c r="A222" s="61" t="s">
        <v>152</v>
      </c>
      <c r="D222" s="52"/>
      <c r="E222" s="52"/>
      <c r="F222" s="56"/>
      <c r="H222" s="57">
        <v>0</v>
      </c>
      <c r="I222" s="57">
        <v>0</v>
      </c>
      <c r="J222" s="57">
        <v>1700000</v>
      </c>
      <c r="K222" s="57">
        <v>0</v>
      </c>
      <c r="L222" s="58">
        <v>1700000</v>
      </c>
      <c r="N222" s="59">
        <v>0</v>
      </c>
      <c r="O222" s="59">
        <v>0</v>
      </c>
      <c r="P222" s="59">
        <v>1700000</v>
      </c>
      <c r="Q222" s="59">
        <v>0</v>
      </c>
      <c r="R222" s="60">
        <v>1700000</v>
      </c>
    </row>
    <row r="223" spans="1:18">
      <c r="A223" s="62" t="s">
        <v>153</v>
      </c>
      <c r="D223" s="52"/>
      <c r="E223" s="52"/>
      <c r="F223" s="56"/>
      <c r="H223" s="49"/>
      <c r="I223" s="49"/>
      <c r="J223" s="49"/>
      <c r="K223" s="49"/>
      <c r="L223" s="60">
        <v>0</v>
      </c>
      <c r="N223" s="59"/>
      <c r="O223" s="59"/>
      <c r="P223" s="59"/>
      <c r="R223" s="60"/>
    </row>
    <row r="224" spans="1:18">
      <c r="A224" s="62" t="s">
        <v>154</v>
      </c>
      <c r="D224" s="52"/>
      <c r="E224" s="52"/>
      <c r="F224" s="56"/>
      <c r="H224" s="49"/>
      <c r="I224" s="49"/>
      <c r="J224" s="49">
        <v>1500000</v>
      </c>
      <c r="K224" s="49"/>
      <c r="L224" s="60">
        <v>1500000</v>
      </c>
      <c r="N224" s="59"/>
      <c r="O224" s="59"/>
      <c r="P224" s="59"/>
      <c r="R224" s="60"/>
    </row>
    <row r="225" spans="1:18">
      <c r="A225" s="62" t="s">
        <v>155</v>
      </c>
      <c r="D225" s="52"/>
      <c r="E225" s="52"/>
      <c r="F225" s="56"/>
      <c r="H225" s="49"/>
      <c r="I225" s="49"/>
      <c r="J225" s="49"/>
      <c r="K225" s="49"/>
      <c r="L225" s="60">
        <v>0</v>
      </c>
      <c r="N225" s="59"/>
      <c r="O225" s="59"/>
      <c r="P225" s="59"/>
      <c r="R225" s="60"/>
    </row>
    <row r="226" spans="1:18">
      <c r="A226" s="62" t="s">
        <v>156</v>
      </c>
      <c r="D226" s="52"/>
      <c r="E226" s="52"/>
      <c r="F226" s="56"/>
      <c r="H226" s="49"/>
      <c r="I226" s="49"/>
      <c r="J226" s="49">
        <v>200000</v>
      </c>
      <c r="K226" s="49"/>
      <c r="L226" s="60">
        <v>200000</v>
      </c>
      <c r="N226" s="59"/>
      <c r="O226" s="59"/>
      <c r="P226" s="59"/>
      <c r="R226" s="60"/>
    </row>
    <row r="227" spans="1:18">
      <c r="A227" s="61" t="s">
        <v>157</v>
      </c>
      <c r="D227" s="52"/>
      <c r="E227" s="52"/>
      <c r="F227" s="56"/>
      <c r="H227" s="57">
        <v>0</v>
      </c>
      <c r="I227" s="57">
        <v>0</v>
      </c>
      <c r="J227" s="57">
        <v>220218</v>
      </c>
      <c r="K227" s="57">
        <v>220218</v>
      </c>
      <c r="L227" s="58">
        <v>440436</v>
      </c>
      <c r="N227" s="59">
        <v>0</v>
      </c>
      <c r="O227" s="59">
        <v>0</v>
      </c>
      <c r="P227" s="59">
        <v>220218</v>
      </c>
      <c r="Q227" s="59">
        <v>220218</v>
      </c>
      <c r="R227" s="60">
        <v>440436</v>
      </c>
    </row>
    <row r="228" spans="1:18">
      <c r="A228" s="62" t="s">
        <v>153</v>
      </c>
      <c r="D228" s="52"/>
      <c r="E228" s="52"/>
      <c r="F228" s="56"/>
      <c r="H228" s="63">
        <v>0</v>
      </c>
      <c r="I228" s="63">
        <v>0</v>
      </c>
      <c r="J228" s="63">
        <v>220218</v>
      </c>
      <c r="K228" s="63">
        <v>220218</v>
      </c>
      <c r="L228" s="60">
        <v>440436</v>
      </c>
      <c r="N228" s="59"/>
      <c r="O228" s="59"/>
      <c r="P228" s="59"/>
      <c r="R228" s="60"/>
    </row>
    <row r="229" spans="1:18">
      <c r="A229" s="62" t="s">
        <v>154</v>
      </c>
      <c r="D229" s="52"/>
      <c r="E229" s="52"/>
      <c r="F229" s="56"/>
      <c r="H229" s="49"/>
      <c r="I229" s="49"/>
      <c r="J229" s="49"/>
      <c r="K229" s="49"/>
      <c r="L229" s="60">
        <v>0</v>
      </c>
      <c r="N229" s="59"/>
      <c r="O229" s="59"/>
      <c r="P229" s="59"/>
      <c r="R229" s="60"/>
    </row>
    <row r="230" spans="1:18">
      <c r="A230" s="62" t="s">
        <v>156</v>
      </c>
      <c r="D230" s="52"/>
      <c r="E230" s="52"/>
      <c r="F230" s="56"/>
      <c r="H230" s="49"/>
      <c r="I230" s="49"/>
      <c r="J230" s="49"/>
      <c r="K230" s="49"/>
      <c r="L230" s="60">
        <v>0</v>
      </c>
      <c r="N230" s="59"/>
      <c r="O230" s="59"/>
      <c r="P230" s="59"/>
      <c r="R230" s="60"/>
    </row>
    <row r="231" spans="1:18">
      <c r="A231" s="53" t="s">
        <v>209</v>
      </c>
      <c r="B231" s="50" t="s">
        <v>190</v>
      </c>
      <c r="C231" s="51" t="s">
        <v>197</v>
      </c>
      <c r="D231" s="52"/>
      <c r="E231" s="52"/>
      <c r="F231" s="56"/>
      <c r="G231" s="51" t="s">
        <v>191</v>
      </c>
      <c r="H231" s="57">
        <v>6501177</v>
      </c>
      <c r="I231" s="57">
        <v>945922</v>
      </c>
      <c r="J231" s="57">
        <v>0</v>
      </c>
      <c r="K231" s="57">
        <v>0</v>
      </c>
      <c r="L231" s="58">
        <v>7447099</v>
      </c>
      <c r="M231" s="67">
        <v>0</v>
      </c>
      <c r="N231" s="59">
        <v>0</v>
      </c>
      <c r="O231" s="59">
        <v>0</v>
      </c>
      <c r="P231" s="59">
        <v>0</v>
      </c>
      <c r="Q231" s="59">
        <v>0</v>
      </c>
      <c r="R231" s="60">
        <v>0</v>
      </c>
    </row>
    <row r="232" spans="1:18">
      <c r="A232" s="61" t="s">
        <v>152</v>
      </c>
      <c r="D232" s="52"/>
      <c r="E232" s="52"/>
      <c r="F232" s="56" t="s">
        <v>199</v>
      </c>
      <c r="H232" s="70">
        <v>6501177</v>
      </c>
      <c r="I232" s="70">
        <v>945922</v>
      </c>
      <c r="J232" s="70"/>
      <c r="K232" s="70"/>
      <c r="L232" s="68">
        <v>7447099</v>
      </c>
      <c r="N232" s="59">
        <v>0</v>
      </c>
      <c r="O232" s="59">
        <v>0</v>
      </c>
      <c r="P232" s="59">
        <v>0</v>
      </c>
      <c r="Q232" s="59">
        <v>0</v>
      </c>
      <c r="R232" s="60">
        <v>0</v>
      </c>
    </row>
    <row r="233" spans="1:18">
      <c r="A233" s="62" t="s">
        <v>153</v>
      </c>
      <c r="D233" s="52"/>
      <c r="E233" s="52"/>
      <c r="F233" s="56"/>
      <c r="H233" s="49"/>
      <c r="I233" s="49"/>
      <c r="J233" s="49"/>
      <c r="K233" s="49"/>
      <c r="L233" s="60">
        <v>0</v>
      </c>
      <c r="N233" s="59"/>
      <c r="O233" s="59"/>
      <c r="P233" s="59"/>
      <c r="R233" s="60"/>
    </row>
    <row r="234" spans="1:18">
      <c r="A234" s="62" t="s">
        <v>154</v>
      </c>
      <c r="D234" s="52"/>
      <c r="E234" s="52"/>
      <c r="F234" s="56"/>
      <c r="H234" s="49"/>
      <c r="I234" s="49"/>
      <c r="J234" s="49"/>
      <c r="K234" s="49"/>
      <c r="L234" s="60">
        <v>0</v>
      </c>
      <c r="N234" s="59"/>
      <c r="O234" s="59"/>
      <c r="P234" s="59"/>
      <c r="R234" s="60"/>
    </row>
    <row r="235" spans="1:18">
      <c r="A235" s="62" t="s">
        <v>155</v>
      </c>
      <c r="D235" s="52"/>
      <c r="E235" s="52"/>
      <c r="F235" s="56"/>
      <c r="H235" s="49"/>
      <c r="I235" s="49"/>
      <c r="J235" s="49"/>
      <c r="K235" s="49"/>
      <c r="L235" s="60">
        <v>0</v>
      </c>
      <c r="N235" s="59"/>
      <c r="O235" s="59"/>
      <c r="P235" s="59"/>
      <c r="R235" s="60"/>
    </row>
    <row r="236" spans="1:18">
      <c r="A236" s="62" t="s">
        <v>156</v>
      </c>
      <c r="D236" s="52"/>
      <c r="E236" s="52"/>
      <c r="F236" s="56"/>
      <c r="H236" s="49"/>
      <c r="I236" s="49"/>
      <c r="J236" s="49"/>
      <c r="K236" s="49"/>
      <c r="L236" s="60">
        <v>0</v>
      </c>
      <c r="N236" s="59"/>
      <c r="O236" s="59"/>
      <c r="P236" s="59"/>
      <c r="R236" s="60"/>
    </row>
    <row r="237" spans="1:18">
      <c r="A237" s="61" t="s">
        <v>157</v>
      </c>
      <c r="D237" s="52"/>
      <c r="E237" s="52"/>
      <c r="F237" s="56"/>
      <c r="H237" s="57">
        <v>0</v>
      </c>
      <c r="I237" s="57">
        <v>0</v>
      </c>
      <c r="J237" s="57">
        <v>0</v>
      </c>
      <c r="K237" s="57">
        <v>0</v>
      </c>
      <c r="L237" s="58">
        <v>0</v>
      </c>
      <c r="N237" s="59">
        <v>0</v>
      </c>
      <c r="O237" s="59">
        <v>0</v>
      </c>
      <c r="P237" s="59">
        <v>0</v>
      </c>
      <c r="Q237" s="59">
        <v>0</v>
      </c>
      <c r="R237" s="60">
        <v>0</v>
      </c>
    </row>
    <row r="238" spans="1:18">
      <c r="A238" s="62" t="s">
        <v>153</v>
      </c>
      <c r="D238" s="52"/>
      <c r="E238" s="52"/>
      <c r="F238" s="56"/>
      <c r="H238" s="63">
        <v>0</v>
      </c>
      <c r="I238" s="63">
        <v>0</v>
      </c>
      <c r="J238" s="63">
        <v>0</v>
      </c>
      <c r="K238" s="63">
        <v>0</v>
      </c>
      <c r="L238" s="60">
        <v>0</v>
      </c>
      <c r="N238" s="59"/>
      <c r="O238" s="59"/>
      <c r="P238" s="59"/>
      <c r="R238" s="60"/>
    </row>
    <row r="239" spans="1:18">
      <c r="A239" s="62" t="s">
        <v>154</v>
      </c>
      <c r="D239" s="52"/>
      <c r="E239" s="52"/>
      <c r="F239" s="56"/>
      <c r="H239" s="49"/>
      <c r="I239" s="49"/>
      <c r="J239" s="49"/>
      <c r="K239" s="49"/>
      <c r="L239" s="60">
        <v>0</v>
      </c>
      <c r="N239" s="59"/>
      <c r="O239" s="59"/>
      <c r="P239" s="59"/>
      <c r="R239" s="60"/>
    </row>
    <row r="240" spans="1:18">
      <c r="A240" s="62" t="s">
        <v>156</v>
      </c>
      <c r="D240" s="52"/>
      <c r="E240" s="52"/>
      <c r="F240" s="56"/>
      <c r="H240" s="49"/>
      <c r="I240" s="49"/>
      <c r="J240" s="49"/>
      <c r="K240" s="49"/>
      <c r="L240" s="60">
        <v>0</v>
      </c>
      <c r="N240" s="59"/>
      <c r="O240" s="59"/>
      <c r="P240" s="59"/>
      <c r="R240" s="60"/>
    </row>
    <row r="241" spans="1:18">
      <c r="A241" s="53" t="s">
        <v>210</v>
      </c>
      <c r="B241" s="50" t="s">
        <v>190</v>
      </c>
      <c r="C241" s="51" t="s">
        <v>179</v>
      </c>
      <c r="D241" s="52"/>
      <c r="E241" s="52"/>
      <c r="F241" s="56" t="s">
        <v>211</v>
      </c>
      <c r="G241" s="51" t="s">
        <v>212</v>
      </c>
      <c r="H241" s="57">
        <v>0</v>
      </c>
      <c r="I241" s="57">
        <v>0</v>
      </c>
      <c r="J241" s="57">
        <v>0</v>
      </c>
      <c r="K241" s="57">
        <v>0</v>
      </c>
      <c r="L241" s="58">
        <v>0</v>
      </c>
      <c r="M241" s="67">
        <v>1</v>
      </c>
      <c r="N241" s="59">
        <v>0</v>
      </c>
      <c r="O241" s="59">
        <v>0</v>
      </c>
      <c r="P241" s="59">
        <v>0</v>
      </c>
      <c r="Q241" s="59">
        <v>0</v>
      </c>
      <c r="R241" s="60">
        <v>0</v>
      </c>
    </row>
    <row r="242" spans="1:18">
      <c r="A242" s="61" t="s">
        <v>152</v>
      </c>
      <c r="D242" s="52"/>
      <c r="E242" s="52"/>
      <c r="F242" s="56"/>
      <c r="H242" s="57">
        <v>0</v>
      </c>
      <c r="I242" s="57">
        <v>0</v>
      </c>
      <c r="J242" s="57">
        <v>0</v>
      </c>
      <c r="K242" s="57">
        <v>0</v>
      </c>
      <c r="L242" s="58">
        <v>0</v>
      </c>
      <c r="N242" s="59">
        <v>0</v>
      </c>
      <c r="O242" s="59">
        <v>0</v>
      </c>
      <c r="P242" s="59">
        <v>0</v>
      </c>
      <c r="Q242" s="59">
        <v>0</v>
      </c>
      <c r="R242" s="60">
        <v>0</v>
      </c>
    </row>
    <row r="243" spans="1:18">
      <c r="A243" s="62" t="s">
        <v>153</v>
      </c>
      <c r="D243" s="52"/>
      <c r="E243" s="52"/>
      <c r="F243" s="56"/>
      <c r="H243" s="49"/>
      <c r="I243" s="49"/>
      <c r="J243" s="49"/>
      <c r="K243" s="49"/>
      <c r="L243" s="60">
        <v>0</v>
      </c>
      <c r="N243" s="59"/>
      <c r="O243" s="59"/>
      <c r="P243" s="59"/>
      <c r="R243" s="60"/>
    </row>
    <row r="244" spans="1:18">
      <c r="A244" s="62" t="s">
        <v>154</v>
      </c>
      <c r="D244" s="52"/>
      <c r="E244" s="52"/>
      <c r="F244" s="56"/>
      <c r="H244" s="49"/>
      <c r="I244" s="49"/>
      <c r="J244" s="49"/>
      <c r="K244" s="49"/>
      <c r="L244" s="60">
        <v>0</v>
      </c>
      <c r="N244" s="59"/>
      <c r="O244" s="59"/>
      <c r="P244" s="59"/>
      <c r="R244" s="60"/>
    </row>
    <row r="245" spans="1:18">
      <c r="A245" s="62" t="s">
        <v>155</v>
      </c>
      <c r="D245" s="52"/>
      <c r="E245" s="52"/>
      <c r="F245" s="56"/>
      <c r="H245" s="49"/>
      <c r="I245" s="49"/>
      <c r="J245" s="49"/>
      <c r="K245" s="49"/>
      <c r="L245" s="60">
        <v>0</v>
      </c>
      <c r="N245" s="59"/>
      <c r="O245" s="59"/>
      <c r="P245" s="59"/>
      <c r="R245" s="60"/>
    </row>
    <row r="246" spans="1:18">
      <c r="A246" s="62" t="s">
        <v>156</v>
      </c>
      <c r="D246" s="52"/>
      <c r="E246" s="52"/>
      <c r="F246" s="56"/>
      <c r="H246" s="49"/>
      <c r="I246" s="49"/>
      <c r="J246" s="49"/>
      <c r="K246" s="49"/>
      <c r="L246" s="60">
        <v>0</v>
      </c>
      <c r="N246" s="59"/>
      <c r="O246" s="59"/>
      <c r="P246" s="59"/>
      <c r="R246" s="60"/>
    </row>
    <row r="247" spans="1:18">
      <c r="A247" s="61" t="s">
        <v>157</v>
      </c>
      <c r="D247" s="52"/>
      <c r="E247" s="52"/>
      <c r="F247" s="56"/>
      <c r="H247" s="57">
        <v>0</v>
      </c>
      <c r="I247" s="57">
        <v>0</v>
      </c>
      <c r="J247" s="57">
        <v>0</v>
      </c>
      <c r="K247" s="57">
        <v>0</v>
      </c>
      <c r="L247" s="58">
        <v>0</v>
      </c>
      <c r="N247" s="59">
        <v>0</v>
      </c>
      <c r="O247" s="59">
        <v>0</v>
      </c>
      <c r="P247" s="59">
        <v>0</v>
      </c>
      <c r="Q247" s="59">
        <v>0</v>
      </c>
      <c r="R247" s="60">
        <v>0</v>
      </c>
    </row>
    <row r="248" spans="1:18">
      <c r="A248" s="62" t="s">
        <v>153</v>
      </c>
      <c r="D248" s="52"/>
      <c r="E248" s="52"/>
      <c r="F248" s="56"/>
      <c r="H248" s="63">
        <v>0</v>
      </c>
      <c r="I248" s="63">
        <v>0</v>
      </c>
      <c r="J248" s="63">
        <v>0</v>
      </c>
      <c r="K248" s="63">
        <v>0</v>
      </c>
      <c r="L248" s="60">
        <v>0</v>
      </c>
      <c r="N248" s="59"/>
      <c r="O248" s="59"/>
      <c r="P248" s="59"/>
      <c r="R248" s="60"/>
    </row>
    <row r="249" spans="1:18">
      <c r="A249" s="62" t="s">
        <v>154</v>
      </c>
      <c r="D249" s="52"/>
      <c r="E249" s="52"/>
      <c r="F249" s="56"/>
      <c r="H249" s="49"/>
      <c r="I249" s="49"/>
      <c r="J249" s="49"/>
      <c r="K249" s="49"/>
      <c r="L249" s="60">
        <v>0</v>
      </c>
      <c r="N249" s="59"/>
      <c r="O249" s="59"/>
      <c r="P249" s="59"/>
      <c r="R249" s="60"/>
    </row>
    <row r="250" spans="1:18">
      <c r="A250" s="62" t="s">
        <v>156</v>
      </c>
      <c r="D250" s="52"/>
      <c r="E250" s="52"/>
      <c r="F250" s="56"/>
      <c r="H250" s="49"/>
      <c r="I250" s="49"/>
      <c r="J250" s="49"/>
      <c r="K250" s="49"/>
      <c r="L250" s="60">
        <v>0</v>
      </c>
      <c r="N250" s="59"/>
      <c r="O250" s="59"/>
      <c r="P250" s="59"/>
      <c r="R250" s="60"/>
    </row>
    <row r="251" spans="1:18">
      <c r="A251" s="53" t="s">
        <v>213</v>
      </c>
      <c r="B251" s="50" t="s">
        <v>190</v>
      </c>
      <c r="C251" s="51" t="s">
        <v>173</v>
      </c>
      <c r="D251" s="52"/>
      <c r="E251" s="52"/>
      <c r="F251" s="56" t="s">
        <v>214</v>
      </c>
      <c r="G251" s="51" t="s">
        <v>198</v>
      </c>
      <c r="H251" s="57">
        <v>0</v>
      </c>
      <c r="I251" s="57">
        <v>0</v>
      </c>
      <c r="J251" s="57">
        <v>475321</v>
      </c>
      <c r="K251" s="57">
        <v>3566843</v>
      </c>
      <c r="L251" s="58">
        <v>4042164</v>
      </c>
      <c r="M251" s="67">
        <v>1</v>
      </c>
      <c r="N251" s="59">
        <v>0</v>
      </c>
      <c r="O251" s="59">
        <v>0</v>
      </c>
      <c r="P251" s="59">
        <v>475321</v>
      </c>
      <c r="Q251" s="59">
        <v>3566843</v>
      </c>
      <c r="R251" s="60">
        <v>4042164</v>
      </c>
    </row>
    <row r="252" spans="1:18">
      <c r="A252" s="61" t="s">
        <v>152</v>
      </c>
      <c r="D252" s="52"/>
      <c r="E252" s="52"/>
      <c r="F252" s="56"/>
      <c r="H252" s="57">
        <v>0</v>
      </c>
      <c r="I252" s="57">
        <v>0</v>
      </c>
      <c r="J252" s="57">
        <v>475321</v>
      </c>
      <c r="K252" s="57">
        <v>3566843</v>
      </c>
      <c r="L252" s="58">
        <v>4042164</v>
      </c>
      <c r="N252" s="59">
        <v>0</v>
      </c>
      <c r="O252" s="59">
        <v>0</v>
      </c>
      <c r="P252" s="59">
        <v>475321</v>
      </c>
      <c r="Q252" s="59">
        <v>3566843</v>
      </c>
      <c r="R252" s="60">
        <v>4042164</v>
      </c>
    </row>
    <row r="253" spans="1:18">
      <c r="A253" s="62" t="s">
        <v>153</v>
      </c>
      <c r="D253" s="52"/>
      <c r="E253" s="52"/>
      <c r="F253" s="56"/>
      <c r="H253" s="63">
        <v>0</v>
      </c>
      <c r="I253" s="63">
        <v>0</v>
      </c>
      <c r="J253" s="63">
        <v>175321</v>
      </c>
      <c r="K253" s="63">
        <v>366843</v>
      </c>
      <c r="L253" s="60">
        <v>542164</v>
      </c>
      <c r="N253" s="59"/>
      <c r="O253" s="59"/>
      <c r="P253" s="59"/>
      <c r="R253" s="60"/>
    </row>
    <row r="254" spans="1:18">
      <c r="A254" s="62" t="s">
        <v>154</v>
      </c>
      <c r="D254" s="52"/>
      <c r="E254" s="52"/>
      <c r="F254" s="56"/>
      <c r="H254" s="49"/>
      <c r="I254" s="49"/>
      <c r="J254" s="49">
        <v>300000</v>
      </c>
      <c r="K254" s="49">
        <v>1700000</v>
      </c>
      <c r="L254" s="60">
        <v>2000000</v>
      </c>
      <c r="N254" s="59"/>
      <c r="O254" s="59"/>
      <c r="P254" s="59"/>
      <c r="R254" s="60"/>
    </row>
    <row r="255" spans="1:18">
      <c r="A255" s="62" t="s">
        <v>155</v>
      </c>
      <c r="D255" s="52"/>
      <c r="E255" s="52"/>
      <c r="F255" s="56"/>
      <c r="H255" s="49"/>
      <c r="I255" s="49"/>
      <c r="J255" s="49"/>
      <c r="K255" s="49"/>
      <c r="L255" s="60">
        <v>0</v>
      </c>
      <c r="N255" s="59"/>
      <c r="O255" s="59"/>
      <c r="P255" s="59"/>
      <c r="R255" s="60"/>
    </row>
    <row r="256" spans="1:18">
      <c r="A256" s="62" t="s">
        <v>156</v>
      </c>
      <c r="D256" s="52"/>
      <c r="E256" s="52"/>
      <c r="F256" s="56"/>
      <c r="H256" s="49"/>
      <c r="I256" s="49"/>
      <c r="J256" s="49"/>
      <c r="K256" s="49">
        <v>1500000</v>
      </c>
      <c r="L256" s="60">
        <v>1500000</v>
      </c>
      <c r="N256" s="59"/>
      <c r="O256" s="59"/>
      <c r="P256" s="59"/>
      <c r="R256" s="60"/>
    </row>
    <row r="257" spans="1:18">
      <c r="A257" s="61" t="s">
        <v>157</v>
      </c>
      <c r="D257" s="52"/>
      <c r="E257" s="52"/>
      <c r="F257" s="56"/>
      <c r="H257" s="57">
        <v>0</v>
      </c>
      <c r="I257" s="57">
        <v>0</v>
      </c>
      <c r="J257" s="57">
        <v>0</v>
      </c>
      <c r="K257" s="57">
        <v>0</v>
      </c>
      <c r="L257" s="58">
        <v>0</v>
      </c>
      <c r="N257" s="59">
        <v>0</v>
      </c>
      <c r="O257" s="59">
        <v>0</v>
      </c>
      <c r="P257" s="59">
        <v>0</v>
      </c>
      <c r="Q257" s="59">
        <v>0</v>
      </c>
      <c r="R257" s="60">
        <v>0</v>
      </c>
    </row>
    <row r="258" spans="1:18">
      <c r="A258" s="62" t="s">
        <v>153</v>
      </c>
      <c r="D258" s="52"/>
      <c r="E258" s="52"/>
      <c r="F258" s="56"/>
      <c r="H258" s="63"/>
      <c r="I258" s="63"/>
      <c r="J258" s="63"/>
      <c r="K258" s="63"/>
      <c r="L258" s="60">
        <v>0</v>
      </c>
      <c r="N258" s="59"/>
      <c r="O258" s="59"/>
      <c r="P258" s="59"/>
      <c r="R258" s="60"/>
    </row>
    <row r="259" spans="1:18">
      <c r="A259" s="62" t="s">
        <v>154</v>
      </c>
      <c r="D259" s="52"/>
      <c r="E259" s="52"/>
      <c r="F259" s="56"/>
      <c r="H259" s="49"/>
      <c r="I259" s="49"/>
      <c r="J259" s="49"/>
      <c r="K259" s="49"/>
      <c r="L259" s="60">
        <v>0</v>
      </c>
      <c r="N259" s="59"/>
      <c r="O259" s="59"/>
      <c r="P259" s="59"/>
      <c r="R259" s="60"/>
    </row>
    <row r="260" spans="1:18">
      <c r="A260" s="62" t="s">
        <v>156</v>
      </c>
      <c r="D260" s="52"/>
      <c r="E260" s="52"/>
      <c r="F260" s="56"/>
      <c r="H260" s="49"/>
      <c r="I260" s="49"/>
      <c r="J260" s="49"/>
      <c r="K260" s="49"/>
      <c r="L260" s="60">
        <v>0</v>
      </c>
      <c r="N260" s="59"/>
      <c r="O260" s="59"/>
      <c r="P260" s="59"/>
      <c r="R260" s="60"/>
    </row>
    <row r="261" spans="1:18">
      <c r="D261" s="52"/>
      <c r="E261" s="52"/>
    </row>
    <row r="262" spans="1:18">
      <c r="D262" s="52"/>
      <c r="E262" s="52"/>
    </row>
    <row r="263" spans="1:18">
      <c r="D263" s="52"/>
      <c r="E263" s="52"/>
    </row>
    <row r="264" spans="1:18">
      <c r="D264" s="52"/>
      <c r="E264" s="52"/>
    </row>
    <row r="265" spans="1:18">
      <c r="A265" t="s">
        <v>215</v>
      </c>
      <c r="D265" s="52"/>
      <c r="E265" s="52"/>
    </row>
    <row r="266" spans="1:18">
      <c r="A266" t="s">
        <v>152</v>
      </c>
      <c r="D266" s="52"/>
      <c r="E266" s="52"/>
      <c r="H266" s="48">
        <f>SUM(H6,H16,H26,H36,H46,H56,H66,H76,H86,H96,H106,H116,H126,H136,H146,H156,H166)</f>
        <v>5825000</v>
      </c>
      <c r="I266" s="48">
        <f t="shared" ref="I266:K266" si="0">SUM(I6,I16,I26,I36,I46,I56,I66,I76,I86,I96,I106,I116,I126,I136,I146,I156,I166)</f>
        <v>9550000</v>
      </c>
      <c r="J266" s="48">
        <f t="shared" si="0"/>
        <v>950000</v>
      </c>
      <c r="K266" s="48">
        <f t="shared" si="0"/>
        <v>200000</v>
      </c>
    </row>
    <row r="267" spans="1:18">
      <c r="A267" t="s">
        <v>157</v>
      </c>
      <c r="D267" s="52"/>
      <c r="E267" s="52"/>
      <c r="H267" s="48">
        <f>SUM(H11,H21,H31,H41,H51,H61,H71,H81,H91,H101,H111,H121,H131,H141,H151,H161,H171,)</f>
        <v>2106709</v>
      </c>
      <c r="I267" s="48">
        <f t="shared" ref="I267:K267" si="1">SUM(I11,I21,I31,I41,I51,I61,I71,I81,I91,I101,I111,I121,I131,I141,I151,I161,I171,)</f>
        <v>1307670</v>
      </c>
      <c r="J267" s="48">
        <f t="shared" si="1"/>
        <v>945710</v>
      </c>
      <c r="K267" s="48">
        <f t="shared" si="1"/>
        <v>890587.5</v>
      </c>
    </row>
    <row r="268" spans="1:18">
      <c r="D268" s="52"/>
      <c r="E268" s="52"/>
    </row>
    <row r="269" spans="1:18">
      <c r="D269" s="52"/>
      <c r="E269" s="52"/>
    </row>
    <row r="270" spans="1:18">
      <c r="D270" s="52"/>
      <c r="E270" s="52"/>
    </row>
    <row r="271" spans="1:18">
      <c r="D271" s="52"/>
      <c r="E271" s="52"/>
    </row>
    <row r="272" spans="1:18">
      <c r="D272" s="52"/>
      <c r="E272" s="52"/>
    </row>
    <row r="273" spans="4:5">
      <c r="D273" s="52"/>
      <c r="E273" s="52"/>
    </row>
  </sheetData>
  <mergeCells count="2">
    <mergeCell ref="H1:L1"/>
    <mergeCell ref="N1:R1"/>
  </mergeCells>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5:F15"/>
  <sheetViews>
    <sheetView workbookViewId="0">
      <selection activeCell="G44" sqref="G44"/>
    </sheetView>
  </sheetViews>
  <sheetFormatPr defaultRowHeight="14.45"/>
  <cols>
    <col min="1" max="1" width="19" customWidth="1"/>
    <col min="2" max="4" width="10" bestFit="1" customWidth="1"/>
    <col min="5" max="6" width="11" bestFit="1" customWidth="1"/>
  </cols>
  <sheetData>
    <row r="5" spans="1:6">
      <c r="A5" s="8" t="s">
        <v>216</v>
      </c>
    </row>
    <row r="6" spans="1:6">
      <c r="B6">
        <v>2022</v>
      </c>
      <c r="C6">
        <v>2023</v>
      </c>
      <c r="D6">
        <v>2024</v>
      </c>
      <c r="E6">
        <v>2025</v>
      </c>
      <c r="F6">
        <v>2026</v>
      </c>
    </row>
    <row r="7" spans="1:6">
      <c r="A7" t="s">
        <v>217</v>
      </c>
      <c r="B7">
        <v>5151692.5</v>
      </c>
      <c r="C7">
        <v>8511297.5</v>
      </c>
      <c r="D7">
        <v>8720832.5</v>
      </c>
      <c r="E7">
        <v>9136902.5</v>
      </c>
      <c r="F7">
        <v>9136902.5</v>
      </c>
    </row>
    <row r="8" spans="1:6">
      <c r="A8" t="s">
        <v>218</v>
      </c>
      <c r="B8">
        <v>960340</v>
      </c>
      <c r="C8">
        <v>749840</v>
      </c>
      <c r="D8">
        <v>749840</v>
      </c>
      <c r="E8">
        <v>749840</v>
      </c>
      <c r="F8">
        <v>749840</v>
      </c>
    </row>
    <row r="9" spans="1:6">
      <c r="A9" t="s">
        <v>219</v>
      </c>
      <c r="B9">
        <v>280400</v>
      </c>
      <c r="C9">
        <v>280400</v>
      </c>
      <c r="D9">
        <v>308440</v>
      </c>
      <c r="E9">
        <v>308440</v>
      </c>
      <c r="F9">
        <v>308440</v>
      </c>
    </row>
    <row r="11" spans="1:6">
      <c r="A11" t="s">
        <v>35</v>
      </c>
      <c r="B11">
        <v>6392432.5</v>
      </c>
      <c r="C11">
        <v>9541537.5</v>
      </c>
      <c r="D11">
        <v>9779112.5</v>
      </c>
      <c r="E11">
        <v>10195182.5</v>
      </c>
      <c r="F11">
        <v>10195182.5</v>
      </c>
    </row>
    <row r="15" spans="1:6">
      <c r="A15" t="s">
        <v>220</v>
      </c>
    </row>
  </sheetData>
  <pageMargins left="0.7" right="0.7" top="0.75" bottom="0.75" header="0.3" footer="0.3"/>
  <pageSetup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5:L21"/>
  <sheetViews>
    <sheetView workbookViewId="0">
      <selection activeCell="E17" sqref="E17"/>
    </sheetView>
  </sheetViews>
  <sheetFormatPr defaultRowHeight="14.45"/>
  <cols>
    <col min="3" max="3" width="32.28515625" customWidth="1"/>
    <col min="8" max="12" width="12.5703125" bestFit="1" customWidth="1"/>
  </cols>
  <sheetData>
    <row r="5" spans="1:12">
      <c r="A5" t="s">
        <v>221</v>
      </c>
      <c r="H5">
        <v>2022</v>
      </c>
      <c r="I5">
        <v>2023</v>
      </c>
      <c r="J5">
        <v>2024</v>
      </c>
      <c r="K5">
        <v>2025</v>
      </c>
      <c r="L5">
        <v>2026</v>
      </c>
    </row>
    <row r="6" spans="1:12">
      <c r="D6" t="s">
        <v>222</v>
      </c>
      <c r="E6" t="s">
        <v>223</v>
      </c>
      <c r="F6" t="s">
        <v>224</v>
      </c>
    </row>
    <row r="7" spans="1:12">
      <c r="B7">
        <v>1.5</v>
      </c>
      <c r="C7" t="s">
        <v>225</v>
      </c>
      <c r="D7">
        <v>130000</v>
      </c>
      <c r="E7" s="76">
        <v>0.69</v>
      </c>
      <c r="F7" s="77">
        <v>2.5000000000000001E-2</v>
      </c>
      <c r="H7" s="17">
        <f>$B7*$D7*(1+$E7)*((1+$F7)^(H$5-$H$5))</f>
        <v>329550</v>
      </c>
      <c r="I7" s="17">
        <f t="shared" ref="I7:L7" si="0">$B7*$D7*(1+$E7)*((1+$F7)^(I$5-$H$5))</f>
        <v>337788.74999999994</v>
      </c>
      <c r="J7" s="17">
        <f t="shared" si="0"/>
        <v>346233.46875</v>
      </c>
      <c r="K7" s="17">
        <f t="shared" si="0"/>
        <v>354889.30546874995</v>
      </c>
      <c r="L7" s="17">
        <f t="shared" si="0"/>
        <v>363761.53810546867</v>
      </c>
    </row>
    <row r="8" spans="1:12">
      <c r="B8">
        <v>3</v>
      </c>
      <c r="C8" t="s">
        <v>226</v>
      </c>
      <c r="D8">
        <v>110000</v>
      </c>
      <c r="E8" s="76">
        <v>0.69</v>
      </c>
      <c r="F8" s="77">
        <v>2.5000000000000001E-2</v>
      </c>
      <c r="H8" s="17">
        <f t="shared" ref="H8:L10" si="1">$B8*$D8*(1+$E8)*((1+$F8)^(H$5-$H$5))</f>
        <v>557700</v>
      </c>
      <c r="I8" s="17">
        <f t="shared" si="1"/>
        <v>571642.5</v>
      </c>
      <c r="J8" s="17">
        <f t="shared" si="1"/>
        <v>585933.5625</v>
      </c>
      <c r="K8" s="17">
        <f t="shared" si="1"/>
        <v>600581.90156249993</v>
      </c>
      <c r="L8" s="17">
        <f t="shared" si="1"/>
        <v>615596.44910156238</v>
      </c>
    </row>
    <row r="9" spans="1:12">
      <c r="B9">
        <v>1</v>
      </c>
      <c r="C9" t="s">
        <v>227</v>
      </c>
      <c r="D9">
        <v>100000</v>
      </c>
      <c r="E9" s="76">
        <v>0.69</v>
      </c>
      <c r="F9" s="77">
        <v>2.5000000000000001E-2</v>
      </c>
      <c r="H9" s="17">
        <f t="shared" si="1"/>
        <v>169000</v>
      </c>
      <c r="I9" s="17">
        <f t="shared" si="1"/>
        <v>173224.99999999997</v>
      </c>
      <c r="J9" s="17">
        <f t="shared" si="1"/>
        <v>177555.625</v>
      </c>
      <c r="K9" s="17">
        <f t="shared" si="1"/>
        <v>181994.51562499997</v>
      </c>
      <c r="L9" s="17">
        <f t="shared" si="1"/>
        <v>186544.37851562497</v>
      </c>
    </row>
    <row r="10" spans="1:12">
      <c r="B10">
        <v>2</v>
      </c>
      <c r="C10" t="s">
        <v>228</v>
      </c>
      <c r="D10">
        <v>120000</v>
      </c>
      <c r="E10" s="76">
        <v>0.69</v>
      </c>
      <c r="F10" s="77">
        <v>2.5000000000000001E-2</v>
      </c>
      <c r="H10" s="17">
        <f t="shared" si="1"/>
        <v>405600</v>
      </c>
      <c r="I10" s="17">
        <f t="shared" si="1"/>
        <v>415739.99999999994</v>
      </c>
      <c r="J10" s="17">
        <f t="shared" si="1"/>
        <v>426133.49999999994</v>
      </c>
      <c r="K10" s="17">
        <f t="shared" si="1"/>
        <v>436786.83749999997</v>
      </c>
      <c r="L10" s="17">
        <f t="shared" si="1"/>
        <v>447706.50843749993</v>
      </c>
    </row>
    <row r="11" spans="1:12">
      <c r="H11" s="17"/>
      <c r="I11" s="17"/>
      <c r="J11" s="17"/>
      <c r="K11" s="17"/>
      <c r="L11" s="17"/>
    </row>
    <row r="12" spans="1:12">
      <c r="H12" s="17"/>
      <c r="I12" s="17"/>
      <c r="J12" s="17"/>
      <c r="K12" s="17"/>
      <c r="L12" s="17"/>
    </row>
    <row r="13" spans="1:12">
      <c r="H13" s="17"/>
      <c r="I13" s="17"/>
      <c r="J13" s="17"/>
      <c r="K13" s="17"/>
      <c r="L13" s="17"/>
    </row>
    <row r="14" spans="1:12">
      <c r="A14" t="s">
        <v>229</v>
      </c>
      <c r="H14" s="17"/>
      <c r="I14" s="17"/>
      <c r="J14" s="17"/>
      <c r="K14" s="17"/>
      <c r="L14" s="17"/>
    </row>
    <row r="15" spans="1:12">
      <c r="C15" t="s">
        <v>230</v>
      </c>
      <c r="H15" s="17">
        <v>200000</v>
      </c>
      <c r="I15" s="17">
        <v>200000</v>
      </c>
      <c r="J15" s="17">
        <v>200000</v>
      </c>
      <c r="K15" s="17">
        <v>200000</v>
      </c>
      <c r="L15" s="17">
        <v>200000</v>
      </c>
    </row>
    <row r="16" spans="1:12">
      <c r="C16" t="s">
        <v>231</v>
      </c>
      <c r="H16" s="17">
        <v>100000</v>
      </c>
      <c r="I16" s="17">
        <v>100000</v>
      </c>
      <c r="J16" s="17">
        <v>100000</v>
      </c>
      <c r="K16" s="17">
        <v>100000</v>
      </c>
      <c r="L16" s="17">
        <v>100000</v>
      </c>
    </row>
    <row r="21" spans="1:12">
      <c r="A21" t="s">
        <v>35</v>
      </c>
      <c r="H21" s="48">
        <f>SUM(H7:H20)</f>
        <v>1761850</v>
      </c>
      <c r="I21" s="48">
        <f t="shared" ref="I21:L21" si="2">SUM(I7:I20)</f>
        <v>1798396.25</v>
      </c>
      <c r="J21" s="48">
        <f t="shared" si="2"/>
        <v>1835856.15625</v>
      </c>
      <c r="K21" s="48">
        <f t="shared" si="2"/>
        <v>1874252.5601562497</v>
      </c>
      <c r="L21" s="48">
        <f t="shared" si="2"/>
        <v>1913608.8741601559</v>
      </c>
    </row>
  </sheetData>
  <pageMargins left="0.7" right="0.7" top="0.75" bottom="0.75" header="0.3" footer="0.3"/>
  <pageSetup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205c6b9-31d9-42c2-a038-d77c01694be6">
      <UserInfo>
        <DisplayName>Tyson, Brian</DisplayName>
        <AccountId>13</AccountId>
        <AccountType/>
      </UserInfo>
      <UserInfo>
        <DisplayName>McCulloch, Malcolm</DisplayName>
        <AccountId>55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57EF3735E1AEE4BB39D7DB4EA3C0C16" ma:contentTypeVersion="5" ma:contentTypeDescription="Create a new document." ma:contentTypeScope="" ma:versionID="b34674c33f12a12961099021061ed560">
  <xsd:schema xmlns:xsd="http://www.w3.org/2001/XMLSchema" xmlns:xs="http://www.w3.org/2001/XMLSchema" xmlns:p="http://schemas.microsoft.com/office/2006/metadata/properties" xmlns:ns2="2a250934-0986-457c-a133-4cfa0ba5640b" xmlns:ns3="5205c6b9-31d9-42c2-a038-d77c01694be6" targetNamespace="http://schemas.microsoft.com/office/2006/metadata/properties" ma:root="true" ma:fieldsID="57816d2490ab3675ba67b141138a072e" ns2:_="" ns3:_="">
    <xsd:import namespace="2a250934-0986-457c-a133-4cfa0ba5640b"/>
    <xsd:import namespace="5205c6b9-31d9-42c2-a038-d77c01694b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50934-0986-457c-a133-4cfa0ba564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05c6b9-31d9-42c2-a038-d77c01694b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1BA04F-B79C-43AA-80F4-2B76F076FBE4}"/>
</file>

<file path=customXml/itemProps2.xml><?xml version="1.0" encoding="utf-8"?>
<ds:datastoreItem xmlns:ds="http://schemas.openxmlformats.org/officeDocument/2006/customXml" ds:itemID="{23280E9C-89AD-42ED-BE93-37DA01AD85D1}"/>
</file>

<file path=customXml/itemProps3.xml><?xml version="1.0" encoding="utf-8"?>
<ds:datastoreItem xmlns:ds="http://schemas.openxmlformats.org/officeDocument/2006/customXml" ds:itemID="{BEB9CCFF-7E78-406F-AACB-83093976F0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Biennial CEIP Update: Appendix E</dc:title>
  <dc:subject/>
  <dc:creator/>
  <cp:keywords/>
  <dc:description/>
  <cp:lastModifiedBy>Du, Caity</cp:lastModifiedBy>
  <cp:revision/>
  <dcterms:created xsi:type="dcterms:W3CDTF">2022-01-31T21:15:32Z</dcterms:created>
  <dcterms:modified xsi:type="dcterms:W3CDTF">2023-11-20T19:44:38Z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0x010100B57EF3735E1AEE4BB39D7DB4EA3C0C16</vt:lpwstr>
  </property>
</Properties>
</file>