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08"/>
  <workbookPr/>
  <mc:AlternateContent xmlns:mc="http://schemas.openxmlformats.org/markup-compatibility/2006">
    <mc:Choice Requires="x15">
      <x15ac:absPath xmlns:x15ac="http://schemas.microsoft.com/office/spreadsheetml/2010/11/ac" url="\\spestfile01v01\REACQ\ResourcePlanning\2023 IRP\Generic Resource Costs\2021 NREL ATB\"/>
    </mc:Choice>
  </mc:AlternateContent>
  <xr:revisionPtr revIDLastSave="0" documentId="11_392529A9685BB6B4A1157F5461748F4248CD80D4" xr6:coauthVersionLast="47" xr6:coauthVersionMax="47" xr10:uidLastSave="{00000000-0000-0000-0000-000000000000}"/>
  <bookViews>
    <workbookView xWindow="0" yWindow="0" windowWidth="25200" windowHeight="11856" xr2:uid="{00000000-000D-0000-FFFF-FFFF00000000}"/>
  </bookViews>
  <sheets>
    <sheet name="Readme" sheetId="13" r:id="rId1"/>
    <sheet name="Cost Curves" sheetId="12" r:id="rId2"/>
    <sheet name="Offshore Wind" sheetId="1" r:id="rId3"/>
    <sheet name="Onshore Wind" sheetId="2" r:id="rId4"/>
    <sheet name="Solar_Utility" sheetId="3" r:id="rId5"/>
    <sheet name="Solar_Residential" sheetId="16" r:id="rId6"/>
    <sheet name="Battery_Utility" sheetId="4" r:id="rId7"/>
    <sheet name="Battery_Residential" sheetId="18" r:id="rId8"/>
    <sheet name="Hybrid" sheetId="19" r:id="rId9"/>
    <sheet name="CCCT" sheetId="6" r:id="rId10"/>
    <sheet name="Frame Peaker" sheetId="8" r:id="rId11"/>
    <sheet name="Biomass" sheetId="9" r:id="rId12"/>
    <sheet name="Reference" sheetId="14" r:id="rId13"/>
    <sheet name="Battery_Flow" sheetId="11" r:id="rId14"/>
    <sheet name="Pumped Storage Hydro" sheetId="5" r:id="rId15"/>
    <sheet name="Recip Peaker" sheetId="7" r:id="rId16"/>
    <sheet name="Small Modular Nuclear" sheetId="10" r:id="rId17"/>
    <sheet name="Electrolyzer" sheetId="17" r:id="rId18"/>
  </sheets>
  <definedNames>
    <definedName name="inf">Reference!$B$1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3" l="1"/>
  <c r="C31" i="1"/>
  <c r="B31" i="1"/>
  <c r="C5" i="12" l="1"/>
  <c r="D5" i="12"/>
  <c r="E5" i="12"/>
  <c r="F5" i="12"/>
  <c r="G5" i="12"/>
  <c r="H5" i="12"/>
  <c r="I5" i="12"/>
  <c r="J5" i="12"/>
  <c r="K5" i="12"/>
  <c r="L5" i="12"/>
  <c r="M5" i="12"/>
  <c r="N5" i="12"/>
  <c r="O5" i="12"/>
  <c r="P5" i="12"/>
  <c r="Q5" i="12"/>
  <c r="R5" i="12"/>
  <c r="S5" i="12"/>
  <c r="T5" i="12"/>
  <c r="U5" i="12"/>
  <c r="V5" i="12"/>
  <c r="W5" i="12"/>
  <c r="X5" i="12"/>
  <c r="Y5" i="12"/>
  <c r="Z5" i="12"/>
  <c r="AA5" i="12"/>
  <c r="AB5" i="12"/>
  <c r="AC5" i="12"/>
  <c r="AD5" i="12"/>
  <c r="AE5" i="12"/>
  <c r="AF5" i="12"/>
  <c r="AG5" i="12"/>
  <c r="C6" i="12"/>
  <c r="D6" i="12"/>
  <c r="E6" i="12"/>
  <c r="F6" i="12"/>
  <c r="G6" i="12"/>
  <c r="H6" i="12"/>
  <c r="I6" i="12"/>
  <c r="J6" i="12"/>
  <c r="K6" i="12"/>
  <c r="L6" i="12"/>
  <c r="M6" i="12"/>
  <c r="N6" i="12"/>
  <c r="O6" i="12"/>
  <c r="P6" i="12"/>
  <c r="Q6" i="12"/>
  <c r="R6" i="12"/>
  <c r="S6" i="12"/>
  <c r="T6" i="12"/>
  <c r="U6" i="12"/>
  <c r="V6" i="12"/>
  <c r="W6" i="12"/>
  <c r="X6" i="12"/>
  <c r="Y6" i="12"/>
  <c r="Z6" i="12"/>
  <c r="AA6" i="12"/>
  <c r="AB6" i="12"/>
  <c r="AC6" i="12"/>
  <c r="AD6" i="12"/>
  <c r="AE6" i="12"/>
  <c r="AF6" i="12"/>
  <c r="AG6" i="12"/>
  <c r="C7" i="12"/>
  <c r="D7" i="12"/>
  <c r="E7" i="12"/>
  <c r="F7" i="12"/>
  <c r="G7" i="12"/>
  <c r="H7" i="12"/>
  <c r="I7" i="12"/>
  <c r="J7" i="12"/>
  <c r="K7" i="12"/>
  <c r="L7" i="12"/>
  <c r="M7" i="12"/>
  <c r="N7" i="12"/>
  <c r="O7" i="12"/>
  <c r="P7" i="12"/>
  <c r="Q7" i="12"/>
  <c r="R7" i="12"/>
  <c r="S7" i="12"/>
  <c r="T7" i="12"/>
  <c r="U7" i="12"/>
  <c r="V7" i="12"/>
  <c r="W7" i="12"/>
  <c r="X7" i="12"/>
  <c r="Y7" i="12"/>
  <c r="Z7" i="12"/>
  <c r="AA7" i="12"/>
  <c r="AB7" i="12"/>
  <c r="AC7" i="12"/>
  <c r="AD7" i="12"/>
  <c r="AE7" i="12"/>
  <c r="AF7" i="12"/>
  <c r="AG7" i="12"/>
  <c r="C8" i="12"/>
  <c r="D8" i="12"/>
  <c r="E8" i="12"/>
  <c r="F8" i="12"/>
  <c r="G8" i="12"/>
  <c r="H8" i="12"/>
  <c r="I8" i="12"/>
  <c r="J8" i="12"/>
  <c r="K8" i="12"/>
  <c r="L8" i="12"/>
  <c r="M8" i="12"/>
  <c r="N8" i="12"/>
  <c r="O8" i="12"/>
  <c r="P8" i="12"/>
  <c r="Q8" i="12"/>
  <c r="R8" i="12"/>
  <c r="S8" i="12"/>
  <c r="T8" i="12"/>
  <c r="U8" i="12"/>
  <c r="V8" i="12"/>
  <c r="W8" i="12"/>
  <c r="X8" i="12"/>
  <c r="Y8" i="12"/>
  <c r="Z8" i="12"/>
  <c r="AA8" i="12"/>
  <c r="AB8" i="12"/>
  <c r="AC8" i="12"/>
  <c r="AD8" i="12"/>
  <c r="AE8" i="12"/>
  <c r="AF8" i="12"/>
  <c r="AG8" i="12"/>
  <c r="C9" i="12"/>
  <c r="D9" i="12"/>
  <c r="E9" i="12"/>
  <c r="F9" i="12"/>
  <c r="G9" i="12"/>
  <c r="H9" i="12"/>
  <c r="I9" i="12"/>
  <c r="J9" i="12"/>
  <c r="K9" i="12"/>
  <c r="L9" i="12"/>
  <c r="M9" i="12"/>
  <c r="N9" i="12"/>
  <c r="O9" i="12"/>
  <c r="P9" i="12"/>
  <c r="Q9" i="12"/>
  <c r="R9" i="12"/>
  <c r="S9" i="12"/>
  <c r="T9" i="12"/>
  <c r="U9" i="12"/>
  <c r="V9" i="12"/>
  <c r="W9" i="12"/>
  <c r="X9" i="12"/>
  <c r="Y9" i="12"/>
  <c r="Z9" i="12"/>
  <c r="AA9" i="12"/>
  <c r="AB9" i="12"/>
  <c r="AC9" i="12"/>
  <c r="AD9" i="12"/>
  <c r="AE9" i="12"/>
  <c r="AF9" i="12"/>
  <c r="AG9" i="12"/>
  <c r="C10" i="12"/>
  <c r="D10" i="12"/>
  <c r="E10" i="12"/>
  <c r="F10" i="12"/>
  <c r="G10" i="12"/>
  <c r="H10" i="12"/>
  <c r="I10" i="12"/>
  <c r="J10" i="12"/>
  <c r="K10" i="12"/>
  <c r="L10" i="12"/>
  <c r="M10" i="12"/>
  <c r="N10" i="12"/>
  <c r="O10" i="12"/>
  <c r="P10" i="12"/>
  <c r="Q10" i="12"/>
  <c r="R10" i="12"/>
  <c r="S10" i="12"/>
  <c r="T10" i="12"/>
  <c r="U10" i="12"/>
  <c r="V10" i="12"/>
  <c r="W10" i="12"/>
  <c r="X10" i="12"/>
  <c r="Y10" i="12"/>
  <c r="Z10" i="12"/>
  <c r="AA10" i="12"/>
  <c r="AB10" i="12"/>
  <c r="AC10" i="12"/>
  <c r="AD10" i="12"/>
  <c r="AE10" i="12"/>
  <c r="AF10" i="12"/>
  <c r="AG10" i="12"/>
  <c r="C11" i="12"/>
  <c r="D11" i="12"/>
  <c r="E11" i="12"/>
  <c r="F11" i="12"/>
  <c r="G11" i="12"/>
  <c r="H11" i="12"/>
  <c r="I11" i="12"/>
  <c r="J11" i="12"/>
  <c r="K11" i="12"/>
  <c r="L11" i="12"/>
  <c r="M11" i="12"/>
  <c r="N11" i="12"/>
  <c r="O11" i="12"/>
  <c r="P11" i="12"/>
  <c r="Q11" i="12"/>
  <c r="R11" i="12"/>
  <c r="S11" i="12"/>
  <c r="T11" i="12"/>
  <c r="U11" i="12"/>
  <c r="V11" i="12"/>
  <c r="W11" i="12"/>
  <c r="X11" i="12"/>
  <c r="Y11" i="12"/>
  <c r="Z11" i="12"/>
  <c r="AA11" i="12"/>
  <c r="AB11" i="12"/>
  <c r="AC11" i="12"/>
  <c r="AD11" i="12"/>
  <c r="AE11" i="12"/>
  <c r="AF11" i="12"/>
  <c r="AG11" i="12"/>
  <c r="C12" i="12"/>
  <c r="D12" i="12"/>
  <c r="E12" i="12"/>
  <c r="F12" i="12"/>
  <c r="G12" i="12"/>
  <c r="H12" i="12"/>
  <c r="I12" i="12"/>
  <c r="J12" i="12"/>
  <c r="K12" i="12"/>
  <c r="L12" i="12"/>
  <c r="M12" i="12"/>
  <c r="N12" i="12"/>
  <c r="O12" i="12"/>
  <c r="P12" i="12"/>
  <c r="Q12" i="12"/>
  <c r="R12" i="12"/>
  <c r="S12" i="12"/>
  <c r="T12" i="12"/>
  <c r="U12" i="12"/>
  <c r="V12" i="12"/>
  <c r="W12" i="12"/>
  <c r="X12" i="12"/>
  <c r="Y12" i="12"/>
  <c r="Z12" i="12"/>
  <c r="AA12" i="12"/>
  <c r="AB12" i="12"/>
  <c r="AC12" i="12"/>
  <c r="AD12" i="12"/>
  <c r="AE12" i="12"/>
  <c r="AF12" i="12"/>
  <c r="AG12" i="12"/>
  <c r="C13" i="12"/>
  <c r="D13" i="12"/>
  <c r="E13" i="12"/>
  <c r="F13" i="12"/>
  <c r="G13" i="12"/>
  <c r="H13" i="12"/>
  <c r="I13" i="12"/>
  <c r="J13" i="12"/>
  <c r="K13" i="12"/>
  <c r="L13" i="12"/>
  <c r="M13" i="12"/>
  <c r="N13" i="12"/>
  <c r="O13" i="12"/>
  <c r="P13" i="12"/>
  <c r="Q13" i="12"/>
  <c r="R13" i="12"/>
  <c r="S13" i="12"/>
  <c r="T13" i="12"/>
  <c r="U13" i="12"/>
  <c r="V13" i="12"/>
  <c r="W13" i="12"/>
  <c r="X13" i="12"/>
  <c r="Y13" i="12"/>
  <c r="Z13" i="12"/>
  <c r="AA13" i="12"/>
  <c r="AB13" i="12"/>
  <c r="AC13" i="12"/>
  <c r="AD13" i="12"/>
  <c r="AE13" i="12"/>
  <c r="AF13" i="12"/>
  <c r="AG13" i="12"/>
  <c r="C14" i="12"/>
  <c r="D14" i="12"/>
  <c r="E14" i="12"/>
  <c r="F14" i="12"/>
  <c r="G14" i="12"/>
  <c r="H14" i="12"/>
  <c r="I14" i="12"/>
  <c r="J14" i="12"/>
  <c r="K14" i="12"/>
  <c r="L14" i="12"/>
  <c r="M14" i="12"/>
  <c r="N14" i="12"/>
  <c r="O14" i="12"/>
  <c r="P14" i="12"/>
  <c r="Q14" i="12"/>
  <c r="R14" i="12"/>
  <c r="S14" i="12"/>
  <c r="T14" i="12"/>
  <c r="U14" i="12"/>
  <c r="V14" i="12"/>
  <c r="W14" i="12"/>
  <c r="X14" i="12"/>
  <c r="Y14" i="12"/>
  <c r="Z14" i="12"/>
  <c r="AA14" i="12"/>
  <c r="AB14" i="12"/>
  <c r="AC14" i="12"/>
  <c r="AD14" i="12"/>
  <c r="AE14" i="12"/>
  <c r="AF14" i="12"/>
  <c r="AG14" i="12"/>
  <c r="C15" i="12"/>
  <c r="D15" i="12"/>
  <c r="E15" i="12"/>
  <c r="F15" i="12"/>
  <c r="G15" i="12"/>
  <c r="H15" i="12"/>
  <c r="I15" i="12"/>
  <c r="J15" i="12"/>
  <c r="K15" i="12"/>
  <c r="L15" i="12"/>
  <c r="M15" i="12"/>
  <c r="N15" i="12"/>
  <c r="O15" i="12"/>
  <c r="P15" i="12"/>
  <c r="Q15" i="12"/>
  <c r="R15" i="12"/>
  <c r="S15" i="12"/>
  <c r="T15" i="12"/>
  <c r="U15" i="12"/>
  <c r="V15" i="12"/>
  <c r="W15" i="12"/>
  <c r="X15" i="12"/>
  <c r="Y15" i="12"/>
  <c r="Z15" i="12"/>
  <c r="AA15" i="12"/>
  <c r="AB15" i="12"/>
  <c r="AC15" i="12"/>
  <c r="AD15" i="12"/>
  <c r="AE15" i="12"/>
  <c r="AF15" i="12"/>
  <c r="AG15" i="12"/>
  <c r="C16" i="12"/>
  <c r="D16" i="12"/>
  <c r="E16" i="12"/>
  <c r="F16" i="12"/>
  <c r="G16" i="12"/>
  <c r="H16" i="12"/>
  <c r="I16" i="12"/>
  <c r="J16" i="12"/>
  <c r="K16" i="12"/>
  <c r="L16" i="12"/>
  <c r="M16" i="12"/>
  <c r="N16" i="12"/>
  <c r="O16" i="12"/>
  <c r="P16" i="12"/>
  <c r="Q16" i="12"/>
  <c r="R16" i="12"/>
  <c r="S16" i="12"/>
  <c r="T16" i="12"/>
  <c r="U16" i="12"/>
  <c r="V16" i="12"/>
  <c r="W16" i="12"/>
  <c r="X16" i="12"/>
  <c r="Y16" i="12"/>
  <c r="Z16" i="12"/>
  <c r="AA16" i="12"/>
  <c r="AB16" i="12"/>
  <c r="AC16" i="12"/>
  <c r="AD16" i="12"/>
  <c r="AE16" i="12"/>
  <c r="AF16" i="12"/>
  <c r="AG16" i="12"/>
  <c r="C17" i="12"/>
  <c r="D17" i="12"/>
  <c r="E17" i="12"/>
  <c r="F17" i="12"/>
  <c r="G17" i="12"/>
  <c r="H17" i="12"/>
  <c r="I17" i="12"/>
  <c r="J17" i="12"/>
  <c r="K17" i="12"/>
  <c r="L17" i="12"/>
  <c r="M17" i="12"/>
  <c r="N17" i="12"/>
  <c r="O17" i="12"/>
  <c r="P17" i="12"/>
  <c r="Q17" i="12"/>
  <c r="R17" i="12"/>
  <c r="S17" i="12"/>
  <c r="T17" i="12"/>
  <c r="U17" i="12"/>
  <c r="V17" i="12"/>
  <c r="W17" i="12"/>
  <c r="X17" i="12"/>
  <c r="Y17" i="12"/>
  <c r="Z17" i="12"/>
  <c r="AA17" i="12"/>
  <c r="AB17" i="12"/>
  <c r="AC17" i="12"/>
  <c r="AD17" i="12"/>
  <c r="AE17" i="12"/>
  <c r="AF17" i="12"/>
  <c r="AG17" i="12"/>
  <c r="C18" i="12"/>
  <c r="D18" i="12"/>
  <c r="E18" i="12"/>
  <c r="F18" i="12"/>
  <c r="G18" i="12"/>
  <c r="H18" i="12"/>
  <c r="I18" i="12"/>
  <c r="J18" i="12"/>
  <c r="K18" i="12"/>
  <c r="L18" i="12"/>
  <c r="M18" i="12"/>
  <c r="N18" i="12"/>
  <c r="O18" i="12"/>
  <c r="P18" i="12"/>
  <c r="Q18" i="12"/>
  <c r="R18" i="12"/>
  <c r="S18" i="12"/>
  <c r="T18" i="12"/>
  <c r="U18" i="12"/>
  <c r="V18" i="12"/>
  <c r="W18" i="12"/>
  <c r="X18" i="12"/>
  <c r="Y18" i="12"/>
  <c r="Z18" i="12"/>
  <c r="AA18" i="12"/>
  <c r="AB18" i="12"/>
  <c r="AC18" i="12"/>
  <c r="AD18" i="12"/>
  <c r="AE18" i="12"/>
  <c r="AF18" i="12"/>
  <c r="AG18" i="12"/>
  <c r="B18" i="12"/>
  <c r="B17" i="12"/>
  <c r="B16" i="12"/>
  <c r="B15" i="12"/>
  <c r="B14" i="12"/>
  <c r="B13" i="12"/>
  <c r="B12" i="12"/>
  <c r="B11" i="12"/>
  <c r="B10" i="12"/>
  <c r="B9" i="12"/>
  <c r="B8" i="12"/>
  <c r="B7" i="12"/>
  <c r="B6" i="12"/>
  <c r="B5" i="12"/>
  <c r="AG68" i="19"/>
  <c r="AF68" i="19"/>
  <c r="AE68" i="19"/>
  <c r="AD68" i="19"/>
  <c r="AC68" i="19"/>
  <c r="AB68" i="19"/>
  <c r="AA68" i="19"/>
  <c r="Z68" i="19"/>
  <c r="Y68" i="19"/>
  <c r="X68" i="19"/>
  <c r="W68" i="19"/>
  <c r="V68" i="19"/>
  <c r="U68" i="19"/>
  <c r="T68" i="19"/>
  <c r="S68" i="19"/>
  <c r="R68" i="19"/>
  <c r="Q68" i="19"/>
  <c r="P68" i="19"/>
  <c r="O68" i="19"/>
  <c r="N68" i="19"/>
  <c r="M68" i="19"/>
  <c r="L68" i="19"/>
  <c r="K68" i="19"/>
  <c r="J68" i="19"/>
  <c r="I68" i="19"/>
  <c r="H68" i="19"/>
  <c r="G68" i="19"/>
  <c r="F68" i="19"/>
  <c r="E68" i="19"/>
  <c r="D68" i="19"/>
  <c r="C68" i="19"/>
  <c r="AG67" i="19"/>
  <c r="AF67" i="19"/>
  <c r="AE67" i="19"/>
  <c r="AD67" i="19"/>
  <c r="AC67" i="19"/>
  <c r="AB67" i="19"/>
  <c r="AA67" i="19"/>
  <c r="Z67" i="19"/>
  <c r="Y67" i="19"/>
  <c r="X67" i="19"/>
  <c r="W67" i="19"/>
  <c r="V67" i="19"/>
  <c r="U67" i="19"/>
  <c r="T67" i="19"/>
  <c r="S67" i="19"/>
  <c r="R67" i="19"/>
  <c r="Q67" i="19"/>
  <c r="P67" i="19"/>
  <c r="O67" i="19"/>
  <c r="N67" i="19"/>
  <c r="M67" i="19"/>
  <c r="L67" i="19"/>
  <c r="K67" i="19"/>
  <c r="J67" i="19"/>
  <c r="I67" i="19"/>
  <c r="H67" i="19"/>
  <c r="G67" i="19"/>
  <c r="F67" i="19"/>
  <c r="E67" i="19"/>
  <c r="D67" i="19"/>
  <c r="C67" i="19"/>
  <c r="B68" i="19"/>
  <c r="B67" i="19"/>
  <c r="C66" i="19"/>
  <c r="D66" i="19"/>
  <c r="E66" i="19"/>
  <c r="F66" i="19"/>
  <c r="G66" i="19"/>
  <c r="H66" i="19"/>
  <c r="I66" i="19"/>
  <c r="J66" i="19"/>
  <c r="K66" i="19"/>
  <c r="L66" i="19"/>
  <c r="M66" i="19"/>
  <c r="N66" i="19"/>
  <c r="O66" i="19"/>
  <c r="P66" i="19"/>
  <c r="Q66" i="19"/>
  <c r="R66" i="19"/>
  <c r="S66" i="19"/>
  <c r="T66" i="19"/>
  <c r="U66" i="19"/>
  <c r="V66" i="19"/>
  <c r="W66" i="19"/>
  <c r="X66" i="19"/>
  <c r="Y66" i="19"/>
  <c r="Z66" i="19"/>
  <c r="AA66" i="19"/>
  <c r="AB66" i="19"/>
  <c r="AC66" i="19"/>
  <c r="AD66" i="19"/>
  <c r="AE66" i="19"/>
  <c r="AF66" i="19"/>
  <c r="AG66" i="19"/>
  <c r="B66" i="19"/>
  <c r="B60" i="19"/>
  <c r="B64" i="19"/>
  <c r="AG63" i="19"/>
  <c r="AF63" i="19"/>
  <c r="AE63" i="19"/>
  <c r="AD63" i="19"/>
  <c r="AC63" i="19"/>
  <c r="AB63" i="19"/>
  <c r="AA63" i="19"/>
  <c r="Z63" i="19"/>
  <c r="Y63" i="19"/>
  <c r="X63" i="19"/>
  <c r="W63" i="19"/>
  <c r="V63" i="19"/>
  <c r="U63" i="19"/>
  <c r="T63" i="19"/>
  <c r="S63" i="19"/>
  <c r="R63" i="19"/>
  <c r="Q63" i="19"/>
  <c r="P63" i="19"/>
  <c r="O63" i="19"/>
  <c r="N63" i="19"/>
  <c r="M63" i="19"/>
  <c r="L63" i="19"/>
  <c r="K63" i="19"/>
  <c r="J63" i="19"/>
  <c r="I63" i="19"/>
  <c r="H63" i="19"/>
  <c r="G63" i="19"/>
  <c r="F63" i="19"/>
  <c r="E63" i="19"/>
  <c r="D63" i="19"/>
  <c r="C63" i="19"/>
  <c r="AG59" i="19"/>
  <c r="AF59" i="19"/>
  <c r="AE59" i="19"/>
  <c r="AD59" i="19"/>
  <c r="AC59" i="19"/>
  <c r="AB59" i="19"/>
  <c r="AA59" i="19"/>
  <c r="Z59" i="19"/>
  <c r="Y59" i="19"/>
  <c r="X59" i="19"/>
  <c r="W59" i="19"/>
  <c r="V59" i="19"/>
  <c r="U59" i="19"/>
  <c r="T59" i="19"/>
  <c r="S59" i="19"/>
  <c r="R59" i="19"/>
  <c r="Q59" i="19"/>
  <c r="P59" i="19"/>
  <c r="O59" i="19"/>
  <c r="N59" i="19"/>
  <c r="M59" i="19"/>
  <c r="L59" i="19"/>
  <c r="K59" i="19"/>
  <c r="J59" i="19"/>
  <c r="I59" i="19"/>
  <c r="H59" i="19"/>
  <c r="G59" i="19"/>
  <c r="F59" i="19"/>
  <c r="E59" i="19"/>
  <c r="D59" i="19"/>
  <c r="C59" i="19"/>
  <c r="B56" i="19"/>
  <c r="AG55" i="19"/>
  <c r="AF55" i="19"/>
  <c r="AE55" i="19"/>
  <c r="AD55" i="19"/>
  <c r="AC55" i="19"/>
  <c r="AB55" i="19"/>
  <c r="AA55" i="19"/>
  <c r="Z55" i="19"/>
  <c r="Y55" i="19"/>
  <c r="X55" i="19"/>
  <c r="W55" i="19"/>
  <c r="V55" i="19"/>
  <c r="U55" i="19"/>
  <c r="T55" i="19"/>
  <c r="S55" i="19"/>
  <c r="R55" i="19"/>
  <c r="Q55" i="19"/>
  <c r="P55" i="19"/>
  <c r="O55" i="19"/>
  <c r="N55" i="19"/>
  <c r="M55" i="19"/>
  <c r="L55" i="19"/>
  <c r="K55" i="19"/>
  <c r="J55" i="19"/>
  <c r="I55" i="19"/>
  <c r="H55" i="19"/>
  <c r="G55" i="19"/>
  <c r="F55" i="19"/>
  <c r="E55" i="19"/>
  <c r="D55" i="19"/>
  <c r="C55" i="19"/>
  <c r="Q1" i="19"/>
  <c r="C30" i="19"/>
  <c r="O30" i="19"/>
  <c r="O17" i="19"/>
  <c r="O18" i="19"/>
  <c r="O19" i="19"/>
  <c r="O20" i="19"/>
  <c r="O21" i="19"/>
  <c r="Q21" i="19" s="1"/>
  <c r="O22" i="19"/>
  <c r="O23" i="19"/>
  <c r="O24" i="19"/>
  <c r="O25" i="19"/>
  <c r="Q25" i="19" s="1"/>
  <c r="O26" i="19"/>
  <c r="O27" i="19"/>
  <c r="O28" i="19"/>
  <c r="O29" i="19"/>
  <c r="Q29" i="19" s="1"/>
  <c r="O16" i="19"/>
  <c r="O35" i="19"/>
  <c r="O36" i="19"/>
  <c r="O37" i="19"/>
  <c r="O38" i="19"/>
  <c r="Q38" i="19" s="1"/>
  <c r="O39" i="19"/>
  <c r="O40" i="19"/>
  <c r="O41" i="19"/>
  <c r="O42" i="19"/>
  <c r="Q42" i="19" s="1"/>
  <c r="O43" i="19"/>
  <c r="O44" i="19"/>
  <c r="O34" i="19"/>
  <c r="Q44" i="19"/>
  <c r="Q43" i="19"/>
  <c r="Q41" i="19"/>
  <c r="Q40" i="19"/>
  <c r="Q39" i="19"/>
  <c r="Q37" i="19"/>
  <c r="Q36" i="19"/>
  <c r="Q35" i="19"/>
  <c r="Q28" i="19"/>
  <c r="Q27" i="19"/>
  <c r="Q26" i="19"/>
  <c r="Q24" i="19"/>
  <c r="Q23" i="19"/>
  <c r="Q22" i="19"/>
  <c r="Q20" i="19"/>
  <c r="Q19" i="19"/>
  <c r="Q18" i="19"/>
  <c r="Q17" i="19"/>
  <c r="Q16" i="19"/>
  <c r="O11" i="19"/>
  <c r="Q11" i="19" s="1"/>
  <c r="O10" i="19"/>
  <c r="Q10" i="19" s="1"/>
  <c r="O9" i="19"/>
  <c r="Q9" i="19" s="1"/>
  <c r="O8" i="19"/>
  <c r="Q8" i="19" s="1"/>
  <c r="O7" i="19"/>
  <c r="Q7" i="19" s="1"/>
  <c r="O6" i="19"/>
  <c r="Q6" i="19" s="1"/>
  <c r="O5" i="19"/>
  <c r="Q5" i="19" s="1"/>
  <c r="O4" i="19"/>
  <c r="I16" i="19"/>
  <c r="K16" i="19" s="1"/>
  <c r="I17" i="19"/>
  <c r="K17" i="19" s="1"/>
  <c r="I18" i="19"/>
  <c r="K18" i="19" s="1"/>
  <c r="I19" i="19"/>
  <c r="K19" i="19" s="1"/>
  <c r="I20" i="19"/>
  <c r="K20" i="19" s="1"/>
  <c r="I21" i="19"/>
  <c r="K21" i="19" s="1"/>
  <c r="I22" i="19"/>
  <c r="K22" i="19" s="1"/>
  <c r="I23" i="19"/>
  <c r="K23" i="19" s="1"/>
  <c r="I24" i="19"/>
  <c r="K24" i="19" s="1"/>
  <c r="I25" i="19"/>
  <c r="K25" i="19" s="1"/>
  <c r="I26" i="19"/>
  <c r="K26" i="19" s="1"/>
  <c r="I11" i="19"/>
  <c r="I10" i="19"/>
  <c r="K10" i="19" s="1"/>
  <c r="I9" i="19"/>
  <c r="K9" i="19" s="1"/>
  <c r="I8" i="19"/>
  <c r="I7" i="19"/>
  <c r="I6" i="19"/>
  <c r="K6" i="19" s="1"/>
  <c r="I5" i="19"/>
  <c r="K5" i="19" s="1"/>
  <c r="I4" i="19"/>
  <c r="C11" i="19"/>
  <c r="C10" i="19"/>
  <c r="C9" i="19"/>
  <c r="E9" i="19" s="1"/>
  <c r="C8" i="19"/>
  <c r="E8" i="19" s="1"/>
  <c r="C7" i="19"/>
  <c r="C6" i="19"/>
  <c r="E6" i="19" s="1"/>
  <c r="C5" i="19"/>
  <c r="C12" i="19" s="1"/>
  <c r="C4" i="19"/>
  <c r="E7" i="19"/>
  <c r="E11" i="19"/>
  <c r="K11" i="19"/>
  <c r="K8" i="19"/>
  <c r="K7" i="19"/>
  <c r="K4" i="19"/>
  <c r="E10" i="19"/>
  <c r="I21" i="3"/>
  <c r="I13" i="3"/>
  <c r="I15" i="9"/>
  <c r="I10" i="9"/>
  <c r="I17" i="9" s="1"/>
  <c r="K12" i="8"/>
  <c r="K19" i="8" s="1"/>
  <c r="I14" i="6"/>
  <c r="I23" i="6"/>
  <c r="G15" i="18"/>
  <c r="F15" i="18"/>
  <c r="AK16" i="4"/>
  <c r="AJ16" i="4"/>
  <c r="AH16" i="4"/>
  <c r="X16" i="4"/>
  <c r="W16" i="4"/>
  <c r="U16" i="4"/>
  <c r="K16" i="4"/>
  <c r="J16" i="4"/>
  <c r="G17" i="16"/>
  <c r="F17" i="16"/>
  <c r="F16" i="16"/>
  <c r="F15" i="16"/>
  <c r="F14" i="16"/>
  <c r="G14" i="16" s="1"/>
  <c r="F13" i="16"/>
  <c r="F12" i="16"/>
  <c r="F11" i="16"/>
  <c r="F10" i="16"/>
  <c r="F9" i="16"/>
  <c r="F8" i="16"/>
  <c r="F7" i="16"/>
  <c r="F6" i="16"/>
  <c r="F5" i="16"/>
  <c r="G15" i="16"/>
  <c r="E14" i="16"/>
  <c r="E15" i="16"/>
  <c r="D14" i="16"/>
  <c r="D15" i="16"/>
  <c r="I22" i="2"/>
  <c r="I9" i="2"/>
  <c r="I17" i="2"/>
  <c r="H9" i="2"/>
  <c r="H17" i="2"/>
  <c r="F17" i="2"/>
  <c r="I23" i="1"/>
  <c r="H23" i="1"/>
  <c r="F23" i="1"/>
  <c r="H22" i="1"/>
  <c r="F22" i="1"/>
  <c r="F15" i="1"/>
  <c r="H15" i="1"/>
  <c r="I22" i="3"/>
  <c r="H22" i="3"/>
  <c r="H21" i="3"/>
  <c r="D13" i="3"/>
  <c r="D21" i="3"/>
  <c r="D22" i="3"/>
  <c r="D15" i="1"/>
  <c r="D22" i="1"/>
  <c r="D23" i="1"/>
  <c r="H9" i="3"/>
  <c r="H13" i="3"/>
  <c r="E4" i="19"/>
  <c r="C17" i="19"/>
  <c r="E17" i="19" s="1"/>
  <c r="C18" i="19"/>
  <c r="E18" i="19" s="1"/>
  <c r="C19" i="19"/>
  <c r="E19" i="19" s="1"/>
  <c r="C20" i="19"/>
  <c r="E20" i="19" s="1"/>
  <c r="C21" i="19"/>
  <c r="E21" i="19" s="1"/>
  <c r="C22" i="19"/>
  <c r="E22" i="19" s="1"/>
  <c r="C23" i="19"/>
  <c r="E23" i="19" s="1"/>
  <c r="C24" i="19"/>
  <c r="E24" i="19" s="1"/>
  <c r="C25" i="19"/>
  <c r="E25" i="19" s="1"/>
  <c r="C26" i="19"/>
  <c r="E26" i="19" s="1"/>
  <c r="C27" i="19"/>
  <c r="E27" i="19" s="1"/>
  <c r="C28" i="19"/>
  <c r="E28" i="19" s="1"/>
  <c r="C29" i="19"/>
  <c r="E29" i="19" s="1"/>
  <c r="C16" i="19"/>
  <c r="E16" i="19" s="1"/>
  <c r="B25" i="18"/>
  <c r="C25" i="18" s="1"/>
  <c r="D25" i="18" s="1"/>
  <c r="E15" i="18"/>
  <c r="E14" i="18"/>
  <c r="E13" i="18"/>
  <c r="E12" i="18"/>
  <c r="E11" i="18"/>
  <c r="E10" i="18"/>
  <c r="E9" i="18"/>
  <c r="E8" i="18"/>
  <c r="E7" i="18"/>
  <c r="E6" i="18"/>
  <c r="D15" i="18"/>
  <c r="D14" i="18"/>
  <c r="F14" i="18" s="1"/>
  <c r="G14" i="18" s="1"/>
  <c r="D13" i="18"/>
  <c r="F13" i="18" s="1"/>
  <c r="G13" i="18" s="1"/>
  <c r="D12" i="18"/>
  <c r="F12" i="18" s="1"/>
  <c r="G12" i="18" s="1"/>
  <c r="D11" i="18"/>
  <c r="F11" i="18" s="1"/>
  <c r="G11" i="18" s="1"/>
  <c r="D10" i="18"/>
  <c r="F10" i="18" s="1"/>
  <c r="G10" i="18" s="1"/>
  <c r="D9" i="18"/>
  <c r="F9" i="18" s="1"/>
  <c r="G9" i="18" s="1"/>
  <c r="D8" i="18"/>
  <c r="F8" i="18" s="1"/>
  <c r="G8" i="18" s="1"/>
  <c r="D7" i="18"/>
  <c r="F7" i="18" s="1"/>
  <c r="G7" i="18" s="1"/>
  <c r="D6" i="18"/>
  <c r="F6" i="18" s="1"/>
  <c r="G6" i="18" s="1"/>
  <c r="C15" i="18"/>
  <c r="C14" i="18"/>
  <c r="C13" i="18"/>
  <c r="C12" i="18"/>
  <c r="C11" i="18"/>
  <c r="C10" i="18"/>
  <c r="C9" i="18"/>
  <c r="C8" i="18"/>
  <c r="C7" i="18"/>
  <c r="C6" i="18"/>
  <c r="C5" i="18"/>
  <c r="AG24" i="18"/>
  <c r="AF24" i="18"/>
  <c r="AE24" i="18"/>
  <c r="AD24" i="18"/>
  <c r="AC24" i="18"/>
  <c r="AB24" i="18"/>
  <c r="AA24" i="18"/>
  <c r="Z24" i="18"/>
  <c r="Y24" i="18"/>
  <c r="X24" i="18"/>
  <c r="W24" i="18"/>
  <c r="V24" i="18"/>
  <c r="U24" i="18"/>
  <c r="T24" i="18"/>
  <c r="S24" i="18"/>
  <c r="R24" i="18"/>
  <c r="Q24" i="18"/>
  <c r="P24" i="18"/>
  <c r="O24" i="18"/>
  <c r="N24" i="18"/>
  <c r="M24" i="18"/>
  <c r="L24" i="18"/>
  <c r="K24" i="18"/>
  <c r="J24" i="18"/>
  <c r="I24" i="18"/>
  <c r="H24" i="18"/>
  <c r="G24" i="18"/>
  <c r="F24" i="18"/>
  <c r="E24" i="18"/>
  <c r="D24" i="18"/>
  <c r="C24" i="18"/>
  <c r="E5" i="18"/>
  <c r="D5" i="18"/>
  <c r="F5" i="18" s="1"/>
  <c r="G14" i="9"/>
  <c r="I15" i="8"/>
  <c r="G13" i="6"/>
  <c r="C60" i="19" l="1"/>
  <c r="D60" i="19" s="1"/>
  <c r="E60" i="19" s="1"/>
  <c r="F60" i="19" s="1"/>
  <c r="G60" i="19" s="1"/>
  <c r="H60" i="19" s="1"/>
  <c r="I60" i="19" s="1"/>
  <c r="J60" i="19" s="1"/>
  <c r="K60" i="19" s="1"/>
  <c r="L60" i="19" s="1"/>
  <c r="M60" i="19" s="1"/>
  <c r="N60" i="19" s="1"/>
  <c r="O60" i="19" s="1"/>
  <c r="P60" i="19" s="1"/>
  <c r="Q60" i="19" s="1"/>
  <c r="R60" i="19" s="1"/>
  <c r="S60" i="19" s="1"/>
  <c r="T60" i="19" s="1"/>
  <c r="U60" i="19" s="1"/>
  <c r="V60" i="19" s="1"/>
  <c r="W60" i="19" s="1"/>
  <c r="X60" i="19" s="1"/>
  <c r="Y60" i="19" s="1"/>
  <c r="Z60" i="19" s="1"/>
  <c r="AA60" i="19" s="1"/>
  <c r="AB60" i="19" s="1"/>
  <c r="AC60" i="19" s="1"/>
  <c r="AD60" i="19" s="1"/>
  <c r="AE60" i="19" s="1"/>
  <c r="AF60" i="19" s="1"/>
  <c r="AG60" i="19" s="1"/>
  <c r="C64" i="19"/>
  <c r="D64" i="19" s="1"/>
  <c r="E64" i="19" s="1"/>
  <c r="F64" i="19" s="1"/>
  <c r="G64" i="19" s="1"/>
  <c r="H64" i="19" s="1"/>
  <c r="I64" i="19" s="1"/>
  <c r="J64" i="19" s="1"/>
  <c r="K64" i="19" s="1"/>
  <c r="L64" i="19" s="1"/>
  <c r="M64" i="19" s="1"/>
  <c r="N64" i="19" s="1"/>
  <c r="O64" i="19" s="1"/>
  <c r="P64" i="19" s="1"/>
  <c r="Q64" i="19" s="1"/>
  <c r="R64" i="19" s="1"/>
  <c r="S64" i="19" s="1"/>
  <c r="T64" i="19" s="1"/>
  <c r="U64" i="19" s="1"/>
  <c r="V64" i="19" s="1"/>
  <c r="W64" i="19" s="1"/>
  <c r="X64" i="19" s="1"/>
  <c r="Y64" i="19" s="1"/>
  <c r="Z64" i="19" s="1"/>
  <c r="AA64" i="19" s="1"/>
  <c r="AB64" i="19" s="1"/>
  <c r="AC64" i="19" s="1"/>
  <c r="AD64" i="19" s="1"/>
  <c r="AE64" i="19" s="1"/>
  <c r="AF64" i="19" s="1"/>
  <c r="AG64" i="19" s="1"/>
  <c r="C56" i="19"/>
  <c r="D56" i="19" s="1"/>
  <c r="E56" i="19" s="1"/>
  <c r="F56" i="19" s="1"/>
  <c r="G56" i="19" s="1"/>
  <c r="H56" i="19" s="1"/>
  <c r="I56" i="19" s="1"/>
  <c r="J56" i="19" s="1"/>
  <c r="K56" i="19" s="1"/>
  <c r="L56" i="19" s="1"/>
  <c r="M56" i="19" s="1"/>
  <c r="N56" i="19" s="1"/>
  <c r="O56" i="19" s="1"/>
  <c r="P56" i="19" s="1"/>
  <c r="Q56" i="19" s="1"/>
  <c r="R56" i="19" s="1"/>
  <c r="S56" i="19" s="1"/>
  <c r="T56" i="19" s="1"/>
  <c r="U56" i="19" s="1"/>
  <c r="V56" i="19" s="1"/>
  <c r="W56" i="19" s="1"/>
  <c r="X56" i="19" s="1"/>
  <c r="Y56" i="19" s="1"/>
  <c r="Z56" i="19" s="1"/>
  <c r="AA56" i="19" s="1"/>
  <c r="AB56" i="19" s="1"/>
  <c r="AC56" i="19" s="1"/>
  <c r="AD56" i="19" s="1"/>
  <c r="AE56" i="19" s="1"/>
  <c r="AF56" i="19" s="1"/>
  <c r="AG56" i="19" s="1"/>
  <c r="O45" i="19"/>
  <c r="Q34" i="19"/>
  <c r="Q45" i="19" s="1"/>
  <c r="O12" i="19"/>
  <c r="I27" i="19"/>
  <c r="Q30" i="19"/>
  <c r="Q4" i="19"/>
  <c r="Q12" i="19" s="1"/>
  <c r="K27" i="19"/>
  <c r="E5" i="19"/>
  <c r="I12" i="19"/>
  <c r="E12" i="19"/>
  <c r="K12" i="19"/>
  <c r="E25" i="18"/>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G5" i="18"/>
  <c r="K1" i="19" l="1"/>
  <c r="AI15" i="4" l="1"/>
  <c r="V15" i="4"/>
  <c r="I15" i="4"/>
  <c r="C17" i="16"/>
  <c r="C16" i="16"/>
  <c r="C15" i="16"/>
  <c r="C14" i="16"/>
  <c r="C13" i="16"/>
  <c r="C12" i="16"/>
  <c r="C11" i="16"/>
  <c r="C10" i="16"/>
  <c r="D10" i="16" s="1"/>
  <c r="C9" i="16"/>
  <c r="C8" i="16"/>
  <c r="C7" i="16"/>
  <c r="C6" i="16"/>
  <c r="D6" i="16" s="1"/>
  <c r="C5" i="16"/>
  <c r="AG24" i="16"/>
  <c r="AF24" i="16"/>
  <c r="AE24" i="16"/>
  <c r="AD24" i="16"/>
  <c r="AC24" i="16"/>
  <c r="AB24" i="16"/>
  <c r="AA24" i="16"/>
  <c r="Z24" i="16"/>
  <c r="Y24" i="16"/>
  <c r="X24" i="16"/>
  <c r="W24" i="16"/>
  <c r="V24" i="16"/>
  <c r="U24" i="16"/>
  <c r="T24" i="16"/>
  <c r="S24" i="16"/>
  <c r="R24" i="16"/>
  <c r="Q24" i="16"/>
  <c r="P24" i="16"/>
  <c r="O24" i="16"/>
  <c r="N24" i="16"/>
  <c r="M24" i="16"/>
  <c r="L24" i="16"/>
  <c r="K24" i="16"/>
  <c r="J24" i="16"/>
  <c r="I24" i="16"/>
  <c r="H24" i="16"/>
  <c r="G24" i="16"/>
  <c r="F24" i="16"/>
  <c r="E24" i="16"/>
  <c r="D24" i="16"/>
  <c r="C24" i="16"/>
  <c r="E17" i="16"/>
  <c r="D17" i="16"/>
  <c r="E16" i="16"/>
  <c r="D16" i="16"/>
  <c r="E13" i="16"/>
  <c r="D13" i="16"/>
  <c r="E12" i="16"/>
  <c r="D12" i="16"/>
  <c r="E11" i="16"/>
  <c r="D11" i="16"/>
  <c r="E10" i="16"/>
  <c r="E9" i="16"/>
  <c r="D9" i="16"/>
  <c r="E8" i="16"/>
  <c r="D8" i="16"/>
  <c r="G8" i="16" s="1"/>
  <c r="E7" i="16"/>
  <c r="D7" i="16"/>
  <c r="E6" i="16"/>
  <c r="E5" i="16"/>
  <c r="D5" i="16"/>
  <c r="G5" i="16" l="1"/>
  <c r="G12" i="16"/>
  <c r="G16" i="16"/>
  <c r="G6" i="16"/>
  <c r="G10" i="16"/>
  <c r="G7" i="16"/>
  <c r="G11" i="16"/>
  <c r="G13" i="16"/>
  <c r="B25" i="16" l="1"/>
  <c r="C25" i="16" s="1"/>
  <c r="D25" i="16" s="1"/>
  <c r="E25" i="16" s="1"/>
  <c r="F25" i="16" s="1"/>
  <c r="G25" i="16" s="1"/>
  <c r="H25" i="16" s="1"/>
  <c r="I25" i="16" s="1"/>
  <c r="J25" i="16" s="1"/>
  <c r="K25" i="16" s="1"/>
  <c r="L25" i="16" s="1"/>
  <c r="M25" i="16" s="1"/>
  <c r="N25" i="16" s="1"/>
  <c r="O25" i="16" s="1"/>
  <c r="P25" i="16" s="1"/>
  <c r="Q25" i="16" s="1"/>
  <c r="R25" i="16" s="1"/>
  <c r="S25" i="16" s="1"/>
  <c r="T25" i="16" s="1"/>
  <c r="U25" i="16" s="1"/>
  <c r="V25" i="16" s="1"/>
  <c r="W25" i="16" s="1"/>
  <c r="X25" i="16" s="1"/>
  <c r="Y25" i="16" s="1"/>
  <c r="Z25" i="16" s="1"/>
  <c r="AA25" i="16" s="1"/>
  <c r="AB25" i="16" s="1"/>
  <c r="AC25" i="16" s="1"/>
  <c r="AD25" i="16" s="1"/>
  <c r="AE25" i="16" s="1"/>
  <c r="AF25" i="16" s="1"/>
  <c r="AG25" i="16" s="1"/>
  <c r="G9" i="16"/>
  <c r="G17" i="3" l="1"/>
  <c r="H21" i="2" l="1"/>
  <c r="H20" i="2"/>
  <c r="I20" i="2" s="1"/>
  <c r="H19" i="2"/>
  <c r="I19" i="2" s="1"/>
  <c r="H22" i="2"/>
  <c r="H16" i="2"/>
  <c r="H15" i="2"/>
  <c r="I15" i="2" s="1"/>
  <c r="H14" i="2"/>
  <c r="I14" i="2" s="1"/>
  <c r="H13" i="2"/>
  <c r="H12" i="2"/>
  <c r="H11" i="2"/>
  <c r="I11" i="2" s="1"/>
  <c r="H8" i="2"/>
  <c r="H7" i="2"/>
  <c r="H6" i="2"/>
  <c r="I21" i="2"/>
  <c r="I16" i="2"/>
  <c r="I13" i="2"/>
  <c r="I12" i="2"/>
  <c r="I8" i="2"/>
  <c r="I7" i="2"/>
  <c r="I6" i="2"/>
  <c r="G12" i="1"/>
  <c r="E17" i="9"/>
  <c r="E16" i="9"/>
  <c r="E15" i="9"/>
  <c r="E14" i="9"/>
  <c r="E13" i="9"/>
  <c r="E12" i="9"/>
  <c r="E10" i="9"/>
  <c r="E9" i="9"/>
  <c r="E8" i="9"/>
  <c r="E7" i="9"/>
  <c r="E6" i="9"/>
  <c r="E5" i="9"/>
  <c r="E19" i="8"/>
  <c r="E18" i="8"/>
  <c r="E17" i="8"/>
  <c r="E16" i="8"/>
  <c r="E15" i="8"/>
  <c r="E14" i="8"/>
  <c r="E13" i="8"/>
  <c r="E12" i="8"/>
  <c r="E11" i="8"/>
  <c r="E10" i="8"/>
  <c r="E9" i="8"/>
  <c r="E8" i="8"/>
  <c r="E7" i="8"/>
  <c r="E6" i="8"/>
  <c r="E5" i="8"/>
  <c r="E20" i="7"/>
  <c r="E19" i="7"/>
  <c r="E18" i="7"/>
  <c r="E17" i="7"/>
  <c r="E16" i="7"/>
  <c r="E14" i="7"/>
  <c r="E13" i="7"/>
  <c r="E12" i="7"/>
  <c r="E11" i="7"/>
  <c r="E10" i="7"/>
  <c r="E9" i="7"/>
  <c r="E8" i="7"/>
  <c r="E7" i="7"/>
  <c r="E6" i="7"/>
  <c r="E5" i="7"/>
  <c r="E25" i="6"/>
  <c r="E23" i="6"/>
  <c r="E22" i="6"/>
  <c r="E21" i="6"/>
  <c r="E20" i="6"/>
  <c r="E19" i="6"/>
  <c r="E18" i="6"/>
  <c r="E17" i="6"/>
  <c r="E14" i="6"/>
  <c r="E13" i="6"/>
  <c r="E12" i="6"/>
  <c r="E11" i="6"/>
  <c r="E10" i="6"/>
  <c r="E9" i="6"/>
  <c r="E8" i="6"/>
  <c r="E7" i="6"/>
  <c r="E6" i="6"/>
  <c r="E5" i="6"/>
  <c r="AA16" i="11"/>
  <c r="AA15" i="11"/>
  <c r="AA14" i="11"/>
  <c r="AA13" i="11"/>
  <c r="AA12" i="11"/>
  <c r="AA11" i="11"/>
  <c r="AA10" i="11"/>
  <c r="AA9" i="11"/>
  <c r="AA8" i="11"/>
  <c r="P16" i="11"/>
  <c r="P15" i="11"/>
  <c r="P14" i="11"/>
  <c r="P13" i="11"/>
  <c r="P12" i="11"/>
  <c r="P11" i="11"/>
  <c r="P10" i="11"/>
  <c r="P9" i="11"/>
  <c r="P8" i="11"/>
  <c r="E16" i="11"/>
  <c r="E15" i="11"/>
  <c r="E14" i="11"/>
  <c r="E13" i="11"/>
  <c r="E12" i="11"/>
  <c r="E11" i="11"/>
  <c r="E10" i="11"/>
  <c r="E9" i="11"/>
  <c r="E8" i="11"/>
  <c r="AE16" i="4"/>
  <c r="AE15" i="4"/>
  <c r="AE14" i="4"/>
  <c r="AE13" i="4"/>
  <c r="AE12" i="4"/>
  <c r="AE11" i="4"/>
  <c r="AE10" i="4"/>
  <c r="AE9" i="4"/>
  <c r="AE8" i="4"/>
  <c r="R16" i="4"/>
  <c r="R15" i="4"/>
  <c r="R14" i="4"/>
  <c r="R13" i="4"/>
  <c r="R12" i="4"/>
  <c r="R11" i="4"/>
  <c r="R10" i="4"/>
  <c r="R9" i="4"/>
  <c r="R8" i="4"/>
  <c r="E16" i="4"/>
  <c r="E15" i="4"/>
  <c r="E14" i="4"/>
  <c r="E13" i="4"/>
  <c r="E12" i="4"/>
  <c r="E11" i="4"/>
  <c r="E10" i="4"/>
  <c r="E9" i="4"/>
  <c r="E8" i="4"/>
  <c r="E22" i="3"/>
  <c r="E21" i="3"/>
  <c r="E20" i="3"/>
  <c r="E19" i="3"/>
  <c r="E18" i="3"/>
  <c r="E17" i="3"/>
  <c r="E16" i="3"/>
  <c r="E13" i="3"/>
  <c r="E12" i="3"/>
  <c r="E11" i="3"/>
  <c r="E10" i="3"/>
  <c r="E9" i="3"/>
  <c r="E8" i="3"/>
  <c r="E7" i="3"/>
  <c r="E6" i="3"/>
  <c r="E5" i="3"/>
  <c r="E23" i="1"/>
  <c r="E22" i="1"/>
  <c r="E21" i="1"/>
  <c r="E20" i="1"/>
  <c r="E19" i="1"/>
  <c r="E18" i="1"/>
  <c r="E17" i="1"/>
  <c r="E15" i="1"/>
  <c r="E14" i="1"/>
  <c r="E13" i="1"/>
  <c r="E12" i="1"/>
  <c r="E11" i="1"/>
  <c r="E10" i="1"/>
  <c r="E9" i="1"/>
  <c r="E8" i="1"/>
  <c r="E6" i="1"/>
  <c r="B30" i="2" l="1"/>
  <c r="C30" i="2" s="1"/>
  <c r="D30" i="2" s="1"/>
  <c r="E30" i="2" s="1"/>
  <c r="F30" i="2" s="1"/>
  <c r="G30" i="2" s="1"/>
  <c r="H30" i="2" s="1"/>
  <c r="I30" i="2" s="1"/>
  <c r="J30" i="2" s="1"/>
  <c r="K30" i="2" s="1"/>
  <c r="L30" i="2" s="1"/>
  <c r="M30" i="2" s="1"/>
  <c r="N30" i="2" s="1"/>
  <c r="O30" i="2" s="1"/>
  <c r="P30" i="2" s="1"/>
  <c r="Q30" i="2" s="1"/>
  <c r="R30" i="2" s="1"/>
  <c r="S30" i="2" s="1"/>
  <c r="T30" i="2" s="1"/>
  <c r="U30" i="2" s="1"/>
  <c r="V30" i="2" s="1"/>
  <c r="W30" i="2" s="1"/>
  <c r="X30" i="2" s="1"/>
  <c r="Y30" i="2" s="1"/>
  <c r="Z30" i="2" s="1"/>
  <c r="AA30" i="2" s="1"/>
  <c r="AB30" i="2" s="1"/>
  <c r="AC30" i="2" s="1"/>
  <c r="AD30" i="2" s="1"/>
  <c r="AE30" i="2" s="1"/>
  <c r="AF30" i="2" s="1"/>
  <c r="AG30" i="2" s="1"/>
  <c r="F17" i="5"/>
  <c r="F16" i="5"/>
  <c r="F15" i="5"/>
  <c r="F12" i="5"/>
  <c r="F13" i="5"/>
  <c r="F14" i="5"/>
  <c r="F11" i="5"/>
  <c r="F9" i="5"/>
  <c r="F7" i="5"/>
  <c r="F8" i="5"/>
  <c r="F6" i="5"/>
  <c r="D7" i="5"/>
  <c r="D8" i="5"/>
  <c r="D9" i="5"/>
  <c r="D10" i="5"/>
  <c r="D11" i="5"/>
  <c r="D12" i="5"/>
  <c r="D13" i="5"/>
  <c r="D14" i="5"/>
  <c r="D15" i="5"/>
  <c r="D16" i="5"/>
  <c r="D17" i="5"/>
  <c r="D6" i="5"/>
  <c r="F18" i="6"/>
  <c r="H18" i="6" s="1"/>
  <c r="F19" i="6"/>
  <c r="H19" i="6" s="1"/>
  <c r="F20" i="6"/>
  <c r="H20" i="6" s="1"/>
  <c r="F21" i="6"/>
  <c r="H21" i="6" s="1"/>
  <c r="F22" i="6"/>
  <c r="H22" i="6" s="1"/>
  <c r="F17" i="6"/>
  <c r="H17" i="6" s="1"/>
  <c r="F6" i="6"/>
  <c r="H6" i="6" s="1"/>
  <c r="F7" i="6"/>
  <c r="H7" i="6" s="1"/>
  <c r="F8" i="6"/>
  <c r="H8" i="6" s="1"/>
  <c r="F9" i="6"/>
  <c r="H9" i="6" s="1"/>
  <c r="F10" i="6"/>
  <c r="H10" i="6" s="1"/>
  <c r="F11" i="6"/>
  <c r="H11" i="6" s="1"/>
  <c r="F12" i="6"/>
  <c r="H12" i="6" s="1"/>
  <c r="F13" i="6"/>
  <c r="H13" i="6" s="1"/>
  <c r="F5" i="6"/>
  <c r="H5" i="6" s="1"/>
  <c r="D6" i="6"/>
  <c r="D7" i="6"/>
  <c r="D8" i="6"/>
  <c r="D9" i="6"/>
  <c r="D10" i="6"/>
  <c r="D11" i="6"/>
  <c r="D12" i="6"/>
  <c r="D13" i="6"/>
  <c r="D14" i="6"/>
  <c r="D17" i="6"/>
  <c r="D18" i="6"/>
  <c r="D19" i="6"/>
  <c r="D20" i="6"/>
  <c r="D21" i="6"/>
  <c r="D22" i="6"/>
  <c r="D23" i="6"/>
  <c r="D24" i="6"/>
  <c r="D25" i="6"/>
  <c r="D5" i="6"/>
  <c r="F16" i="9"/>
  <c r="F13" i="9"/>
  <c r="F14" i="9"/>
  <c r="F12" i="9"/>
  <c r="F6" i="9"/>
  <c r="F7" i="9"/>
  <c r="F8" i="9"/>
  <c r="F9" i="9"/>
  <c r="F5" i="9"/>
  <c r="D6" i="9"/>
  <c r="D7" i="9"/>
  <c r="D8" i="9"/>
  <c r="D9" i="9"/>
  <c r="D10" i="9"/>
  <c r="D12" i="9"/>
  <c r="D13" i="9"/>
  <c r="D14" i="9"/>
  <c r="D15" i="9"/>
  <c r="D16" i="9"/>
  <c r="D17" i="9"/>
  <c r="D5" i="9"/>
  <c r="F18" i="8"/>
  <c r="F13" i="8"/>
  <c r="F14" i="8"/>
  <c r="F15" i="8"/>
  <c r="F16" i="8"/>
  <c r="F6" i="8"/>
  <c r="F7" i="8"/>
  <c r="F8" i="8"/>
  <c r="F9" i="8"/>
  <c r="F10" i="8"/>
  <c r="F11" i="8"/>
  <c r="F12" i="8"/>
  <c r="F5" i="8"/>
  <c r="D6" i="8"/>
  <c r="D7" i="8"/>
  <c r="D8" i="8"/>
  <c r="D9" i="8"/>
  <c r="D10" i="8"/>
  <c r="D11" i="8"/>
  <c r="D12" i="8"/>
  <c r="D13" i="8"/>
  <c r="D14" i="8"/>
  <c r="D15" i="8"/>
  <c r="D16" i="8"/>
  <c r="D17" i="8"/>
  <c r="D18" i="8"/>
  <c r="D19" i="8"/>
  <c r="D5" i="8"/>
  <c r="F17" i="7"/>
  <c r="F18" i="7"/>
  <c r="F19" i="7"/>
  <c r="F16" i="7"/>
  <c r="G16" i="7" s="1"/>
  <c r="F14" i="7"/>
  <c r="F13" i="7"/>
  <c r="D6" i="7"/>
  <c r="D7" i="7"/>
  <c r="D8" i="7"/>
  <c r="D9" i="7"/>
  <c r="D10" i="7"/>
  <c r="D11" i="7"/>
  <c r="F11" i="7" s="1"/>
  <c r="D12" i="7"/>
  <c r="D13" i="7"/>
  <c r="D14" i="7"/>
  <c r="D15" i="7"/>
  <c r="D16" i="7"/>
  <c r="D17" i="7"/>
  <c r="D18" i="7"/>
  <c r="D19" i="7"/>
  <c r="D20" i="7"/>
  <c r="D5" i="7"/>
  <c r="F6" i="7"/>
  <c r="F7" i="7"/>
  <c r="F8" i="7"/>
  <c r="F9" i="7"/>
  <c r="F10" i="7"/>
  <c r="F5" i="7"/>
  <c r="AB9" i="11"/>
  <c r="AB10" i="11"/>
  <c r="AD10" i="11" s="1"/>
  <c r="AE10" i="11" s="1"/>
  <c r="AB11" i="11"/>
  <c r="AD11" i="11" s="1"/>
  <c r="AE11" i="11" s="1"/>
  <c r="AB12" i="11"/>
  <c r="AD12" i="11" s="1"/>
  <c r="AE12" i="11" s="1"/>
  <c r="AB13" i="11"/>
  <c r="AB14" i="11"/>
  <c r="AD14" i="11" s="1"/>
  <c r="AE14" i="11" s="1"/>
  <c r="AB15" i="11"/>
  <c r="AD15" i="11" s="1"/>
  <c r="AE15" i="11" s="1"/>
  <c r="AB8" i="11"/>
  <c r="AD8" i="11" s="1"/>
  <c r="Q9" i="11"/>
  <c r="S9" i="11" s="1"/>
  <c r="T9" i="11" s="1"/>
  <c r="Q10" i="11"/>
  <c r="S10" i="11" s="1"/>
  <c r="T10" i="11" s="1"/>
  <c r="Q11" i="11"/>
  <c r="Q12" i="11"/>
  <c r="S12" i="11" s="1"/>
  <c r="T12" i="11" s="1"/>
  <c r="Q13" i="11"/>
  <c r="S13" i="11" s="1"/>
  <c r="T13" i="11" s="1"/>
  <c r="Q14" i="11"/>
  <c r="S14" i="11" s="1"/>
  <c r="T14" i="11" s="1"/>
  <c r="Q15" i="11"/>
  <c r="S15" i="11" s="1"/>
  <c r="T15" i="11" s="1"/>
  <c r="Q8" i="11"/>
  <c r="S8" i="11" s="1"/>
  <c r="F9" i="11"/>
  <c r="H9" i="11" s="1"/>
  <c r="I9" i="11" s="1"/>
  <c r="F10" i="11"/>
  <c r="H10" i="11" s="1"/>
  <c r="I10" i="11" s="1"/>
  <c r="F11" i="11"/>
  <c r="H11" i="11" s="1"/>
  <c r="I11" i="11" s="1"/>
  <c r="F12" i="11"/>
  <c r="H12" i="11" s="1"/>
  <c r="I12" i="11" s="1"/>
  <c r="F13" i="11"/>
  <c r="H13" i="11" s="1"/>
  <c r="I13" i="11" s="1"/>
  <c r="F14" i="11"/>
  <c r="H14" i="11" s="1"/>
  <c r="I14" i="11" s="1"/>
  <c r="F15" i="11"/>
  <c r="H15" i="11" s="1"/>
  <c r="I15" i="11" s="1"/>
  <c r="F16" i="11"/>
  <c r="F8" i="11"/>
  <c r="H8" i="11" s="1"/>
  <c r="Z8" i="11"/>
  <c r="Z16" i="11"/>
  <c r="Z15" i="11"/>
  <c r="Z14" i="11"/>
  <c r="Z13" i="11"/>
  <c r="Z12" i="11"/>
  <c r="Z11" i="11"/>
  <c r="Z10" i="11"/>
  <c r="Z9" i="11"/>
  <c r="O8" i="11"/>
  <c r="O16" i="11"/>
  <c r="O15" i="11"/>
  <c r="O14" i="11"/>
  <c r="O13" i="11"/>
  <c r="O12" i="11"/>
  <c r="O11" i="11"/>
  <c r="O10" i="11"/>
  <c r="O9" i="11"/>
  <c r="D11" i="11"/>
  <c r="D8" i="11"/>
  <c r="D16" i="11"/>
  <c r="D15" i="11"/>
  <c r="D14" i="11"/>
  <c r="D13" i="11"/>
  <c r="D12" i="11"/>
  <c r="D10" i="11"/>
  <c r="D9" i="11"/>
  <c r="F7" i="2"/>
  <c r="F8" i="2"/>
  <c r="F11" i="2"/>
  <c r="F12" i="2"/>
  <c r="F13" i="2"/>
  <c r="F14" i="2"/>
  <c r="F15" i="2"/>
  <c r="F16" i="2"/>
  <c r="F19" i="2"/>
  <c r="F20" i="2"/>
  <c r="F21" i="2"/>
  <c r="F6" i="2"/>
  <c r="F9" i="2" s="1"/>
  <c r="F22" i="2" s="1"/>
  <c r="D7" i="2"/>
  <c r="D8" i="2"/>
  <c r="D9" i="2"/>
  <c r="D11" i="2"/>
  <c r="D12" i="2"/>
  <c r="D13" i="2"/>
  <c r="D14" i="2"/>
  <c r="D15" i="2"/>
  <c r="D16" i="2"/>
  <c r="D17" i="2"/>
  <c r="D19" i="2"/>
  <c r="D20" i="2"/>
  <c r="D21" i="2"/>
  <c r="D22" i="2"/>
  <c r="D6" i="2"/>
  <c r="F10" i="1"/>
  <c r="H10" i="1" s="1"/>
  <c r="I10" i="1" s="1"/>
  <c r="F14" i="1"/>
  <c r="H14" i="1" s="1"/>
  <c r="I14" i="1" s="1"/>
  <c r="F19" i="1"/>
  <c r="H19" i="1" s="1"/>
  <c r="I19" i="1" s="1"/>
  <c r="D8" i="1"/>
  <c r="F8" i="1" s="1"/>
  <c r="H8" i="1" s="1"/>
  <c r="I8" i="1" s="1"/>
  <c r="D9" i="1"/>
  <c r="F9" i="1" s="1"/>
  <c r="H9" i="1" s="1"/>
  <c r="I9" i="1" s="1"/>
  <c r="D10" i="1"/>
  <c r="D11" i="1"/>
  <c r="F11" i="1" s="1"/>
  <c r="H11" i="1" s="1"/>
  <c r="I11" i="1" s="1"/>
  <c r="D12" i="1"/>
  <c r="F12" i="1" s="1"/>
  <c r="H12" i="1" s="1"/>
  <c r="D13" i="1"/>
  <c r="F13" i="1" s="1"/>
  <c r="H13" i="1" s="1"/>
  <c r="I13" i="1" s="1"/>
  <c r="D14" i="1"/>
  <c r="D17" i="1"/>
  <c r="F17" i="1" s="1"/>
  <c r="H17" i="1" s="1"/>
  <c r="I17" i="1" s="1"/>
  <c r="D18" i="1"/>
  <c r="F18" i="1" s="1"/>
  <c r="H18" i="1" s="1"/>
  <c r="I18" i="1" s="1"/>
  <c r="D19" i="1"/>
  <c r="D20" i="1"/>
  <c r="F20" i="1" s="1"/>
  <c r="H20" i="1" s="1"/>
  <c r="I20" i="1" s="1"/>
  <c r="D21" i="1"/>
  <c r="F21" i="1" s="1"/>
  <c r="H21" i="1" s="1"/>
  <c r="I21" i="1" s="1"/>
  <c r="I22" i="1"/>
  <c r="D6" i="1"/>
  <c r="F6" i="1" s="1"/>
  <c r="H6" i="1" s="1"/>
  <c r="I6" i="1" s="1"/>
  <c r="H15" i="10"/>
  <c r="E7" i="10"/>
  <c r="G7" i="10" s="1"/>
  <c r="I7" i="10" s="1"/>
  <c r="E8" i="10"/>
  <c r="G8" i="10" s="1"/>
  <c r="I8" i="10" s="1"/>
  <c r="E9" i="10"/>
  <c r="G9" i="10" s="1"/>
  <c r="I9" i="10" s="1"/>
  <c r="E10" i="10"/>
  <c r="G10" i="10" s="1"/>
  <c r="I10" i="10" s="1"/>
  <c r="J10" i="10" s="1"/>
  <c r="E17" i="10"/>
  <c r="G17" i="10" s="1"/>
  <c r="I17" i="10" s="1"/>
  <c r="J17" i="10" s="1"/>
  <c r="D5" i="10"/>
  <c r="E5" i="10" s="1"/>
  <c r="G5" i="10" s="1"/>
  <c r="I5" i="10" s="1"/>
  <c r="D6" i="10"/>
  <c r="E6" i="10" s="1"/>
  <c r="G6" i="10" s="1"/>
  <c r="I6" i="10" s="1"/>
  <c r="D7" i="10"/>
  <c r="D8" i="10"/>
  <c r="D9" i="10"/>
  <c r="D10" i="10"/>
  <c r="D11" i="10"/>
  <c r="E11" i="10" s="1"/>
  <c r="G11" i="10" s="1"/>
  <c r="I11" i="10" s="1"/>
  <c r="J11" i="10" s="1"/>
  <c r="D12" i="10"/>
  <c r="D13" i="10"/>
  <c r="E13" i="10" s="1"/>
  <c r="D14" i="10"/>
  <c r="E14" i="10" s="1"/>
  <c r="G14" i="10" s="1"/>
  <c r="I14" i="10" s="1"/>
  <c r="J14" i="10" s="1"/>
  <c r="D15" i="10"/>
  <c r="E15" i="10" s="1"/>
  <c r="G15" i="10" s="1"/>
  <c r="I15" i="10" s="1"/>
  <c r="J15" i="10" s="1"/>
  <c r="D16" i="10"/>
  <c r="D17" i="10"/>
  <c r="D18" i="10"/>
  <c r="D4" i="10"/>
  <c r="E4" i="10" s="1"/>
  <c r="B16" i="10"/>
  <c r="B12" i="10"/>
  <c r="AG38" i="11"/>
  <c r="AF38" i="11"/>
  <c r="AE38" i="11"/>
  <c r="AD38" i="11"/>
  <c r="AC38" i="11"/>
  <c r="AB38" i="11"/>
  <c r="AA38" i="11"/>
  <c r="Z38" i="11"/>
  <c r="Y38" i="11"/>
  <c r="X38" i="11"/>
  <c r="W38" i="11"/>
  <c r="V38" i="11"/>
  <c r="U38" i="11"/>
  <c r="T38" i="11"/>
  <c r="S38" i="11"/>
  <c r="R38" i="11"/>
  <c r="Q38" i="11"/>
  <c r="P38" i="11"/>
  <c r="O38" i="11"/>
  <c r="N38" i="11"/>
  <c r="M38" i="11"/>
  <c r="L38" i="11"/>
  <c r="K38" i="11"/>
  <c r="J38" i="11"/>
  <c r="I38" i="11"/>
  <c r="H38" i="11"/>
  <c r="G38" i="11"/>
  <c r="F38" i="11"/>
  <c r="E38" i="11"/>
  <c r="D38" i="11"/>
  <c r="C38"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C31"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Y16" i="11"/>
  <c r="N16" i="11"/>
  <c r="C16" i="11"/>
  <c r="Y15" i="11"/>
  <c r="N15" i="11"/>
  <c r="C15" i="11"/>
  <c r="Y14" i="11"/>
  <c r="N14" i="11"/>
  <c r="C14" i="11"/>
  <c r="AD13" i="11"/>
  <c r="AE13" i="11" s="1"/>
  <c r="Y13" i="11"/>
  <c r="N13" i="11"/>
  <c r="C13" i="11"/>
  <c r="Y12" i="11"/>
  <c r="N12" i="11"/>
  <c r="C12" i="11"/>
  <c r="Y11" i="11"/>
  <c r="S11" i="11"/>
  <c r="T11" i="11" s="1"/>
  <c r="N11" i="11"/>
  <c r="C11" i="11"/>
  <c r="Y10" i="11"/>
  <c r="N10" i="11"/>
  <c r="C10" i="11"/>
  <c r="AD9" i="11"/>
  <c r="AE9" i="11" s="1"/>
  <c r="Y9" i="11"/>
  <c r="N9" i="11"/>
  <c r="C9" i="11"/>
  <c r="Y8" i="11"/>
  <c r="N8" i="11"/>
  <c r="C8" i="11"/>
  <c r="AC9" i="4"/>
  <c r="AD9" i="4" s="1"/>
  <c r="AF9" i="4" s="1"/>
  <c r="AH9" i="4" s="1"/>
  <c r="AJ9" i="4" s="1"/>
  <c r="AK9" i="4" s="1"/>
  <c r="AC10" i="4"/>
  <c r="AD10" i="4" s="1"/>
  <c r="AF10" i="4" s="1"/>
  <c r="AH10" i="4" s="1"/>
  <c r="AJ10" i="4" s="1"/>
  <c r="AK10" i="4" s="1"/>
  <c r="AC11" i="4"/>
  <c r="AD11" i="4" s="1"/>
  <c r="AF11" i="4" s="1"/>
  <c r="AH11" i="4" s="1"/>
  <c r="AJ11" i="4" s="1"/>
  <c r="AK11" i="4" s="1"/>
  <c r="AC12" i="4"/>
  <c r="AD12" i="4" s="1"/>
  <c r="AF12" i="4" s="1"/>
  <c r="AH12" i="4" s="1"/>
  <c r="AJ12" i="4" s="1"/>
  <c r="AK12" i="4" s="1"/>
  <c r="AC13" i="4"/>
  <c r="AD13" i="4" s="1"/>
  <c r="AF13" i="4" s="1"/>
  <c r="AH13" i="4" s="1"/>
  <c r="AJ13" i="4" s="1"/>
  <c r="AK13" i="4" s="1"/>
  <c r="AC14" i="4"/>
  <c r="AD14" i="4" s="1"/>
  <c r="AF14" i="4" s="1"/>
  <c r="AH14" i="4" s="1"/>
  <c r="AJ14" i="4" s="1"/>
  <c r="AK14" i="4" s="1"/>
  <c r="AC15" i="4"/>
  <c r="AD15" i="4" s="1"/>
  <c r="AF15" i="4" s="1"/>
  <c r="AH15" i="4" s="1"/>
  <c r="AJ15" i="4" s="1"/>
  <c r="AK15" i="4" s="1"/>
  <c r="AC16" i="4"/>
  <c r="AD16" i="4" s="1"/>
  <c r="AF16" i="4" s="1"/>
  <c r="AC8" i="4"/>
  <c r="AD8" i="4" s="1"/>
  <c r="AF8" i="4" s="1"/>
  <c r="P9" i="4"/>
  <c r="Q9" i="4" s="1"/>
  <c r="S9" i="4" s="1"/>
  <c r="U9" i="4" s="1"/>
  <c r="W9" i="4" s="1"/>
  <c r="X9" i="4" s="1"/>
  <c r="P10" i="4"/>
  <c r="Q10" i="4" s="1"/>
  <c r="S10" i="4" s="1"/>
  <c r="U10" i="4" s="1"/>
  <c r="W10" i="4" s="1"/>
  <c r="X10" i="4" s="1"/>
  <c r="P11" i="4"/>
  <c r="Q11" i="4" s="1"/>
  <c r="S11" i="4" s="1"/>
  <c r="U11" i="4" s="1"/>
  <c r="W11" i="4" s="1"/>
  <c r="X11" i="4" s="1"/>
  <c r="P12" i="4"/>
  <c r="Q12" i="4" s="1"/>
  <c r="S12" i="4" s="1"/>
  <c r="U12" i="4" s="1"/>
  <c r="W12" i="4" s="1"/>
  <c r="X12" i="4" s="1"/>
  <c r="P13" i="4"/>
  <c r="Q13" i="4" s="1"/>
  <c r="S13" i="4" s="1"/>
  <c r="U13" i="4" s="1"/>
  <c r="W13" i="4" s="1"/>
  <c r="X13" i="4" s="1"/>
  <c r="P14" i="4"/>
  <c r="Q14" i="4" s="1"/>
  <c r="S14" i="4" s="1"/>
  <c r="U14" i="4" s="1"/>
  <c r="W14" i="4" s="1"/>
  <c r="X14" i="4" s="1"/>
  <c r="P15" i="4"/>
  <c r="Q15" i="4" s="1"/>
  <c r="S15" i="4" s="1"/>
  <c r="U15" i="4" s="1"/>
  <c r="W15" i="4" s="1"/>
  <c r="X15" i="4" s="1"/>
  <c r="P16" i="4"/>
  <c r="Q16" i="4" s="1"/>
  <c r="P8" i="4"/>
  <c r="Q8" i="4" s="1"/>
  <c r="S8" i="4" s="1"/>
  <c r="U8" i="4" s="1"/>
  <c r="W8" i="4" s="1"/>
  <c r="X8" i="4" s="1"/>
  <c r="C9" i="4"/>
  <c r="D9" i="4" s="1"/>
  <c r="F9" i="4" s="1"/>
  <c r="H9" i="4" s="1"/>
  <c r="J9" i="4" s="1"/>
  <c r="K9" i="4" s="1"/>
  <c r="C10" i="4"/>
  <c r="D10" i="4" s="1"/>
  <c r="F10" i="4" s="1"/>
  <c r="H10" i="4" s="1"/>
  <c r="J10" i="4" s="1"/>
  <c r="K10" i="4" s="1"/>
  <c r="C11" i="4"/>
  <c r="D11" i="4" s="1"/>
  <c r="F11" i="4" s="1"/>
  <c r="H11" i="4" s="1"/>
  <c r="J11" i="4" s="1"/>
  <c r="K11" i="4" s="1"/>
  <c r="C12" i="4"/>
  <c r="D12" i="4" s="1"/>
  <c r="F12" i="4" s="1"/>
  <c r="H12" i="4" s="1"/>
  <c r="J12" i="4" s="1"/>
  <c r="K12" i="4" s="1"/>
  <c r="C13" i="4"/>
  <c r="D13" i="4" s="1"/>
  <c r="F13" i="4" s="1"/>
  <c r="H13" i="4" s="1"/>
  <c r="J13" i="4" s="1"/>
  <c r="K13" i="4" s="1"/>
  <c r="C14" i="4"/>
  <c r="D14" i="4" s="1"/>
  <c r="F14" i="4" s="1"/>
  <c r="H14" i="4" s="1"/>
  <c r="J14" i="4" s="1"/>
  <c r="K14" i="4" s="1"/>
  <c r="C15" i="4"/>
  <c r="D15" i="4" s="1"/>
  <c r="F15" i="4" s="1"/>
  <c r="H15" i="4" s="1"/>
  <c r="J15" i="4" s="1"/>
  <c r="K15" i="4" s="1"/>
  <c r="C16" i="4"/>
  <c r="D16" i="4" s="1"/>
  <c r="C8" i="4"/>
  <c r="D8" i="4" s="1"/>
  <c r="F8" i="4" s="1"/>
  <c r="H8" i="4" s="1"/>
  <c r="J8" i="4" s="1"/>
  <c r="K8" i="4" s="1"/>
  <c r="AG38" i="4"/>
  <c r="AF38" i="4"/>
  <c r="AE38" i="4"/>
  <c r="AD38" i="4"/>
  <c r="AC38" i="4"/>
  <c r="AB38" i="4"/>
  <c r="AA38" i="4"/>
  <c r="Z38" i="4"/>
  <c r="Y38" i="4"/>
  <c r="X38" i="4"/>
  <c r="W38" i="4"/>
  <c r="V38" i="4"/>
  <c r="U38" i="4"/>
  <c r="T38" i="4"/>
  <c r="S38" i="4"/>
  <c r="R38" i="4"/>
  <c r="Q38" i="4"/>
  <c r="P38" i="4"/>
  <c r="O38" i="4"/>
  <c r="N38" i="4"/>
  <c r="M38" i="4"/>
  <c r="L38" i="4"/>
  <c r="K38" i="4"/>
  <c r="J38" i="4"/>
  <c r="I38" i="4"/>
  <c r="H38" i="4"/>
  <c r="G38" i="4"/>
  <c r="F38" i="4"/>
  <c r="E38" i="4"/>
  <c r="D38" i="4"/>
  <c r="C38"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E31" i="4"/>
  <c r="D31" i="4"/>
  <c r="C31" i="4"/>
  <c r="F10" i="5"/>
  <c r="B9" i="3"/>
  <c r="B13" i="3"/>
  <c r="B21" i="3"/>
  <c r="B22" i="3"/>
  <c r="H14" i="6" l="1"/>
  <c r="H23" i="6"/>
  <c r="H25" i="6" s="1"/>
  <c r="Q16" i="11"/>
  <c r="G4" i="10"/>
  <c r="E12" i="10"/>
  <c r="G13" i="10"/>
  <c r="E16" i="10"/>
  <c r="J8" i="10"/>
  <c r="J5" i="10"/>
  <c r="J6" i="10"/>
  <c r="J7" i="10"/>
  <c r="B18" i="10"/>
  <c r="C4" i="10" s="1"/>
  <c r="F16" i="4"/>
  <c r="T8" i="11"/>
  <c r="S16" i="11"/>
  <c r="T16" i="11" s="1"/>
  <c r="D32" i="11" s="1"/>
  <c r="E32" i="11" s="1"/>
  <c r="F32" i="11" s="1"/>
  <c r="G32" i="11" s="1"/>
  <c r="H32" i="11" s="1"/>
  <c r="I32" i="11" s="1"/>
  <c r="J32" i="11" s="1"/>
  <c r="K32" i="11" s="1"/>
  <c r="L32" i="11" s="1"/>
  <c r="M32" i="11" s="1"/>
  <c r="N32" i="11" s="1"/>
  <c r="O32" i="11" s="1"/>
  <c r="P32" i="11" s="1"/>
  <c r="Q32" i="11" s="1"/>
  <c r="R32" i="11" s="1"/>
  <c r="S32" i="11" s="1"/>
  <c r="T32" i="11" s="1"/>
  <c r="U32" i="11" s="1"/>
  <c r="V32" i="11" s="1"/>
  <c r="W32" i="11" s="1"/>
  <c r="X32" i="11" s="1"/>
  <c r="Y32" i="11" s="1"/>
  <c r="Z32" i="11" s="1"/>
  <c r="AA32" i="11" s="1"/>
  <c r="AB32" i="11" s="1"/>
  <c r="AC32" i="11" s="1"/>
  <c r="AD32" i="11" s="1"/>
  <c r="AE32" i="11" s="1"/>
  <c r="AF32" i="11" s="1"/>
  <c r="AG32" i="11" s="1"/>
  <c r="AE8" i="11"/>
  <c r="AD16" i="11"/>
  <c r="AE16" i="11" s="1"/>
  <c r="D39" i="11" s="1"/>
  <c r="I8" i="11"/>
  <c r="H16" i="11"/>
  <c r="I16" i="11" s="1"/>
  <c r="D25" i="11" s="1"/>
  <c r="C25" i="11" s="1"/>
  <c r="AB16" i="11"/>
  <c r="AH8" i="4"/>
  <c r="AJ8" i="4" s="1"/>
  <c r="AK8" i="4" s="1"/>
  <c r="S16" i="4"/>
  <c r="B32" i="4" l="1"/>
  <c r="C32" i="4" s="1"/>
  <c r="D32" i="4" s="1"/>
  <c r="E32" i="4" s="1"/>
  <c r="F32" i="4" s="1"/>
  <c r="G32" i="4" s="1"/>
  <c r="H32" i="4" s="1"/>
  <c r="I32" i="4" s="1"/>
  <c r="J32" i="4" s="1"/>
  <c r="K32" i="4" s="1"/>
  <c r="L32" i="4" s="1"/>
  <c r="M32" i="4" s="1"/>
  <c r="N32" i="4" s="1"/>
  <c r="O32" i="4" s="1"/>
  <c r="P32" i="4" s="1"/>
  <c r="Q32" i="4" s="1"/>
  <c r="R32" i="4" s="1"/>
  <c r="S32" i="4" s="1"/>
  <c r="T32" i="4" s="1"/>
  <c r="U32" i="4" s="1"/>
  <c r="V32" i="4" s="1"/>
  <c r="W32" i="4" s="1"/>
  <c r="X32" i="4" s="1"/>
  <c r="Y32" i="4" s="1"/>
  <c r="Z32" i="4" s="1"/>
  <c r="AA32" i="4" s="1"/>
  <c r="AB32" i="4" s="1"/>
  <c r="AC32" i="4" s="1"/>
  <c r="AD32" i="4" s="1"/>
  <c r="AE32" i="4" s="1"/>
  <c r="AF32" i="4" s="1"/>
  <c r="AG32" i="4" s="1"/>
  <c r="C12" i="10"/>
  <c r="I13" i="10"/>
  <c r="G16" i="10"/>
  <c r="E18" i="10"/>
  <c r="G12" i="10"/>
  <c r="G18" i="10" s="1"/>
  <c r="I4" i="10"/>
  <c r="I12" i="10" s="1"/>
  <c r="C11" i="10"/>
  <c r="C5" i="10"/>
  <c r="C13" i="10"/>
  <c r="C8" i="10"/>
  <c r="C6" i="10"/>
  <c r="C14" i="10"/>
  <c r="C16" i="10"/>
  <c r="C9" i="10"/>
  <c r="C7" i="10"/>
  <c r="C15" i="10"/>
  <c r="C10" i="10"/>
  <c r="C18" i="10"/>
  <c r="C17" i="10"/>
  <c r="E39" i="11"/>
  <c r="F39" i="11" s="1"/>
  <c r="G39" i="11" s="1"/>
  <c r="H39" i="11" s="1"/>
  <c r="I39" i="11" s="1"/>
  <c r="J39" i="11" s="1"/>
  <c r="K39" i="11" s="1"/>
  <c r="L39" i="11" s="1"/>
  <c r="M39" i="11" s="1"/>
  <c r="N39" i="11" s="1"/>
  <c r="O39" i="11" s="1"/>
  <c r="P39" i="11" s="1"/>
  <c r="Q39" i="11" s="1"/>
  <c r="R39" i="11" s="1"/>
  <c r="S39" i="11" s="1"/>
  <c r="T39" i="11" s="1"/>
  <c r="U39" i="11" s="1"/>
  <c r="V39" i="11" s="1"/>
  <c r="W39" i="11" s="1"/>
  <c r="X39" i="11" s="1"/>
  <c r="Y39" i="11" s="1"/>
  <c r="Z39" i="11" s="1"/>
  <c r="AA39" i="11" s="1"/>
  <c r="AB39" i="11" s="1"/>
  <c r="AC39" i="11" s="1"/>
  <c r="AD39" i="11" s="1"/>
  <c r="AE39" i="11" s="1"/>
  <c r="AF39" i="11" s="1"/>
  <c r="AG39" i="11" s="1"/>
  <c r="C39" i="11"/>
  <c r="E25" i="11"/>
  <c r="F25" i="11" s="1"/>
  <c r="G25" i="11" s="1"/>
  <c r="H25" i="11" s="1"/>
  <c r="I25" i="11" s="1"/>
  <c r="J25" i="11" s="1"/>
  <c r="K25" i="11" s="1"/>
  <c r="L25" i="11" s="1"/>
  <c r="M25" i="11" s="1"/>
  <c r="N25" i="11" s="1"/>
  <c r="O25" i="11" s="1"/>
  <c r="P25" i="11" s="1"/>
  <c r="Q25" i="11" s="1"/>
  <c r="R25" i="11" s="1"/>
  <c r="S25" i="11" s="1"/>
  <c r="T25" i="11" s="1"/>
  <c r="U25" i="11" s="1"/>
  <c r="V25" i="11" s="1"/>
  <c r="W25" i="11" s="1"/>
  <c r="X25" i="11" s="1"/>
  <c r="Y25" i="11" s="1"/>
  <c r="Z25" i="11" s="1"/>
  <c r="AA25" i="11" s="1"/>
  <c r="AB25" i="11" s="1"/>
  <c r="AC25" i="11" s="1"/>
  <c r="AD25" i="11" s="1"/>
  <c r="AE25" i="11" s="1"/>
  <c r="AF25" i="11" s="1"/>
  <c r="AG25" i="11" s="1"/>
  <c r="C32" i="11"/>
  <c r="H16" i="4"/>
  <c r="B25" i="4" l="1"/>
  <c r="B39" i="4"/>
  <c r="C39" i="4" s="1"/>
  <c r="D39" i="4" s="1"/>
  <c r="E39" i="4" s="1"/>
  <c r="F39" i="4" s="1"/>
  <c r="G39" i="4" s="1"/>
  <c r="H39" i="4" s="1"/>
  <c r="I39" i="4" s="1"/>
  <c r="J39" i="4" s="1"/>
  <c r="K39" i="4" s="1"/>
  <c r="L39" i="4" s="1"/>
  <c r="M39" i="4" s="1"/>
  <c r="N39" i="4" s="1"/>
  <c r="O39" i="4" s="1"/>
  <c r="P39" i="4" s="1"/>
  <c r="Q39" i="4" s="1"/>
  <c r="R39" i="4" s="1"/>
  <c r="S39" i="4" s="1"/>
  <c r="T39" i="4" s="1"/>
  <c r="U39" i="4" s="1"/>
  <c r="V39" i="4" s="1"/>
  <c r="W39" i="4" s="1"/>
  <c r="X39" i="4" s="1"/>
  <c r="Y39" i="4" s="1"/>
  <c r="Z39" i="4" s="1"/>
  <c r="AA39" i="4" s="1"/>
  <c r="AB39" i="4" s="1"/>
  <c r="AC39" i="4" s="1"/>
  <c r="AD39" i="4" s="1"/>
  <c r="AE39" i="4" s="1"/>
  <c r="AF39" i="4" s="1"/>
  <c r="AG39" i="4" s="1"/>
  <c r="J12" i="10"/>
  <c r="I16" i="10"/>
  <c r="J16" i="10" s="1"/>
  <c r="J13" i="10"/>
  <c r="J4" i="10"/>
  <c r="I18" i="10" l="1"/>
  <c r="J18" i="10" s="1"/>
  <c r="J9" i="10"/>
  <c r="I24" i="6" l="1"/>
  <c r="B10" i="9"/>
  <c r="B17" i="9" s="1"/>
  <c r="I13" i="6"/>
  <c r="E9" i="5"/>
  <c r="I9" i="6"/>
  <c r="I11" i="6"/>
  <c r="I12" i="6"/>
  <c r="I20" i="6"/>
  <c r="I22" i="6"/>
  <c r="I5" i="6"/>
  <c r="B17" i="8"/>
  <c r="B19" i="8" s="1"/>
  <c r="G7" i="8"/>
  <c r="I6" i="6"/>
  <c r="I7" i="6"/>
  <c r="I8" i="6"/>
  <c r="I10" i="6"/>
  <c r="I18" i="6"/>
  <c r="I19" i="6"/>
  <c r="I21" i="6"/>
  <c r="F14" i="6"/>
  <c r="G7" i="5"/>
  <c r="G8" i="5"/>
  <c r="G9" i="5"/>
  <c r="G12" i="5"/>
  <c r="G13" i="5"/>
  <c r="G14" i="5"/>
  <c r="G15" i="5"/>
  <c r="G16" i="2"/>
  <c r="H6" i="9"/>
  <c r="I6" i="9" s="1"/>
  <c r="H7" i="9"/>
  <c r="I7" i="9" s="1"/>
  <c r="H8" i="9"/>
  <c r="I8" i="9" s="1"/>
  <c r="H9" i="9"/>
  <c r="I9" i="9" s="1"/>
  <c r="H13" i="9"/>
  <c r="I13" i="9" s="1"/>
  <c r="H14" i="9"/>
  <c r="I14" i="9" s="1"/>
  <c r="H16" i="9"/>
  <c r="I16" i="9" s="1"/>
  <c r="H8" i="7"/>
  <c r="I8" i="7" s="1"/>
  <c r="H10" i="7"/>
  <c r="I10" i="7" s="1"/>
  <c r="H6" i="7"/>
  <c r="I6" i="7" s="1"/>
  <c r="H7" i="7"/>
  <c r="I7" i="7" s="1"/>
  <c r="H11" i="7"/>
  <c r="I11" i="7" s="1"/>
  <c r="H13" i="7"/>
  <c r="I13" i="7" s="1"/>
  <c r="H14" i="7"/>
  <c r="I14" i="7" s="1"/>
  <c r="H18" i="7"/>
  <c r="I18" i="7" s="1"/>
  <c r="H19" i="7"/>
  <c r="I19" i="7" s="1"/>
  <c r="H6" i="8"/>
  <c r="J6" i="8" s="1"/>
  <c r="K6" i="8" s="1"/>
  <c r="H15" i="8"/>
  <c r="J15" i="8" s="1"/>
  <c r="K15" i="8" s="1"/>
  <c r="H7" i="8"/>
  <c r="J7" i="8" s="1"/>
  <c r="H8" i="8"/>
  <c r="J8" i="8" s="1"/>
  <c r="K8" i="8" s="1"/>
  <c r="H9" i="8"/>
  <c r="J9" i="8" s="1"/>
  <c r="K9" i="8" s="1"/>
  <c r="H10" i="8"/>
  <c r="J10" i="8" s="1"/>
  <c r="K10" i="8" s="1"/>
  <c r="H11" i="8"/>
  <c r="J11" i="8" s="1"/>
  <c r="K11" i="8" s="1"/>
  <c r="H14" i="8"/>
  <c r="J14" i="8" s="1"/>
  <c r="K14" i="8" s="1"/>
  <c r="H16" i="8"/>
  <c r="J16" i="8" s="1"/>
  <c r="K16" i="8" s="1"/>
  <c r="H18" i="8"/>
  <c r="J18" i="8" s="1"/>
  <c r="K18" i="8" s="1"/>
  <c r="H5" i="8"/>
  <c r="C12" i="7"/>
  <c r="C5" i="6"/>
  <c r="C6" i="6"/>
  <c r="C7" i="6"/>
  <c r="C8" i="6"/>
  <c r="C9" i="6"/>
  <c r="C10" i="6"/>
  <c r="C11" i="6"/>
  <c r="C12" i="6"/>
  <c r="C13" i="6"/>
  <c r="C14" i="6"/>
  <c r="C17" i="6"/>
  <c r="C18" i="6"/>
  <c r="C19" i="6"/>
  <c r="C20" i="6"/>
  <c r="C21" i="6"/>
  <c r="C22" i="6"/>
  <c r="C23" i="6"/>
  <c r="C25" i="6"/>
  <c r="B15" i="9"/>
  <c r="B12" i="7"/>
  <c r="B20" i="7" s="1"/>
  <c r="C11" i="7" s="1"/>
  <c r="C24" i="5"/>
  <c r="B25" i="6"/>
  <c r="B23" i="6"/>
  <c r="B14" i="6"/>
  <c r="B10" i="5"/>
  <c r="B17" i="5" s="1"/>
  <c r="C11" i="5" s="1"/>
  <c r="B16" i="5"/>
  <c r="AG24" i="9"/>
  <c r="AF24" i="9"/>
  <c r="AE24" i="9"/>
  <c r="AD24" i="9"/>
  <c r="AC24" i="9"/>
  <c r="AB24" i="9"/>
  <c r="AA24" i="9"/>
  <c r="Z24" i="9"/>
  <c r="Y24" i="9"/>
  <c r="X24" i="9"/>
  <c r="W24" i="9"/>
  <c r="V24" i="9"/>
  <c r="U24" i="9"/>
  <c r="T24" i="9"/>
  <c r="S24" i="9"/>
  <c r="R24" i="9"/>
  <c r="Q24" i="9"/>
  <c r="P24" i="9"/>
  <c r="O24" i="9"/>
  <c r="N24" i="9"/>
  <c r="M24" i="9"/>
  <c r="L24" i="9"/>
  <c r="K24" i="9"/>
  <c r="J24" i="9"/>
  <c r="I24" i="9"/>
  <c r="H24" i="9"/>
  <c r="G24" i="9"/>
  <c r="F24" i="9"/>
  <c r="E24" i="9"/>
  <c r="D24" i="9"/>
  <c r="C24" i="9"/>
  <c r="AG26" i="8"/>
  <c r="AF26" i="8"/>
  <c r="AE26" i="8"/>
  <c r="AD26" i="8"/>
  <c r="AC26" i="8"/>
  <c r="AB26" i="8"/>
  <c r="AA26" i="8"/>
  <c r="Z26" i="8"/>
  <c r="Y26" i="8"/>
  <c r="X26" i="8"/>
  <c r="W26" i="8"/>
  <c r="V26" i="8"/>
  <c r="U26" i="8"/>
  <c r="T26" i="8"/>
  <c r="S26" i="8"/>
  <c r="R26" i="8"/>
  <c r="Q26" i="8"/>
  <c r="P26" i="8"/>
  <c r="O26" i="8"/>
  <c r="N26" i="8"/>
  <c r="M26" i="8"/>
  <c r="L26" i="8"/>
  <c r="K26" i="8"/>
  <c r="J26" i="8"/>
  <c r="I26" i="8"/>
  <c r="H26" i="8"/>
  <c r="G26" i="8"/>
  <c r="F26" i="8"/>
  <c r="E26" i="8"/>
  <c r="D26" i="8"/>
  <c r="C26" i="8"/>
  <c r="AG27" i="7"/>
  <c r="AF27" i="7"/>
  <c r="AE27" i="7"/>
  <c r="AD27" i="7"/>
  <c r="AC27" i="7"/>
  <c r="AB27" i="7"/>
  <c r="AA27" i="7"/>
  <c r="Z27" i="7"/>
  <c r="Y27" i="7"/>
  <c r="X27" i="7"/>
  <c r="W27" i="7"/>
  <c r="V27" i="7"/>
  <c r="U27" i="7"/>
  <c r="T27" i="7"/>
  <c r="S27" i="7"/>
  <c r="R27" i="7"/>
  <c r="Q27" i="7"/>
  <c r="P27" i="7"/>
  <c r="O27" i="7"/>
  <c r="N27" i="7"/>
  <c r="M27" i="7"/>
  <c r="L27" i="7"/>
  <c r="K27" i="7"/>
  <c r="J27" i="7"/>
  <c r="I27" i="7"/>
  <c r="H27" i="7"/>
  <c r="G27" i="7"/>
  <c r="F27" i="7"/>
  <c r="E27" i="7"/>
  <c r="D27" i="7"/>
  <c r="C27" i="7"/>
  <c r="AG32" i="6"/>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F24" i="5"/>
  <c r="E24" i="5"/>
  <c r="D24" i="5"/>
  <c r="C24" i="4"/>
  <c r="C25" i="4" s="1"/>
  <c r="AG24" i="4"/>
  <c r="AF24" i="4"/>
  <c r="AE24" i="4"/>
  <c r="AD24" i="4"/>
  <c r="AC24" i="4"/>
  <c r="AB24" i="4"/>
  <c r="AA24" i="4"/>
  <c r="Z24" i="4"/>
  <c r="Y24" i="4"/>
  <c r="X24" i="4"/>
  <c r="W24" i="4"/>
  <c r="V24" i="4"/>
  <c r="U24" i="4"/>
  <c r="T24" i="4"/>
  <c r="S24" i="4"/>
  <c r="R24" i="4"/>
  <c r="Q24" i="4"/>
  <c r="P24" i="4"/>
  <c r="O24" i="4"/>
  <c r="N24" i="4"/>
  <c r="M24" i="4"/>
  <c r="L24" i="4"/>
  <c r="K24" i="4"/>
  <c r="J24" i="4"/>
  <c r="I24" i="4"/>
  <c r="H24" i="4"/>
  <c r="G24" i="4"/>
  <c r="F24" i="4"/>
  <c r="E24" i="4"/>
  <c r="D24" i="4"/>
  <c r="C10" i="3"/>
  <c r="D10" i="3" s="1"/>
  <c r="F10" i="3" s="1"/>
  <c r="H10" i="3" s="1"/>
  <c r="I10" i="3" s="1"/>
  <c r="C12" i="3"/>
  <c r="D12" i="3" s="1"/>
  <c r="F12" i="3" s="1"/>
  <c r="H12" i="3" s="1"/>
  <c r="I12" i="3" s="1"/>
  <c r="C13" i="3"/>
  <c r="C20" i="3"/>
  <c r="D20" i="3" s="1"/>
  <c r="F20" i="3" s="1"/>
  <c r="H20" i="3" s="1"/>
  <c r="I20" i="3" s="1"/>
  <c r="C21" i="3"/>
  <c r="C22" i="3"/>
  <c r="C5" i="3"/>
  <c r="D5" i="3" s="1"/>
  <c r="F5" i="3" s="1"/>
  <c r="H5" i="3" s="1"/>
  <c r="I5" i="3" s="1"/>
  <c r="C6" i="3"/>
  <c r="D6" i="3" s="1"/>
  <c r="F6" i="3" s="1"/>
  <c r="H6" i="3" s="1"/>
  <c r="I6" i="3" s="1"/>
  <c r="C9" i="3"/>
  <c r="D9" i="3" s="1"/>
  <c r="AG29" i="3"/>
  <c r="AF29" i="3"/>
  <c r="AE29" i="3"/>
  <c r="AD29" i="3"/>
  <c r="AC29" i="3"/>
  <c r="AB29" i="3"/>
  <c r="AA29" i="3"/>
  <c r="Z29" i="3"/>
  <c r="Y29" i="3"/>
  <c r="X29" i="3"/>
  <c r="W29" i="3"/>
  <c r="V29" i="3"/>
  <c r="U29" i="3"/>
  <c r="T29" i="3"/>
  <c r="S29" i="3"/>
  <c r="R29" i="3"/>
  <c r="Q29" i="3"/>
  <c r="P29" i="3"/>
  <c r="O29" i="3"/>
  <c r="N29" i="3"/>
  <c r="M29" i="3"/>
  <c r="L29" i="3"/>
  <c r="K29" i="3"/>
  <c r="J29" i="3"/>
  <c r="I29" i="3"/>
  <c r="H29" i="3"/>
  <c r="G29" i="3"/>
  <c r="F29" i="3"/>
  <c r="E29" i="3"/>
  <c r="D29" i="3"/>
  <c r="C29" i="3"/>
  <c r="AG29" i="2"/>
  <c r="AF29" i="2"/>
  <c r="AE29" i="2"/>
  <c r="AD29" i="2"/>
  <c r="AC29" i="2"/>
  <c r="AB29" i="2"/>
  <c r="AA29" i="2"/>
  <c r="Z29" i="2"/>
  <c r="Y29" i="2"/>
  <c r="X29" i="2"/>
  <c r="W29" i="2"/>
  <c r="V29" i="2"/>
  <c r="U29" i="2"/>
  <c r="T29" i="2"/>
  <c r="S29" i="2"/>
  <c r="R29" i="2"/>
  <c r="Q29" i="2"/>
  <c r="P29" i="2"/>
  <c r="O29" i="2"/>
  <c r="N29" i="2"/>
  <c r="M29" i="2"/>
  <c r="L29" i="2"/>
  <c r="K29" i="2"/>
  <c r="J29" i="2"/>
  <c r="I29" i="2"/>
  <c r="H29" i="2"/>
  <c r="G29" i="2"/>
  <c r="F29" i="2"/>
  <c r="E29" i="2"/>
  <c r="D29" i="2"/>
  <c r="C29" i="2"/>
  <c r="D30" i="1"/>
  <c r="E30" i="1"/>
  <c r="F30" i="1"/>
  <c r="G30" i="1"/>
  <c r="H30" i="1"/>
  <c r="I30" i="1"/>
  <c r="J30" i="1"/>
  <c r="K30" i="1"/>
  <c r="L30" i="1"/>
  <c r="M30" i="1"/>
  <c r="N30" i="1"/>
  <c r="O30" i="1"/>
  <c r="P30" i="1"/>
  <c r="Q30" i="1"/>
  <c r="R30" i="1"/>
  <c r="S30" i="1"/>
  <c r="T30" i="1"/>
  <c r="U30" i="1"/>
  <c r="V30" i="1"/>
  <c r="W30" i="1"/>
  <c r="X30" i="1"/>
  <c r="Y30" i="1"/>
  <c r="Z30" i="1"/>
  <c r="AA30" i="1"/>
  <c r="AB30" i="1"/>
  <c r="AC30" i="1"/>
  <c r="AD30" i="1"/>
  <c r="AE30" i="1"/>
  <c r="AF30" i="1"/>
  <c r="AG30" i="1"/>
  <c r="C30" i="1"/>
  <c r="C8" i="1"/>
  <c r="C9" i="1"/>
  <c r="C10" i="1"/>
  <c r="C11" i="1"/>
  <c r="C12" i="1"/>
  <c r="C13" i="1"/>
  <c r="C14" i="1"/>
  <c r="C15" i="1"/>
  <c r="C17" i="1"/>
  <c r="C18" i="1"/>
  <c r="C19" i="1"/>
  <c r="C20" i="1"/>
  <c r="C21" i="1"/>
  <c r="C22" i="1"/>
  <c r="C23" i="1"/>
  <c r="C6" i="1"/>
  <c r="D25" i="4" l="1"/>
  <c r="E25" i="4" s="1"/>
  <c r="F25" i="4" s="1"/>
  <c r="G25" i="4" s="1"/>
  <c r="H25" i="4" s="1"/>
  <c r="I25" i="4" s="1"/>
  <c r="J25" i="4" s="1"/>
  <c r="K25" i="4" s="1"/>
  <c r="L25" i="4" s="1"/>
  <c r="M25" i="4" s="1"/>
  <c r="N25" i="4" s="1"/>
  <c r="O25" i="4" s="1"/>
  <c r="P25" i="4" s="1"/>
  <c r="Q25" i="4" s="1"/>
  <c r="R25" i="4" s="1"/>
  <c r="S25" i="4" s="1"/>
  <c r="T25" i="4" s="1"/>
  <c r="U25" i="4" s="1"/>
  <c r="V25" i="4" s="1"/>
  <c r="W25" i="4" s="1"/>
  <c r="X25" i="4" s="1"/>
  <c r="Y25" i="4" s="1"/>
  <c r="Z25" i="4" s="1"/>
  <c r="AA25" i="4" s="1"/>
  <c r="AB25" i="4" s="1"/>
  <c r="AC25" i="4" s="1"/>
  <c r="AD25" i="4" s="1"/>
  <c r="AE25" i="4" s="1"/>
  <c r="AF25" i="4" s="1"/>
  <c r="AG25" i="4" s="1"/>
  <c r="H17" i="7"/>
  <c r="I17" i="7" s="1"/>
  <c r="H16" i="7"/>
  <c r="I16" i="7" s="1"/>
  <c r="H9" i="7"/>
  <c r="I9" i="7" s="1"/>
  <c r="I17" i="6"/>
  <c r="F23" i="6"/>
  <c r="F25" i="6" s="1"/>
  <c r="G16" i="5"/>
  <c r="G11" i="5"/>
  <c r="G6" i="5"/>
  <c r="G10" i="5"/>
  <c r="C17" i="5"/>
  <c r="C9" i="5"/>
  <c r="C16" i="5"/>
  <c r="C8" i="5"/>
  <c r="C15" i="5"/>
  <c r="C7" i="5"/>
  <c r="C14" i="5"/>
  <c r="C6" i="5"/>
  <c r="C13" i="5"/>
  <c r="C12" i="5"/>
  <c r="C10" i="5"/>
  <c r="C19" i="7"/>
  <c r="C10" i="7"/>
  <c r="C18" i="7"/>
  <c r="C9" i="7"/>
  <c r="C17" i="7"/>
  <c r="C8" i="7"/>
  <c r="C16" i="7"/>
  <c r="C7" i="7"/>
  <c r="C14" i="7"/>
  <c r="C6" i="7"/>
  <c r="C13" i="7"/>
  <c r="C5" i="7"/>
  <c r="C20" i="7"/>
  <c r="K7" i="8"/>
  <c r="H12" i="8"/>
  <c r="J5" i="8"/>
  <c r="K5" i="8" s="1"/>
  <c r="H12" i="9"/>
  <c r="F15" i="9"/>
  <c r="C6" i="9"/>
  <c r="C15" i="9"/>
  <c r="C8" i="9"/>
  <c r="C16" i="9"/>
  <c r="C7" i="9"/>
  <c r="C14" i="9"/>
  <c r="C5" i="9"/>
  <c r="C13" i="9"/>
  <c r="C12" i="9"/>
  <c r="C10" i="9"/>
  <c r="C9" i="9"/>
  <c r="C17" i="9"/>
  <c r="C5" i="8"/>
  <c r="C13" i="8"/>
  <c r="C6" i="8"/>
  <c r="C14" i="8"/>
  <c r="C11" i="8"/>
  <c r="C7" i="8"/>
  <c r="C15" i="8"/>
  <c r="C18" i="8"/>
  <c r="C8" i="8"/>
  <c r="C16" i="8"/>
  <c r="C9" i="8"/>
  <c r="C17" i="8"/>
  <c r="C10" i="8"/>
  <c r="C19" i="8"/>
  <c r="C12" i="8"/>
  <c r="C11" i="3"/>
  <c r="D11" i="3" s="1"/>
  <c r="F11" i="3" s="1"/>
  <c r="H11" i="3" s="1"/>
  <c r="I11" i="3" s="1"/>
  <c r="C19" i="3"/>
  <c r="D19" i="3" s="1"/>
  <c r="F19" i="3" s="1"/>
  <c r="H19" i="3" s="1"/>
  <c r="I19" i="3" s="1"/>
  <c r="C18" i="3"/>
  <c r="D18" i="3" s="1"/>
  <c r="F18" i="3" s="1"/>
  <c r="H18" i="3" s="1"/>
  <c r="I18" i="3" s="1"/>
  <c r="C8" i="3"/>
  <c r="D8" i="3" s="1"/>
  <c r="F8" i="3" s="1"/>
  <c r="H8" i="3" s="1"/>
  <c r="I8" i="3" s="1"/>
  <c r="C17" i="3"/>
  <c r="D17" i="3" s="1"/>
  <c r="F17" i="3" s="1"/>
  <c r="H17" i="3" s="1"/>
  <c r="I17" i="3" s="1"/>
  <c r="C7" i="3"/>
  <c r="D7" i="3" s="1"/>
  <c r="F7" i="3" s="1"/>
  <c r="C16" i="3"/>
  <c r="D16" i="3" s="1"/>
  <c r="F16" i="3" s="1"/>
  <c r="F21" i="3" l="1"/>
  <c r="H16" i="3"/>
  <c r="I16" i="3" s="1"/>
  <c r="F9" i="3"/>
  <c r="I9" i="3" s="1"/>
  <c r="H7" i="3"/>
  <c r="I7" i="3" s="1"/>
  <c r="F13" i="3"/>
  <c r="I25" i="6"/>
  <c r="B33" i="6" s="1"/>
  <c r="C33" i="6" s="1"/>
  <c r="D33" i="6" s="1"/>
  <c r="E33" i="6" s="1"/>
  <c r="F33" i="6" s="1"/>
  <c r="G33" i="6" s="1"/>
  <c r="H33" i="6" s="1"/>
  <c r="I33" i="6" s="1"/>
  <c r="J33" i="6" s="1"/>
  <c r="K33" i="6" s="1"/>
  <c r="L33" i="6" s="1"/>
  <c r="M33" i="6" s="1"/>
  <c r="N33" i="6" s="1"/>
  <c r="O33" i="6" s="1"/>
  <c r="P33" i="6" s="1"/>
  <c r="Q33" i="6" s="1"/>
  <c r="R33" i="6" s="1"/>
  <c r="S33" i="6" s="1"/>
  <c r="T33" i="6" s="1"/>
  <c r="U33" i="6" s="1"/>
  <c r="V33" i="6" s="1"/>
  <c r="W33" i="6" s="1"/>
  <c r="X33" i="6" s="1"/>
  <c r="Y33" i="6" s="1"/>
  <c r="Z33" i="6" s="1"/>
  <c r="AA33" i="6" s="1"/>
  <c r="AB33" i="6" s="1"/>
  <c r="AC33" i="6" s="1"/>
  <c r="AD33" i="6" s="1"/>
  <c r="AE33" i="6" s="1"/>
  <c r="AF33" i="6" s="1"/>
  <c r="AG33" i="6" s="1"/>
  <c r="G17" i="5"/>
  <c r="D25" i="5" s="1"/>
  <c r="E25" i="5" s="1"/>
  <c r="F25" i="5" s="1"/>
  <c r="G25" i="5" s="1"/>
  <c r="H25" i="5" s="1"/>
  <c r="I25" i="5" s="1"/>
  <c r="J25" i="5" s="1"/>
  <c r="K25" i="5" s="1"/>
  <c r="L25" i="5" s="1"/>
  <c r="M25" i="5" s="1"/>
  <c r="N25" i="5" s="1"/>
  <c r="O25" i="5" s="1"/>
  <c r="P25" i="5" s="1"/>
  <c r="Q25" i="5" s="1"/>
  <c r="R25" i="5" s="1"/>
  <c r="S25" i="5" s="1"/>
  <c r="T25" i="5" s="1"/>
  <c r="U25" i="5" s="1"/>
  <c r="V25" i="5" s="1"/>
  <c r="W25" i="5" s="1"/>
  <c r="X25" i="5" s="1"/>
  <c r="Y25" i="5" s="1"/>
  <c r="Z25" i="5" s="1"/>
  <c r="AA25" i="5" s="1"/>
  <c r="AB25" i="5" s="1"/>
  <c r="AC25" i="5" s="1"/>
  <c r="AD25" i="5" s="1"/>
  <c r="AE25" i="5" s="1"/>
  <c r="AF25" i="5" s="1"/>
  <c r="AG25" i="5" s="1"/>
  <c r="H5" i="7"/>
  <c r="F12" i="7"/>
  <c r="F20" i="7" s="1"/>
  <c r="F17" i="8"/>
  <c r="F19" i="8" s="1"/>
  <c r="H13" i="8"/>
  <c r="J12" i="8"/>
  <c r="F22" i="3"/>
  <c r="F10" i="9"/>
  <c r="F17" i="9" s="1"/>
  <c r="H5" i="9"/>
  <c r="I12" i="9"/>
  <c r="H15" i="9"/>
  <c r="C7" i="2"/>
  <c r="C8" i="2"/>
  <c r="C9" i="2"/>
  <c r="C11" i="2"/>
  <c r="C12" i="2"/>
  <c r="C13" i="2"/>
  <c r="C14" i="2"/>
  <c r="C15" i="2"/>
  <c r="C16" i="2"/>
  <c r="C17" i="2"/>
  <c r="C19" i="2"/>
  <c r="C20" i="2"/>
  <c r="C21" i="2"/>
  <c r="C22" i="2"/>
  <c r="C6" i="2"/>
  <c r="E30" i="19" l="1"/>
  <c r="C30" i="3"/>
  <c r="D30" i="3" s="1"/>
  <c r="E30" i="3" s="1"/>
  <c r="F30" i="3" s="1"/>
  <c r="G30" i="3" s="1"/>
  <c r="H30" i="3" s="1"/>
  <c r="I30" i="3" s="1"/>
  <c r="J30" i="3" s="1"/>
  <c r="K30" i="3" s="1"/>
  <c r="L30" i="3" s="1"/>
  <c r="M30" i="3" s="1"/>
  <c r="N30" i="3" s="1"/>
  <c r="O30" i="3" s="1"/>
  <c r="P30" i="3" s="1"/>
  <c r="Q30" i="3" s="1"/>
  <c r="R30" i="3" s="1"/>
  <c r="S30" i="3" s="1"/>
  <c r="T30" i="3" s="1"/>
  <c r="U30" i="3" s="1"/>
  <c r="V30" i="3" s="1"/>
  <c r="W30" i="3" s="1"/>
  <c r="X30" i="3" s="1"/>
  <c r="Y30" i="3" s="1"/>
  <c r="Z30" i="3" s="1"/>
  <c r="AA30" i="3" s="1"/>
  <c r="AB30" i="3" s="1"/>
  <c r="AC30" i="3" s="1"/>
  <c r="AD30" i="3" s="1"/>
  <c r="AE30" i="3" s="1"/>
  <c r="AF30" i="3" s="1"/>
  <c r="AG30" i="3" s="1"/>
  <c r="C25" i="5"/>
  <c r="H12" i="7"/>
  <c r="I5" i="7"/>
  <c r="J13" i="8"/>
  <c r="H17" i="8"/>
  <c r="H19" i="8" s="1"/>
  <c r="H10" i="9"/>
  <c r="I5" i="9"/>
  <c r="E1" i="19" l="1"/>
  <c r="I12" i="7"/>
  <c r="H20" i="7"/>
  <c r="I20" i="7" s="1"/>
  <c r="D28" i="7" s="1"/>
  <c r="J17" i="8"/>
  <c r="K13" i="8"/>
  <c r="H17" i="9"/>
  <c r="B25" i="9" s="1"/>
  <c r="C25" i="9" s="1"/>
  <c r="D25" i="9" s="1"/>
  <c r="E25" i="9" s="1"/>
  <c r="F25" i="9" s="1"/>
  <c r="G25" i="9" s="1"/>
  <c r="H25" i="9" s="1"/>
  <c r="I25" i="9" s="1"/>
  <c r="J25" i="9" s="1"/>
  <c r="K25" i="9" s="1"/>
  <c r="L25" i="9" s="1"/>
  <c r="M25" i="9" s="1"/>
  <c r="N25" i="9" s="1"/>
  <c r="O25" i="9" s="1"/>
  <c r="P25" i="9" s="1"/>
  <c r="Q25" i="9" s="1"/>
  <c r="R25" i="9" s="1"/>
  <c r="S25" i="9" s="1"/>
  <c r="T25" i="9" s="1"/>
  <c r="U25" i="9" s="1"/>
  <c r="V25" i="9" s="1"/>
  <c r="W25" i="9" s="1"/>
  <c r="X25" i="9" s="1"/>
  <c r="Y25" i="9" s="1"/>
  <c r="Z25" i="9" s="1"/>
  <c r="AA25" i="9" s="1"/>
  <c r="AB25" i="9" s="1"/>
  <c r="AC25" i="9" s="1"/>
  <c r="AD25" i="9" s="1"/>
  <c r="AE25" i="9" s="1"/>
  <c r="AF25" i="9" s="1"/>
  <c r="AG25" i="9" s="1"/>
  <c r="E28" i="7" l="1"/>
  <c r="F28" i="7" s="1"/>
  <c r="G28" i="7" s="1"/>
  <c r="H28" i="7" s="1"/>
  <c r="I28" i="7" s="1"/>
  <c r="J28" i="7" s="1"/>
  <c r="K28" i="7" s="1"/>
  <c r="L28" i="7" s="1"/>
  <c r="M28" i="7" s="1"/>
  <c r="N28" i="7" s="1"/>
  <c r="O28" i="7" s="1"/>
  <c r="P28" i="7" s="1"/>
  <c r="Q28" i="7" s="1"/>
  <c r="R28" i="7" s="1"/>
  <c r="S28" i="7" s="1"/>
  <c r="T28" i="7" s="1"/>
  <c r="U28" i="7" s="1"/>
  <c r="V28" i="7" s="1"/>
  <c r="W28" i="7" s="1"/>
  <c r="X28" i="7" s="1"/>
  <c r="Y28" i="7" s="1"/>
  <c r="Z28" i="7" s="1"/>
  <c r="AA28" i="7" s="1"/>
  <c r="AB28" i="7" s="1"/>
  <c r="AC28" i="7" s="1"/>
  <c r="AD28" i="7" s="1"/>
  <c r="AE28" i="7" s="1"/>
  <c r="AF28" i="7" s="1"/>
  <c r="AG28" i="7" s="1"/>
  <c r="C28" i="7"/>
  <c r="K17" i="8"/>
  <c r="J19" i="8"/>
  <c r="B27" i="8" s="1"/>
  <c r="C27" i="8" s="1"/>
  <c r="D27" i="8" s="1"/>
  <c r="E27" i="8" s="1"/>
  <c r="F27" i="8" s="1"/>
  <c r="G27" i="8" s="1"/>
  <c r="H27" i="8" s="1"/>
  <c r="I27" i="8" s="1"/>
  <c r="J27" i="8" s="1"/>
  <c r="K27" i="8" s="1"/>
  <c r="L27" i="8" s="1"/>
  <c r="M27" i="8" s="1"/>
  <c r="N27" i="8" s="1"/>
  <c r="O27" i="8" s="1"/>
  <c r="P27" i="8" s="1"/>
  <c r="Q27" i="8" s="1"/>
  <c r="R27" i="8" s="1"/>
  <c r="S27" i="8" s="1"/>
  <c r="T27" i="8" s="1"/>
  <c r="U27" i="8" s="1"/>
  <c r="V27" i="8" s="1"/>
  <c r="W27" i="8" s="1"/>
  <c r="X27" i="8" s="1"/>
  <c r="Y27" i="8" s="1"/>
  <c r="Z27" i="8" s="1"/>
  <c r="AA27" i="8" s="1"/>
  <c r="AB27" i="8" s="1"/>
  <c r="AC27" i="8" s="1"/>
  <c r="AD27" i="8" s="1"/>
  <c r="AE27" i="8" s="1"/>
  <c r="AF27" i="8" s="1"/>
  <c r="AG27" i="8" s="1"/>
  <c r="I12" i="1" l="1"/>
  <c r="D31" i="1" l="1"/>
  <c r="E31" i="1" s="1"/>
  <c r="F31" i="1" s="1"/>
  <c r="G31" i="1" s="1"/>
  <c r="H31" i="1" s="1"/>
  <c r="I31" i="1" s="1"/>
  <c r="J31" i="1" s="1"/>
  <c r="K31" i="1" s="1"/>
  <c r="L31" i="1" s="1"/>
  <c r="M31" i="1" s="1"/>
  <c r="N31" i="1" s="1"/>
  <c r="O31" i="1" s="1"/>
  <c r="P31" i="1" s="1"/>
  <c r="Q31" i="1" s="1"/>
  <c r="R31" i="1" s="1"/>
  <c r="S31" i="1" s="1"/>
  <c r="T31" i="1" s="1"/>
  <c r="U31" i="1" s="1"/>
  <c r="V31" i="1" s="1"/>
  <c r="W31" i="1" s="1"/>
  <c r="X31" i="1" s="1"/>
  <c r="Y31" i="1" s="1"/>
  <c r="Z31" i="1" s="1"/>
  <c r="AA31" i="1" s="1"/>
  <c r="AB31" i="1" s="1"/>
  <c r="AC31" i="1" s="1"/>
  <c r="AD31" i="1" s="1"/>
  <c r="AE31" i="1" s="1"/>
  <c r="AF31" i="1" s="1"/>
  <c r="AG31" i="1" s="1"/>
  <c r="I15" i="1"/>
</calcChain>
</file>

<file path=xl/sharedStrings.xml><?xml version="1.0" encoding="utf-8"?>
<sst xmlns="http://schemas.openxmlformats.org/spreadsheetml/2006/main" count="1108" uniqueCount="243">
  <si>
    <t>This workbook provides a summary of each of the Generic Resource costs extracted from technical sources documented in the 2021 National Renewable Energy Laboratory (NREL) Annual Technology Baseline (ATB) cost report which are relevant to options to be considered in the 2023 Electric Progress Report portfolio planning process and details of how PSE has adjusted those costs to come to finalized Generic Resource costs for use in the 2023 Electric Progress Report.</t>
  </si>
  <si>
    <t>Objective</t>
  </si>
  <si>
    <t xml:space="preserve">The objective of this document is to provide a detailed look at the breakdown of capital costs of Generic Resources and adjustments made to those costs that reflect assumptions that PSE has made based on information available from operating characteristics and internal sources of information. Costs provided may differ from the actual costs modeled in the 2023 Electric Progress Report as new information is available and assumptions are updated. </t>
  </si>
  <si>
    <t>Definitions</t>
  </si>
  <si>
    <t>Capital Cost</t>
  </si>
  <si>
    <t xml:space="preserve">This document presents the CAPEX or total capital expenditure required to achieve commerical operation of the generation plant, as published in the 2021 NREL ATB. The 2021 NREL ATB does not provide an in-depth review of the numerous components which compose the total capital cost of a generating resource. Therefore, PSE has reviewed the source materials cited in the 2021 NREL ATB to get an understanding of the components of each technology's capital cost, for example: equipment costs, balance of plant costs and financing costs. Often times, the total capital costs of the source materials differed from the costs presented in the NREL ATB. In these cases, PSE used the ratio of the total capital cost of the source materials to the total capital cost of the NREL ATB to scale component costs to gain an understanding of the contribution of each component to the NREL ATB cost. In cases, where PSE deemed it necessary to make an adjustment to the capital cost of a resource, the cost is applied to the specific component which required an adjustment. </t>
  </si>
  <si>
    <t xml:space="preserve">Other Notes: </t>
  </si>
  <si>
    <t xml:space="preserve">Dollar values are in 2020 US Dollars, unless otherwise noted. </t>
  </si>
  <si>
    <t xml:space="preserve">Reference: </t>
  </si>
  <si>
    <t>2021 National Renewable Energy Laboratory Annual Technology Baseline: https://atb.nrel.gov/electricity/2021/data</t>
  </si>
  <si>
    <t xml:space="preserve">Please refer to companion workbook on NREL ATB Cost Breakdown for complete listing of data sources. </t>
  </si>
  <si>
    <t>Cost curves across all available resources, all listings in 2020 dollars per kiloWatt</t>
  </si>
  <si>
    <t>Year</t>
  </si>
  <si>
    <t>Offshore Wind</t>
  </si>
  <si>
    <t>Onshore Wind</t>
  </si>
  <si>
    <t>Solar_Utility</t>
  </si>
  <si>
    <t>Solar_Residential</t>
  </si>
  <si>
    <t>Battery, LI 2hr</t>
  </si>
  <si>
    <t>Battery, LI 4hr</t>
  </si>
  <si>
    <t>Battery, LI 6hr</t>
  </si>
  <si>
    <t>Battery, Residential</t>
  </si>
  <si>
    <t>Solar + Battery</t>
  </si>
  <si>
    <t>Wind + Battery</t>
  </si>
  <si>
    <t>Wind + Solar + Battery</t>
  </si>
  <si>
    <t>CCCT</t>
  </si>
  <si>
    <t>Frame Peaker</t>
  </si>
  <si>
    <t>Biomass</t>
  </si>
  <si>
    <t>Pumped Storage Hydro</t>
  </si>
  <si>
    <t>TBD</t>
  </si>
  <si>
    <t>Reciprocating Peaker</t>
  </si>
  <si>
    <t>Small Modular Nuclear</t>
  </si>
  <si>
    <t>Electrolyzer</t>
  </si>
  <si>
    <t>Source material</t>
  </si>
  <si>
    <t>Adjustments</t>
  </si>
  <si>
    <t>Base</t>
  </si>
  <si>
    <t>Percentage of total CAPEX</t>
  </si>
  <si>
    <t>Scale to 2021 NREL 2019 vintage, 2019 $</t>
  </si>
  <si>
    <t>PSE Adjustment 1: escalate to 2020 $</t>
  </si>
  <si>
    <t>PSE Adjustment 1 Total</t>
  </si>
  <si>
    <t>PSE Adjustment 2: add Spur Line</t>
  </si>
  <si>
    <t>PSE Adjustment 2 Total</t>
  </si>
  <si>
    <t>PSE ADJUSTED CAPITAL COST</t>
  </si>
  <si>
    <t>Notes</t>
  </si>
  <si>
    <t>NREL ATB Nameplate (MW)</t>
  </si>
  <si>
    <t>Capital Cost Component</t>
  </si>
  <si>
    <t>$/kW</t>
  </si>
  <si>
    <t>% of Total</t>
  </si>
  <si>
    <t>Multiplier</t>
  </si>
  <si>
    <t>Adder</t>
  </si>
  <si>
    <t>Turbine capital costs</t>
  </si>
  <si>
    <t xml:space="preserve">SUB TOTAL </t>
  </si>
  <si>
    <t>Balance of System</t>
  </si>
  <si>
    <t>Development</t>
  </si>
  <si>
    <t>Engineering &amp; Mgmt</t>
  </si>
  <si>
    <t>Substructure &amp; foundation</t>
  </si>
  <si>
    <t>Port &amp; staging,logistics,transport</t>
  </si>
  <si>
    <t>electrical infrastructure</t>
  </si>
  <si>
    <t>added 5mi spur line for interconnection assumed at $500,000 per mile</t>
  </si>
  <si>
    <t>Assembly &amp; installation</t>
  </si>
  <si>
    <t>Lease price</t>
  </si>
  <si>
    <t>Soft Costs</t>
  </si>
  <si>
    <t>Insurance during construction</t>
  </si>
  <si>
    <t>Decommissioning bond</t>
  </si>
  <si>
    <t>construction financing</t>
  </si>
  <si>
    <t>contingency</t>
  </si>
  <si>
    <t>Plant commissioning</t>
  </si>
  <si>
    <t>Total CAPEX</t>
  </si>
  <si>
    <r>
      <rPr>
        <b/>
        <sz val="22"/>
        <color theme="1"/>
        <rFont val="Calibri"/>
        <family val="2"/>
      </rPr>
      <t>↓</t>
    </r>
    <r>
      <rPr>
        <b/>
        <sz val="22"/>
        <color theme="1"/>
        <rFont val="Calibri"/>
        <family val="2"/>
        <scheme val="minor"/>
      </rPr>
      <t xml:space="preserve"> COST CURVE </t>
    </r>
    <r>
      <rPr>
        <b/>
        <sz val="22"/>
        <color theme="1"/>
        <rFont val="Calibri"/>
        <family val="2"/>
      </rPr>
      <t>↓</t>
    </r>
  </si>
  <si>
    <t>2021 NREL ATB, Moderate Class 8</t>
  </si>
  <si>
    <t>% change on year</t>
  </si>
  <si>
    <t>--</t>
  </si>
  <si>
    <t>After PSE Adjustments</t>
  </si>
  <si>
    <t>Turbine capital cost</t>
  </si>
  <si>
    <t>Rotor module</t>
  </si>
  <si>
    <t>Nacelle module</t>
  </si>
  <si>
    <t>Tower module</t>
  </si>
  <si>
    <t>total</t>
  </si>
  <si>
    <t>Dev cost</t>
  </si>
  <si>
    <t>Foundation</t>
  </si>
  <si>
    <t>Site access &amp; staging</t>
  </si>
  <si>
    <t>Total</t>
  </si>
  <si>
    <t>financial costs</t>
  </si>
  <si>
    <t>Construction financing</t>
  </si>
  <si>
    <t>Contingency fund</t>
  </si>
  <si>
    <t>2021 NREL ATB, Class 4</t>
  </si>
  <si>
    <t>adder</t>
  </si>
  <si>
    <t>Module component</t>
  </si>
  <si>
    <t>Cost in $, rough</t>
  </si>
  <si>
    <t>Module</t>
  </si>
  <si>
    <t>Inverter</t>
  </si>
  <si>
    <t>Structural BOS</t>
  </si>
  <si>
    <t>Electrical BOS</t>
  </si>
  <si>
    <t>Total BOS</t>
  </si>
  <si>
    <t>Install labor &amp; equipment</t>
  </si>
  <si>
    <t>EPC overhead</t>
  </si>
  <si>
    <t>Sales tax</t>
  </si>
  <si>
    <t>Total EPC</t>
  </si>
  <si>
    <t>Land</t>
  </si>
  <si>
    <t>Permitting fee</t>
  </si>
  <si>
    <t>Interconnection fee</t>
  </si>
  <si>
    <t>Transmission line</t>
  </si>
  <si>
    <t>adjusted for 5mi spur line for interconnection assumed at $500,000 per mile; base assumption assumes ~4mi spur ($2,000,000)</t>
  </si>
  <si>
    <t>Developer overhead</t>
  </si>
  <si>
    <t>Contingency</t>
  </si>
  <si>
    <t>EPC/developer profit</t>
  </si>
  <si>
    <t>Developer cost</t>
  </si>
  <si>
    <t>NREL ATB Listing</t>
  </si>
  <si>
    <t>PV modules</t>
  </si>
  <si>
    <t>Lithium-ion battery</t>
  </si>
  <si>
    <t>PV inverter</t>
  </si>
  <si>
    <t>Battery inverter</t>
  </si>
  <si>
    <t>Supply chain costs</t>
  </si>
  <si>
    <t>Installed Labor &amp; equipment</t>
  </si>
  <si>
    <t>Permitting, inspection, interconnection</t>
  </si>
  <si>
    <t>Sales &amp; Marketing</t>
  </si>
  <si>
    <t>Net profit</t>
  </si>
  <si>
    <t>PSE Adjustment 2: Overbuild Storage Block</t>
  </si>
  <si>
    <t>PSE Adjustment 3: add Spur line</t>
  </si>
  <si>
    <t>PSE Adjustment 3 Total</t>
  </si>
  <si>
    <t>Duration (Hours)</t>
  </si>
  <si>
    <t>Lithium Ion Batteries</t>
  </si>
  <si>
    <t>Duration</t>
  </si>
  <si>
    <t>Module Component</t>
  </si>
  <si>
    <t>Storage Block</t>
  </si>
  <si>
    <t>overbuild storage capacity to allow for full battery duraction, assumes 20% increase in cells to account for 20% recommended minimum state of charge</t>
  </si>
  <si>
    <t>Storage balance of system</t>
  </si>
  <si>
    <t>Power Equipment</t>
  </si>
  <si>
    <t>Controls &amp; communication</t>
  </si>
  <si>
    <t>System integration</t>
  </si>
  <si>
    <t>Eng., procurement, construction</t>
  </si>
  <si>
    <t>Project Dev</t>
  </si>
  <si>
    <t>Grid integration</t>
  </si>
  <si>
    <t>Total ESS intalled cost</t>
  </si>
  <si>
    <r>
      <rPr>
        <b/>
        <sz val="22"/>
        <color theme="1"/>
        <rFont val="Calibri"/>
        <family val="2"/>
      </rPr>
      <t>↓</t>
    </r>
    <r>
      <rPr>
        <b/>
        <sz val="22"/>
        <color theme="1"/>
        <rFont val="Calibri"/>
        <family val="2"/>
        <scheme val="minor"/>
      </rPr>
      <t xml:space="preserve"> COST CURVES </t>
    </r>
    <r>
      <rPr>
        <b/>
        <sz val="22"/>
        <color theme="1"/>
        <rFont val="Calibri"/>
        <family val="2"/>
      </rPr>
      <t>↓</t>
    </r>
  </si>
  <si>
    <t>2hr LI</t>
  </si>
  <si>
    <t>4hr LI</t>
  </si>
  <si>
    <t>6hr LI</t>
  </si>
  <si>
    <t>5 kW, 14.5 kWh</t>
  </si>
  <si>
    <t>$</t>
  </si>
  <si>
    <t>Lithium Ion Battery</t>
  </si>
  <si>
    <t>Battery Inverter</t>
  </si>
  <si>
    <t>Suuply Chain Costs</t>
  </si>
  <si>
    <t>Sales Tax</t>
  </si>
  <si>
    <t>Install Labor and Equipment</t>
  </si>
  <si>
    <t>Permitting, Inspection, Interconnection</t>
  </si>
  <si>
    <t>Overhead</t>
  </si>
  <si>
    <t>Sales and Marketing</t>
  </si>
  <si>
    <t>Net Profit</t>
  </si>
  <si>
    <t xml:space="preserve">TOTAL </t>
  </si>
  <si>
    <t>Benefit</t>
  </si>
  <si>
    <t>Battery Components</t>
  </si>
  <si>
    <t>PSE Adjusted Cost, $/kW</t>
  </si>
  <si>
    <t>Savings, %</t>
  </si>
  <si>
    <t>Hybrid Cost, $/kW</t>
  </si>
  <si>
    <t>Solar Components</t>
  </si>
  <si>
    <t>Wind Components</t>
  </si>
  <si>
    <t>Solar - NREL ATB</t>
  </si>
  <si>
    <t>Solar - % change on year</t>
  </si>
  <si>
    <t>Solar - PSE</t>
  </si>
  <si>
    <t>Battery - NREL ATB</t>
  </si>
  <si>
    <t>Battery - % change on year</t>
  </si>
  <si>
    <t>Battery - PSE</t>
  </si>
  <si>
    <t>Wind - NREL ATB</t>
  </si>
  <si>
    <t>Wind - % change on year</t>
  </si>
  <si>
    <t>Wind - PSE</t>
  </si>
  <si>
    <t>100 MW Solar + 50 MW Battery</t>
  </si>
  <si>
    <t>100 MW Wind + 50 MW Battery</t>
  </si>
  <si>
    <t>100 MW Wind + 100 MW Solar + 50 MW Battery</t>
  </si>
  <si>
    <t>Description</t>
  </si>
  <si>
    <t>Feedwater &amp; Misc. BOP Systems</t>
  </si>
  <si>
    <t>CT &amp; Accessories</t>
  </si>
  <si>
    <t>HRSG, Ductwork &amp; Stack</t>
  </si>
  <si>
    <t>Steam Turbine &amp; Accessories</t>
  </si>
  <si>
    <t>Cooling Water System</t>
  </si>
  <si>
    <t>Accessory Electric Plant</t>
  </si>
  <si>
    <t>Instrumentation &amp; Control</t>
  </si>
  <si>
    <t>Improvements to Site</t>
  </si>
  <si>
    <t>Building &amp; Structure</t>
  </si>
  <si>
    <t>Owners Cost</t>
  </si>
  <si>
    <t>Pre-Production Costs</t>
  </si>
  <si>
    <t>Inventory Capital</t>
  </si>
  <si>
    <t>Initial Cost for Catalyst &amp; Chemicals</t>
  </si>
  <si>
    <t>Other Owner's Costs</t>
  </si>
  <si>
    <t>Financing Costs</t>
  </si>
  <si>
    <t>Total Overnight Costs</t>
  </si>
  <si>
    <t>TASC Multiplier (IOU, 33 year)</t>
  </si>
  <si>
    <t>Total As-Spent Cost</t>
  </si>
  <si>
    <t xml:space="preserve"> </t>
  </si>
  <si>
    <t>PSE Adjustment 2: Add Fuel Storage Tank</t>
  </si>
  <si>
    <t>PSE Adjustment 3: Add 5 Mile Spur Line</t>
  </si>
  <si>
    <t>Cost Components</t>
  </si>
  <si>
    <t>$, thousands</t>
  </si>
  <si>
    <t>Civil/structural/architectural subtotal</t>
  </si>
  <si>
    <t>Mech. Major equipment</t>
  </si>
  <si>
    <t>Mech. BOP</t>
  </si>
  <si>
    <t>add fuel oil (distillate or biodiesel) storage tank, assumed $15,000,000 for 24hrs of capacit</t>
  </si>
  <si>
    <t>Mechanical subtotal</t>
  </si>
  <si>
    <t>Electrical subtotal</t>
  </si>
  <si>
    <t>Project indirects</t>
  </si>
  <si>
    <t>EPC fee</t>
  </si>
  <si>
    <t>EPC subtotal</t>
  </si>
  <si>
    <t>Owner's services</t>
  </si>
  <si>
    <t>Electrical Interconnection</t>
  </si>
  <si>
    <t>Gas interconnection</t>
  </si>
  <si>
    <t>Owner's cost subtotal</t>
  </si>
  <si>
    <t>Project contingency</t>
  </si>
  <si>
    <t>PSE Adjustment 2: Add 5 Mile Spur Line</t>
  </si>
  <si>
    <t>Cost component</t>
  </si>
  <si>
    <t>civil/structural/architectural</t>
  </si>
  <si>
    <t>Mechanical</t>
  </si>
  <si>
    <t>Electrical</t>
  </si>
  <si>
    <t>Owners costs</t>
  </si>
  <si>
    <t>Electrical Interconnection*</t>
  </si>
  <si>
    <t>Owners cost subtotal</t>
  </si>
  <si>
    <t>NREL ATB Listing ($/kW)</t>
  </si>
  <si>
    <t>After PSE Adjustments ($/kW)</t>
  </si>
  <si>
    <t xml:space="preserve">Average Annual Inflation: </t>
  </si>
  <si>
    <t>scale to 2021 NREL 2019 vintage, 2019 $</t>
  </si>
  <si>
    <t>PSE Adjustment 1: add Spur Line</t>
  </si>
  <si>
    <t>Hours</t>
  </si>
  <si>
    <t>Upper + lower reservoir</t>
  </si>
  <si>
    <t>Tunnels</t>
  </si>
  <si>
    <t>Powerhouse excavation</t>
  </si>
  <si>
    <t>Powerhouse structure, equip. BOP</t>
  </si>
  <si>
    <t>Total direct costs</t>
  </si>
  <si>
    <t>EPC management services inc. contingency</t>
  </si>
  <si>
    <t>Owner's cost</t>
  </si>
  <si>
    <t>Proj mgmt &amp; design engineering</t>
  </si>
  <si>
    <t>Construction mgmt &amp; startup support</t>
  </si>
  <si>
    <t>Total indirect cost</t>
  </si>
  <si>
    <t>Total installed cost</t>
  </si>
  <si>
    <t>NREL ATB Listing**</t>
  </si>
  <si>
    <t xml:space="preserve">PSE Adjustment 2: </t>
  </si>
  <si>
    <t>Engines</t>
  </si>
  <si>
    <t>Mechanical BOP</t>
  </si>
  <si>
    <t>Owner's fuirnished equipment</t>
  </si>
  <si>
    <t>PSE Adjustment 1: convert to $/kW</t>
  </si>
  <si>
    <t>PSE Adjustment 2: escalate to 2020 $</t>
  </si>
  <si>
    <t>Divisor</t>
  </si>
  <si>
    <t>Nuclear island</t>
  </si>
  <si>
    <t>Conventional island</t>
  </si>
  <si>
    <t>Balance of Plant</t>
  </si>
  <si>
    <t>Not enough information available to generate reliable cost curve at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</si>
</sst>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0"/>
    <numFmt numFmtId="166" formatCode="_(* #,##0_);_(* \(#,##0\);_(* &quot;-&quot;??_);_(@_)"/>
    <numFmt numFmtId="167" formatCode="_(* #,##0.0_);_(* \(#,##0.0\);_(* &quot;-&quot;??_);_(@_)"/>
    <numFmt numFmtId="168" formatCode="0.0"/>
  </numFmts>
  <fonts count="9">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22"/>
      <color theme="1"/>
      <name val="Calibri"/>
      <family val="2"/>
      <scheme val="minor"/>
    </font>
    <font>
      <b/>
      <sz val="22"/>
      <color theme="1"/>
      <name val="Calibri"/>
      <family val="2"/>
    </font>
    <font>
      <sz val="16"/>
      <color theme="1"/>
      <name val="Calibri"/>
      <family val="2"/>
      <scheme val="minor"/>
    </font>
    <font>
      <sz val="22"/>
      <color theme="1"/>
      <name val="Calibri"/>
      <family val="2"/>
      <scheme val="minor"/>
    </font>
    <font>
      <b/>
      <sz val="18"/>
      <color theme="1"/>
      <name val="Calibri"/>
      <family val="2"/>
      <scheme val="minor"/>
    </font>
  </fonts>
  <fills count="8">
    <fill>
      <patternFill patternType="none"/>
    </fill>
    <fill>
      <patternFill patternType="gray125"/>
    </fill>
    <fill>
      <patternFill patternType="solid">
        <fgColor theme="6" tint="0.59999389629810485"/>
        <bgColor indexed="65"/>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cellStyleXfs>
  <cellXfs count="138">
    <xf numFmtId="0" fontId="0" fillId="0" borderId="0" xfId="0"/>
    <xf numFmtId="0" fontId="0" fillId="0" borderId="2" xfId="0" applyBorder="1"/>
    <xf numFmtId="0" fontId="0" fillId="0" borderId="2" xfId="0" applyBorder="1" applyAlignment="1">
      <alignment horizontal="left" indent="2"/>
    </xf>
    <xf numFmtId="0" fontId="0" fillId="0" borderId="3" xfId="0" applyBorder="1"/>
    <xf numFmtId="0" fontId="2" fillId="0" borderId="4" xfId="0" applyFont="1" applyBorder="1"/>
    <xf numFmtId="0" fontId="0" fillId="0" borderId="0" xfId="0" applyAlignment="1">
      <alignment horizontal="center"/>
    </xf>
    <xf numFmtId="0" fontId="0" fillId="0" borderId="5" xfId="0" applyBorder="1"/>
    <xf numFmtId="0" fontId="0" fillId="0" borderId="0" xfId="0" applyAlignment="1">
      <alignment wrapText="1"/>
    </xf>
    <xf numFmtId="164" fontId="0" fillId="0" borderId="0" xfId="2" applyNumberFormat="1" applyFont="1"/>
    <xf numFmtId="2" fontId="0" fillId="0" borderId="0" xfId="0" applyNumberFormat="1"/>
    <xf numFmtId="0" fontId="0" fillId="0" borderId="5" xfId="0" applyBorder="1" applyAlignment="1">
      <alignment horizontal="center"/>
    </xf>
    <xf numFmtId="0" fontId="0" fillId="0" borderId="6" xfId="0" applyBorder="1"/>
    <xf numFmtId="0" fontId="0" fillId="0" borderId="7" xfId="0" applyBorder="1"/>
    <xf numFmtId="0" fontId="0" fillId="0" borderId="3" xfId="0" applyBorder="1" applyAlignment="1">
      <alignment horizontal="left" indent="2"/>
    </xf>
    <xf numFmtId="3" fontId="0" fillId="0" borderId="5" xfId="0" applyNumberFormat="1" applyBorder="1"/>
    <xf numFmtId="165" fontId="0" fillId="0" borderId="0" xfId="0" applyNumberFormat="1"/>
    <xf numFmtId="0" fontId="0" fillId="0" borderId="0" xfId="0" quotePrefix="1"/>
    <xf numFmtId="0" fontId="0" fillId="0" borderId="0" xfId="0" quotePrefix="1" applyAlignment="1">
      <alignment horizontal="right"/>
    </xf>
    <xf numFmtId="0" fontId="2" fillId="0" borderId="0" xfId="0" applyFont="1" applyAlignment="1">
      <alignment wrapText="1"/>
    </xf>
    <xf numFmtId="0" fontId="2" fillId="0" borderId="0" xfId="0" applyFont="1"/>
    <xf numFmtId="2" fontId="2" fillId="0" borderId="0" xfId="0" applyNumberFormat="1" applyFont="1"/>
    <xf numFmtId="166" fontId="0" fillId="0" borderId="9" xfId="1" applyNumberFormat="1" applyFont="1" applyBorder="1"/>
    <xf numFmtId="0" fontId="0" fillId="0" borderId="1" xfId="0" applyBorder="1"/>
    <xf numFmtId="43" fontId="0" fillId="0" borderId="0" xfId="1" applyFont="1"/>
    <xf numFmtId="166" fontId="0" fillId="0" borderId="0" xfId="1" applyNumberFormat="1" applyFont="1"/>
    <xf numFmtId="0" fontId="3" fillId="0" borderId="2" xfId="0" applyFont="1" applyBorder="1"/>
    <xf numFmtId="0" fontId="0" fillId="0" borderId="0" xfId="0" applyAlignment="1">
      <alignment vertical="top" wrapText="1"/>
    </xf>
    <xf numFmtId="0" fontId="2" fillId="0" borderId="0" xfId="0" applyFont="1" applyAlignment="1">
      <alignment vertical="top" wrapText="1"/>
    </xf>
    <xf numFmtId="0" fontId="2" fillId="0" borderId="5" xfId="0" applyFont="1" applyBorder="1"/>
    <xf numFmtId="166" fontId="0" fillId="0" borderId="5" xfId="1" applyNumberFormat="1" applyFont="1" applyBorder="1"/>
    <xf numFmtId="166" fontId="0" fillId="4" borderId="0" xfId="1" applyNumberFormat="1" applyFont="1" applyFill="1"/>
    <xf numFmtId="166" fontId="0" fillId="0" borderId="0" xfId="1" applyNumberFormat="1" applyFont="1" applyFill="1" applyBorder="1"/>
    <xf numFmtId="43" fontId="0" fillId="0" borderId="0" xfId="1" applyFont="1" applyFill="1" applyBorder="1"/>
    <xf numFmtId="166" fontId="3" fillId="0" borderId="0" xfId="1" applyNumberFormat="1" applyFont="1" applyFill="1" applyBorder="1"/>
    <xf numFmtId="166" fontId="0" fillId="0" borderId="5" xfId="1" applyNumberFormat="1" applyFont="1" applyFill="1" applyBorder="1"/>
    <xf numFmtId="0" fontId="0" fillId="4" borderId="0" xfId="0" applyFill="1"/>
    <xf numFmtId="2" fontId="0" fillId="4" borderId="0" xfId="0" applyNumberFormat="1" applyFill="1"/>
    <xf numFmtId="166" fontId="0" fillId="0" borderId="0" xfId="1" applyNumberFormat="1" applyFont="1" applyFill="1"/>
    <xf numFmtId="0" fontId="0" fillId="5" borderId="0" xfId="0" applyFill="1"/>
    <xf numFmtId="166" fontId="0" fillId="0" borderId="9" xfId="1" applyNumberFormat="1" applyFont="1" applyFill="1" applyBorder="1"/>
    <xf numFmtId="166" fontId="0" fillId="0" borderId="8" xfId="1" applyNumberFormat="1" applyFont="1" applyFill="1" applyBorder="1"/>
    <xf numFmtId="164" fontId="0" fillId="3" borderId="0" xfId="2" applyNumberFormat="1" applyFont="1" applyFill="1"/>
    <xf numFmtId="0" fontId="0" fillId="3" borderId="0" xfId="0" quotePrefix="1" applyFill="1" applyAlignment="1">
      <alignment horizontal="right"/>
    </xf>
    <xf numFmtId="2" fontId="0" fillId="3" borderId="0" xfId="0" applyNumberFormat="1" applyFill="1"/>
    <xf numFmtId="0" fontId="2" fillId="0" borderId="0" xfId="0" applyFont="1" applyAlignment="1">
      <alignment horizontal="center"/>
    </xf>
    <xf numFmtId="0" fontId="0" fillId="4" borderId="0" xfId="0" applyFill="1" applyAlignment="1">
      <alignment wrapText="1"/>
    </xf>
    <xf numFmtId="0" fontId="0" fillId="4" borderId="0" xfId="0" applyFill="1" applyAlignment="1">
      <alignment horizontal="center"/>
    </xf>
    <xf numFmtId="0" fontId="0" fillId="3" borderId="0" xfId="0" applyFill="1" applyAlignment="1">
      <alignment wrapText="1"/>
    </xf>
    <xf numFmtId="0" fontId="0" fillId="3" borderId="0" xfId="0" applyFill="1"/>
    <xf numFmtId="164" fontId="0" fillId="0" borderId="5" xfId="2" applyNumberFormat="1" applyFont="1" applyBorder="1"/>
    <xf numFmtId="164" fontId="0" fillId="3" borderId="5" xfId="2" applyNumberFormat="1" applyFont="1" applyFill="1" applyBorder="1"/>
    <xf numFmtId="2" fontId="0" fillId="4" borderId="5" xfId="0" applyNumberFormat="1" applyFill="1" applyBorder="1"/>
    <xf numFmtId="0" fontId="0" fillId="3" borderId="5" xfId="0" quotePrefix="1" applyFill="1" applyBorder="1" applyAlignment="1">
      <alignment horizontal="right"/>
    </xf>
    <xf numFmtId="0" fontId="0" fillId="3" borderId="0" xfId="0" applyFill="1" applyAlignment="1">
      <alignment horizontal="center"/>
    </xf>
    <xf numFmtId="166" fontId="0" fillId="3" borderId="0" xfId="1" applyNumberFormat="1" applyFont="1" applyFill="1"/>
    <xf numFmtId="0" fontId="0" fillId="3" borderId="0" xfId="0" applyFill="1" applyAlignment="1">
      <alignment vertical="top" wrapText="1"/>
    </xf>
    <xf numFmtId="43" fontId="0" fillId="3" borderId="0" xfId="0" quotePrefix="1" applyNumberFormat="1" applyFill="1" applyAlignment="1">
      <alignment horizontal="right"/>
    </xf>
    <xf numFmtId="2" fontId="0" fillId="3" borderId="0" xfId="0" applyNumberFormat="1" applyFill="1" applyAlignment="1">
      <alignment horizontal="right"/>
    </xf>
    <xf numFmtId="43" fontId="0" fillId="4" borderId="0" xfId="0" applyNumberFormat="1" applyFill="1"/>
    <xf numFmtId="0" fontId="0" fillId="4" borderId="0" xfId="0" applyFill="1" applyAlignment="1">
      <alignment vertical="top" wrapText="1"/>
    </xf>
    <xf numFmtId="166" fontId="0" fillId="4" borderId="0" xfId="0" applyNumberFormat="1" applyFill="1"/>
    <xf numFmtId="9" fontId="0" fillId="3" borderId="0" xfId="2" applyFont="1" applyFill="1"/>
    <xf numFmtId="0" fontId="0" fillId="3" borderId="0" xfId="0" quotePrefix="1" applyFill="1"/>
    <xf numFmtId="0" fontId="0" fillId="3" borderId="5" xfId="0" applyFill="1" applyBorder="1"/>
    <xf numFmtId="164" fontId="0" fillId="0" borderId="0" xfId="2" applyNumberFormat="1" applyFont="1" applyBorder="1"/>
    <xf numFmtId="2" fontId="0" fillId="0" borderId="5" xfId="0" applyNumberFormat="1" applyBorder="1"/>
    <xf numFmtId="0" fontId="0" fillId="3" borderId="5" xfId="0" quotePrefix="1" applyFill="1" applyBorder="1"/>
    <xf numFmtId="2" fontId="2" fillId="0" borderId="5" xfId="0" applyNumberFormat="1" applyFont="1" applyBorder="1"/>
    <xf numFmtId="0" fontId="0" fillId="0" borderId="4" xfId="0" applyBorder="1"/>
    <xf numFmtId="164" fontId="0" fillId="0" borderId="4" xfId="2" applyNumberFormat="1" applyFont="1" applyBorder="1"/>
    <xf numFmtId="0" fontId="0" fillId="4" borderId="5" xfId="0" applyFill="1" applyBorder="1" applyAlignment="1">
      <alignment horizontal="center"/>
    </xf>
    <xf numFmtId="0" fontId="2" fillId="0" borderId="5" xfId="0" applyFont="1" applyBorder="1" applyAlignment="1">
      <alignment horizontal="center"/>
    </xf>
    <xf numFmtId="2" fontId="0" fillId="3" borderId="5" xfId="0" applyNumberFormat="1" applyFill="1" applyBorder="1"/>
    <xf numFmtId="0" fontId="0" fillId="3" borderId="5" xfId="0" applyFill="1" applyBorder="1" applyAlignment="1">
      <alignment horizontal="center"/>
    </xf>
    <xf numFmtId="43" fontId="0" fillId="4" borderId="5" xfId="0" applyNumberFormat="1" applyFill="1" applyBorder="1"/>
    <xf numFmtId="164" fontId="0" fillId="3" borderId="4" xfId="2" applyNumberFormat="1" applyFont="1" applyFill="1" applyBorder="1"/>
    <xf numFmtId="2" fontId="0" fillId="4" borderId="4" xfId="0" applyNumberFormat="1" applyFill="1" applyBorder="1"/>
    <xf numFmtId="0" fontId="0" fillId="3" borderId="4" xfId="0" quotePrefix="1" applyFill="1" applyBorder="1" applyAlignment="1">
      <alignment horizontal="right"/>
    </xf>
    <xf numFmtId="2" fontId="2" fillId="0" borderId="4" xfId="0" applyNumberFormat="1" applyFont="1" applyBorder="1"/>
    <xf numFmtId="0" fontId="0" fillId="4" borderId="5" xfId="0" applyFill="1" applyBorder="1"/>
    <xf numFmtId="166" fontId="0" fillId="0" borderId="4" xfId="1" applyNumberFormat="1" applyFont="1" applyFill="1" applyBorder="1"/>
    <xf numFmtId="0" fontId="0" fillId="4" borderId="4" xfId="0" applyFill="1" applyBorder="1"/>
    <xf numFmtId="0" fontId="0" fillId="3" borderId="4" xfId="0" applyFill="1" applyBorder="1"/>
    <xf numFmtId="0" fontId="0" fillId="0" borderId="10" xfId="0" applyBorder="1"/>
    <xf numFmtId="167" fontId="0" fillId="0" borderId="8" xfId="1" applyNumberFormat="1" applyFont="1" applyBorder="1"/>
    <xf numFmtId="167" fontId="0" fillId="0" borderId="9" xfId="0" applyNumberFormat="1" applyBorder="1"/>
    <xf numFmtId="167" fontId="0" fillId="0" borderId="8" xfId="1" applyNumberFormat="1" applyFont="1" applyFill="1" applyBorder="1"/>
    <xf numFmtId="0" fontId="6" fillId="0" borderId="0" xfId="0" applyFont="1"/>
    <xf numFmtId="0" fontId="4" fillId="0" borderId="0" xfId="0" applyFont="1" applyAlignment="1">
      <alignment wrapText="1"/>
    </xf>
    <xf numFmtId="43" fontId="0" fillId="0" borderId="5" xfId="1" applyFont="1" applyBorder="1"/>
    <xf numFmtId="43" fontId="0" fillId="4" borderId="5" xfId="1" applyFont="1" applyFill="1" applyBorder="1"/>
    <xf numFmtId="43" fontId="0" fillId="4" borderId="0" xfId="1" applyFont="1" applyFill="1"/>
    <xf numFmtId="43" fontId="2" fillId="0" borderId="5" xfId="1" applyFont="1" applyBorder="1"/>
    <xf numFmtId="43" fontId="2" fillId="0" borderId="0" xfId="1" applyFont="1"/>
    <xf numFmtId="166" fontId="0" fillId="0" borderId="0" xfId="1" applyNumberFormat="1" applyFont="1" applyBorder="1"/>
    <xf numFmtId="43" fontId="0" fillId="4" borderId="0" xfId="1" applyFont="1" applyFill="1" applyBorder="1"/>
    <xf numFmtId="43" fontId="0" fillId="4" borderId="4" xfId="1" applyFont="1" applyFill="1" applyBorder="1"/>
    <xf numFmtId="0" fontId="0" fillId="3" borderId="4" xfId="0" quotePrefix="1" applyFill="1" applyBorder="1"/>
    <xf numFmtId="43" fontId="2" fillId="0" borderId="4" xfId="1" applyFont="1" applyBorder="1"/>
    <xf numFmtId="166" fontId="0" fillId="0" borderId="4" xfId="0" applyNumberFormat="1" applyBorder="1"/>
    <xf numFmtId="166" fontId="0" fillId="4" borderId="5" xfId="0" applyNumberFormat="1" applyFill="1" applyBorder="1"/>
    <xf numFmtId="10" fontId="0" fillId="0" borderId="0" xfId="0" applyNumberFormat="1"/>
    <xf numFmtId="2" fontId="0" fillId="3" borderId="0" xfId="0" quotePrefix="1" applyNumberFormat="1" applyFill="1" applyAlignment="1">
      <alignment horizontal="right"/>
    </xf>
    <xf numFmtId="168" fontId="0" fillId="3" borderId="0" xfId="0" applyNumberFormat="1" applyFill="1" applyAlignment="1">
      <alignment horizontal="right"/>
    </xf>
    <xf numFmtId="43" fontId="0" fillId="0" borderId="0" xfId="0" applyNumberFormat="1"/>
    <xf numFmtId="0" fontId="0" fillId="3" borderId="0" xfId="2" applyNumberFormat="1" applyFont="1" applyFill="1"/>
    <xf numFmtId="0" fontId="0" fillId="3" borderId="5" xfId="2" applyNumberFormat="1" applyFont="1" applyFill="1" applyBorder="1"/>
    <xf numFmtId="0" fontId="0" fillId="3" borderId="4" xfId="2" applyNumberFormat="1" applyFont="1" applyFill="1" applyBorder="1"/>
    <xf numFmtId="0" fontId="4" fillId="6" borderId="0" xfId="0" applyFont="1" applyFill="1" applyAlignment="1">
      <alignment wrapText="1"/>
    </xf>
    <xf numFmtId="0" fontId="0" fillId="6" borderId="0" xfId="0" applyFill="1"/>
    <xf numFmtId="0" fontId="1" fillId="6" borderId="0" xfId="3" applyFill="1"/>
    <xf numFmtId="0" fontId="0" fillId="6" borderId="0" xfId="0" applyFill="1" applyAlignment="1">
      <alignment vertical="top" wrapText="1"/>
    </xf>
    <xf numFmtId="0" fontId="0" fillId="6" borderId="0" xfId="0" applyFill="1" applyAlignment="1">
      <alignment vertical="top"/>
    </xf>
    <xf numFmtId="0" fontId="0" fillId="6" borderId="0" xfId="0" applyFill="1" applyAlignment="1">
      <alignment horizontal="left" vertical="top"/>
    </xf>
    <xf numFmtId="0" fontId="2" fillId="7" borderId="0" xfId="3" applyFont="1" applyFill="1"/>
    <xf numFmtId="0" fontId="1" fillId="7" borderId="0" xfId="3" applyFill="1"/>
    <xf numFmtId="0" fontId="2" fillId="7" borderId="0" xfId="0" applyFont="1" applyFill="1"/>
    <xf numFmtId="0" fontId="0" fillId="7" borderId="0" xfId="0" applyFill="1"/>
    <xf numFmtId="0" fontId="0" fillId="7" borderId="0" xfId="0" applyFill="1" applyAlignment="1">
      <alignment wrapText="1"/>
    </xf>
    <xf numFmtId="0" fontId="2" fillId="4" borderId="0" xfId="0" applyFont="1" applyFill="1"/>
    <xf numFmtId="164" fontId="0" fillId="3" borderId="0" xfId="2" applyNumberFormat="1" applyFont="1" applyFill="1" applyBorder="1"/>
    <xf numFmtId="164" fontId="2" fillId="4" borderId="0" xfId="2" applyNumberFormat="1" applyFont="1" applyFill="1"/>
    <xf numFmtId="43" fontId="0" fillId="0" borderId="0" xfId="1" applyFont="1" applyAlignment="1">
      <alignment horizontal="right"/>
    </xf>
    <xf numFmtId="43" fontId="0" fillId="0" borderId="0" xfId="0" applyNumberFormat="1" applyAlignment="1">
      <alignment horizontal="right"/>
    </xf>
    <xf numFmtId="0" fontId="0" fillId="0" borderId="0" xfId="0" applyAlignment="1">
      <alignment horizontal="right"/>
    </xf>
    <xf numFmtId="0" fontId="2" fillId="0" borderId="0" xfId="0" applyFont="1" applyAlignment="1">
      <alignment horizontal="right"/>
    </xf>
    <xf numFmtId="166" fontId="0" fillId="4" borderId="5" xfId="1" applyNumberFormat="1" applyFont="1" applyFill="1" applyBorder="1"/>
    <xf numFmtId="0" fontId="2" fillId="7" borderId="0" xfId="3" applyFont="1" applyFill="1" applyAlignment="1">
      <alignment horizontal="left"/>
    </xf>
    <xf numFmtId="0" fontId="8" fillId="6" borderId="0" xfId="0" applyFont="1" applyFill="1" applyAlignment="1">
      <alignment horizontal="left" wrapText="1"/>
    </xf>
    <xf numFmtId="0" fontId="0" fillId="6" borderId="0" xfId="0" applyFill="1" applyAlignment="1">
      <alignment horizontal="left" vertical="top" wrapText="1"/>
    </xf>
    <xf numFmtId="0" fontId="4" fillId="5" borderId="0" xfId="0" applyFont="1" applyFill="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3"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0" fillId="0" borderId="0" xfId="0" applyAlignment="1">
      <alignment horizontal="left"/>
    </xf>
    <xf numFmtId="0" fontId="7" fillId="5" borderId="0" xfId="0" applyFont="1" applyFill="1" applyAlignment="1">
      <alignment horizontal="center"/>
    </xf>
  </cellXfs>
  <cellStyles count="4">
    <cellStyle name="40% - Accent3" xfId="3" builtinId="39"/>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381000</xdr:colOff>
      <xdr:row>0</xdr:row>
      <xdr:rowOff>95250</xdr:rowOff>
    </xdr:from>
    <xdr:to>
      <xdr:col>15</xdr:col>
      <xdr:colOff>628650</xdr:colOff>
      <xdr:row>32</xdr:row>
      <xdr:rowOff>171450</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381000" y="95250"/>
          <a:ext cx="12447270" cy="68580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9900"/>
            <a:t>WORK IN PROGRESS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457200</xdr:colOff>
      <xdr:row>0</xdr:row>
      <xdr:rowOff>114300</xdr:rowOff>
    </xdr:from>
    <xdr:to>
      <xdr:col>16</xdr:col>
      <xdr:colOff>219075</xdr:colOff>
      <xdr:row>34</xdr:row>
      <xdr:rowOff>19050</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457200" y="114300"/>
          <a:ext cx="12372975" cy="685419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9900"/>
            <a:t>WORK IN PROGRESS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85725</xdr:rowOff>
    </xdr:from>
    <xdr:to>
      <xdr:col>16</xdr:col>
      <xdr:colOff>123825</xdr:colOff>
      <xdr:row>33</xdr:row>
      <xdr:rowOff>180975</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95250" y="85725"/>
          <a:ext cx="12380595" cy="686181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9900"/>
            <a:t>WORK IN PROGRESS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0</xdr:row>
      <xdr:rowOff>85725</xdr:rowOff>
    </xdr:from>
    <xdr:to>
      <xdr:col>16</xdr:col>
      <xdr:colOff>123825</xdr:colOff>
      <xdr:row>33</xdr:row>
      <xdr:rowOff>180975</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257175" y="85725"/>
          <a:ext cx="12393930" cy="686181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9900"/>
            <a:t>WORK IN PROGRESS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19</xdr:col>
      <xdr:colOff>571500</xdr:colOff>
      <xdr:row>38</xdr:row>
      <xdr:rowOff>76200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0" y="190500"/>
          <a:ext cx="12153900" cy="71247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9900"/>
            <a:t>WORK IN PROGRESS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2"/>
  <sheetViews>
    <sheetView tabSelected="1" workbookViewId="0">
      <selection activeCell="B4" sqref="B4"/>
    </sheetView>
  </sheetViews>
  <sheetFormatPr defaultRowHeight="14.45"/>
  <cols>
    <col min="1" max="1" width="9.140625" style="109"/>
    <col min="2" max="2" width="20.28515625" style="109" customWidth="1"/>
    <col min="3" max="3" width="53.42578125" style="109" customWidth="1"/>
    <col min="4" max="4" width="80.28515625" style="109" customWidth="1"/>
    <col min="5" max="5" width="14.28515625" style="109" bestFit="1" customWidth="1"/>
    <col min="6" max="20" width="9.140625" style="109"/>
  </cols>
  <sheetData>
    <row r="1" spans="1:21" ht="108.75" customHeight="1">
      <c r="A1" s="128" t="s">
        <v>0</v>
      </c>
      <c r="B1" s="128"/>
      <c r="C1" s="128"/>
      <c r="D1" s="128"/>
      <c r="E1" s="128"/>
      <c r="F1" s="128"/>
      <c r="G1" s="128"/>
      <c r="H1" s="108"/>
      <c r="I1" s="108"/>
      <c r="J1" s="108"/>
      <c r="K1" s="108"/>
      <c r="L1" s="108"/>
      <c r="M1" s="108"/>
      <c r="N1" s="108"/>
      <c r="O1" s="108"/>
      <c r="P1" s="108"/>
      <c r="Q1" s="108"/>
      <c r="R1" s="108"/>
      <c r="S1" s="108"/>
      <c r="T1" s="108"/>
      <c r="U1" s="88"/>
    </row>
    <row r="3" spans="1:21">
      <c r="B3" s="114" t="s">
        <v>1</v>
      </c>
      <c r="C3" s="115"/>
      <c r="D3" s="115"/>
      <c r="E3" s="115"/>
      <c r="F3" s="115"/>
      <c r="G3" s="110"/>
      <c r="H3" s="110"/>
      <c r="I3" s="110"/>
      <c r="J3" s="110"/>
      <c r="K3" s="110"/>
      <c r="L3" s="110"/>
      <c r="M3" s="110"/>
      <c r="N3" s="110"/>
      <c r="O3" s="110"/>
      <c r="P3" s="110"/>
      <c r="Q3" s="110"/>
      <c r="R3" s="110"/>
      <c r="S3" s="110"/>
      <c r="T3" s="110"/>
    </row>
    <row r="4" spans="1:21" ht="57" customHeight="1">
      <c r="C4" s="129" t="s">
        <v>2</v>
      </c>
      <c r="D4" s="129"/>
      <c r="E4" s="129"/>
      <c r="F4" s="129"/>
      <c r="G4" s="111"/>
      <c r="H4" s="111"/>
      <c r="I4" s="111"/>
      <c r="J4" s="111"/>
      <c r="K4" s="111"/>
      <c r="L4" s="111"/>
      <c r="M4" s="111"/>
      <c r="N4" s="111"/>
      <c r="O4" s="111"/>
      <c r="P4" s="111"/>
      <c r="Q4" s="111"/>
      <c r="R4" s="111"/>
      <c r="S4" s="111"/>
      <c r="T4" s="111"/>
    </row>
    <row r="6" spans="1:21">
      <c r="B6" s="116" t="s">
        <v>3</v>
      </c>
      <c r="C6" s="117"/>
      <c r="D6" s="118"/>
      <c r="E6" s="117"/>
      <c r="F6" s="117"/>
    </row>
    <row r="7" spans="1:21" ht="111" customHeight="1">
      <c r="B7" s="112" t="s">
        <v>4</v>
      </c>
      <c r="C7" s="129" t="s">
        <v>5</v>
      </c>
      <c r="D7" s="129"/>
      <c r="E7" s="129"/>
      <c r="F7" s="129"/>
      <c r="G7" s="111"/>
      <c r="H7" s="111"/>
      <c r="I7" s="111"/>
      <c r="J7" s="111"/>
      <c r="K7" s="111"/>
      <c r="L7" s="111"/>
      <c r="M7" s="111"/>
      <c r="N7" s="111"/>
      <c r="O7" s="111"/>
      <c r="P7" s="111"/>
      <c r="Q7" s="111"/>
      <c r="R7" s="111"/>
      <c r="S7" s="111"/>
      <c r="T7" s="111"/>
    </row>
    <row r="9" spans="1:21">
      <c r="B9" s="116" t="s">
        <v>6</v>
      </c>
      <c r="C9" s="117"/>
      <c r="D9" s="117"/>
      <c r="E9" s="117"/>
      <c r="F9" s="117"/>
    </row>
    <row r="10" spans="1:21">
      <c r="C10" s="109" t="s">
        <v>7</v>
      </c>
    </row>
    <row r="12" spans="1:21">
      <c r="B12" s="127" t="s">
        <v>8</v>
      </c>
      <c r="C12" s="127"/>
      <c r="D12" s="117"/>
      <c r="E12" s="117"/>
      <c r="F12" s="117"/>
    </row>
    <row r="13" spans="1:21">
      <c r="C13" s="109" t="s">
        <v>9</v>
      </c>
    </row>
    <row r="14" spans="1:21">
      <c r="C14" s="109" t="s">
        <v>10</v>
      </c>
    </row>
    <row r="15" spans="1:21" ht="28.15" customHeight="1">
      <c r="C15" s="111"/>
      <c r="D15" s="111"/>
      <c r="E15" s="113"/>
    </row>
    <row r="16" spans="1:21" ht="28.9" customHeight="1">
      <c r="C16" s="111"/>
      <c r="D16" s="111"/>
      <c r="E16" s="113"/>
    </row>
    <row r="17" spans="3:5" ht="29.45" customHeight="1">
      <c r="C17" s="111"/>
      <c r="D17" s="111"/>
      <c r="E17" s="113"/>
    </row>
    <row r="18" spans="3:5" ht="28.15" customHeight="1">
      <c r="C18" s="111"/>
      <c r="D18" s="111"/>
      <c r="E18" s="113"/>
    </row>
    <row r="19" spans="3:5" ht="28.15" customHeight="1">
      <c r="C19" s="111"/>
      <c r="D19" s="111"/>
      <c r="E19" s="113"/>
    </row>
    <row r="20" spans="3:5" ht="28.9" customHeight="1">
      <c r="C20" s="111"/>
      <c r="D20" s="111"/>
      <c r="E20" s="113"/>
    </row>
    <row r="21" spans="3:5">
      <c r="C21" s="111"/>
      <c r="D21" s="111"/>
    </row>
    <row r="22" spans="3:5">
      <c r="C22" s="111"/>
      <c r="D22" s="111"/>
    </row>
  </sheetData>
  <mergeCells count="4">
    <mergeCell ref="B12:C12"/>
    <mergeCell ref="A1:G1"/>
    <mergeCell ref="C4:F4"/>
    <mergeCell ref="C7:F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33"/>
  <sheetViews>
    <sheetView topLeftCell="A7" workbookViewId="0">
      <selection activeCell="L5" sqref="L5"/>
    </sheetView>
  </sheetViews>
  <sheetFormatPr defaultRowHeight="14.45"/>
  <cols>
    <col min="1" max="1" width="30.5703125" bestFit="1" customWidth="1"/>
    <col min="2" max="2" width="9.5703125" bestFit="1" customWidth="1"/>
    <col min="4" max="4" width="11" bestFit="1" customWidth="1"/>
    <col min="5" max="5" width="10.42578125" customWidth="1"/>
    <col min="6" max="6" width="10.140625" customWidth="1"/>
    <col min="7" max="7" width="10" customWidth="1"/>
    <col min="8" max="8" width="9.5703125" bestFit="1" customWidth="1"/>
    <col min="9" max="9" width="9.7109375" customWidth="1"/>
  </cols>
  <sheetData>
    <row r="1" spans="1:10">
      <c r="A1" s="132" t="s">
        <v>32</v>
      </c>
      <c r="B1" s="131"/>
      <c r="C1" s="131"/>
      <c r="E1" s="131" t="s">
        <v>33</v>
      </c>
      <c r="F1" s="131"/>
      <c r="G1" s="131"/>
      <c r="H1" s="131"/>
    </row>
    <row r="2" spans="1:10" ht="72">
      <c r="A2" s="1"/>
      <c r="B2" s="5" t="s">
        <v>34</v>
      </c>
      <c r="C2" s="7" t="s">
        <v>35</v>
      </c>
      <c r="D2" s="45" t="s">
        <v>36</v>
      </c>
      <c r="E2" s="47" t="s">
        <v>37</v>
      </c>
      <c r="F2" s="45" t="s">
        <v>38</v>
      </c>
      <c r="G2" s="47" t="s">
        <v>39</v>
      </c>
      <c r="H2" s="45" t="s">
        <v>40</v>
      </c>
      <c r="I2" s="18" t="s">
        <v>41</v>
      </c>
    </row>
    <row r="3" spans="1:10">
      <c r="A3" t="s">
        <v>43</v>
      </c>
      <c r="B3">
        <v>727</v>
      </c>
      <c r="D3" s="35"/>
      <c r="E3" s="48"/>
      <c r="F3" s="35"/>
      <c r="G3" s="48"/>
      <c r="H3" s="35"/>
    </row>
    <row r="4" spans="1:10">
      <c r="A4" s="3" t="s">
        <v>168</v>
      </c>
      <c r="B4" s="10" t="s">
        <v>45</v>
      </c>
      <c r="C4" s="6" t="s">
        <v>46</v>
      </c>
      <c r="D4" s="70" t="s">
        <v>45</v>
      </c>
      <c r="E4" s="63" t="s">
        <v>47</v>
      </c>
      <c r="F4" s="70" t="s">
        <v>45</v>
      </c>
      <c r="G4" s="63" t="s">
        <v>48</v>
      </c>
      <c r="H4" s="70" t="s">
        <v>45</v>
      </c>
      <c r="I4" s="71" t="s">
        <v>45</v>
      </c>
    </row>
    <row r="5" spans="1:10">
      <c r="A5" s="1" t="s">
        <v>169</v>
      </c>
      <c r="B5" s="9">
        <v>129.54057771664375</v>
      </c>
      <c r="C5" s="8">
        <f t="shared" ref="C5:C23" si="0">B5/$B$25</f>
        <v>0.12457706436531529</v>
      </c>
      <c r="D5" s="91">
        <f>$B$31*C5</f>
        <v>131.26655640007863</v>
      </c>
      <c r="E5" s="41">
        <f t="shared" ref="E5:E14" si="1">inf</f>
        <v>2.5000000000000001E-2</v>
      </c>
      <c r="F5" s="91">
        <f>D5*(1+E5)</f>
        <v>134.54822031008058</v>
      </c>
      <c r="G5" s="42">
        <v>0</v>
      </c>
      <c r="H5" s="91">
        <f>F5+G5</f>
        <v>134.54822031008058</v>
      </c>
      <c r="I5" s="93">
        <f>H5</f>
        <v>134.54822031008058</v>
      </c>
    </row>
    <row r="6" spans="1:10">
      <c r="A6" s="1" t="s">
        <v>170</v>
      </c>
      <c r="B6" s="9">
        <v>156.48005502063273</v>
      </c>
      <c r="C6" s="8">
        <f t="shared" si="0"/>
        <v>0.15048432105061407</v>
      </c>
      <c r="D6" s="91">
        <f t="shared" ref="D6:D25" si="2">$B$31*C6</f>
        <v>158.56497114582635</v>
      </c>
      <c r="E6" s="41">
        <f t="shared" si="1"/>
        <v>2.5000000000000001E-2</v>
      </c>
      <c r="F6" s="91">
        <f t="shared" ref="F6:F13" si="3">D6*(1+E6)</f>
        <v>162.52909542447199</v>
      </c>
      <c r="G6" s="42">
        <v>0</v>
      </c>
      <c r="H6" s="91">
        <f t="shared" ref="H6:H13" si="4">F6+G6</f>
        <v>162.52909542447199</v>
      </c>
      <c r="I6" s="93">
        <f t="shared" ref="I6:I24" si="5">H6</f>
        <v>162.52909542447199</v>
      </c>
    </row>
    <row r="7" spans="1:10">
      <c r="A7" s="1" t="s">
        <v>171</v>
      </c>
      <c r="B7" s="9">
        <v>158.58321870701513</v>
      </c>
      <c r="C7" s="8">
        <f t="shared" si="0"/>
        <v>0.15250689932336475</v>
      </c>
      <c r="D7" s="91">
        <f t="shared" si="2"/>
        <v>160.69615706087606</v>
      </c>
      <c r="E7" s="41">
        <f t="shared" si="1"/>
        <v>2.5000000000000001E-2</v>
      </c>
      <c r="F7" s="91">
        <f t="shared" si="3"/>
        <v>164.71356098739795</v>
      </c>
      <c r="G7" s="42">
        <v>0</v>
      </c>
      <c r="H7" s="91">
        <f t="shared" si="4"/>
        <v>164.71356098739795</v>
      </c>
      <c r="I7" s="93">
        <f t="shared" si="5"/>
        <v>164.71356098739795</v>
      </c>
    </row>
    <row r="8" spans="1:10">
      <c r="A8" s="1" t="s">
        <v>172</v>
      </c>
      <c r="B8" s="9">
        <v>132.83768913342504</v>
      </c>
      <c r="C8" s="8">
        <f t="shared" si="0"/>
        <v>0.12774784273011802</v>
      </c>
      <c r="D8" s="91">
        <f t="shared" si="2"/>
        <v>134.60759802099042</v>
      </c>
      <c r="E8" s="41">
        <f t="shared" si="1"/>
        <v>2.5000000000000001E-2</v>
      </c>
      <c r="F8" s="91">
        <f t="shared" si="3"/>
        <v>137.97278797151517</v>
      </c>
      <c r="G8" s="42">
        <v>0</v>
      </c>
      <c r="H8" s="91">
        <f t="shared" si="4"/>
        <v>137.97278797151517</v>
      </c>
      <c r="I8" s="93">
        <f t="shared" si="5"/>
        <v>137.97278797151517</v>
      </c>
    </row>
    <row r="9" spans="1:10">
      <c r="A9" s="1" t="s">
        <v>173</v>
      </c>
      <c r="B9" s="9">
        <v>53.65612104539202</v>
      </c>
      <c r="C9" s="8">
        <f t="shared" si="0"/>
        <v>5.1600217961712311E-2</v>
      </c>
      <c r="D9" s="91">
        <f t="shared" si="2"/>
        <v>54.371026928880681</v>
      </c>
      <c r="E9" s="41">
        <f t="shared" si="1"/>
        <v>2.5000000000000001E-2</v>
      </c>
      <c r="F9" s="91">
        <f t="shared" si="3"/>
        <v>55.730302602102697</v>
      </c>
      <c r="G9" s="42">
        <v>0</v>
      </c>
      <c r="H9" s="91">
        <f t="shared" si="4"/>
        <v>55.730302602102697</v>
      </c>
      <c r="I9" s="93">
        <f t="shared" si="5"/>
        <v>55.730302602102697</v>
      </c>
    </row>
    <row r="10" spans="1:10">
      <c r="A10" s="1" t="s">
        <v>174</v>
      </c>
      <c r="B10" s="9">
        <v>56.854195323246216</v>
      </c>
      <c r="C10" s="8">
        <f t="shared" si="0"/>
        <v>5.467575392256601E-2</v>
      </c>
      <c r="D10" s="91">
        <f t="shared" si="2"/>
        <v>57.611711855296996</v>
      </c>
      <c r="E10" s="41">
        <f t="shared" si="1"/>
        <v>2.5000000000000001E-2</v>
      </c>
      <c r="F10" s="91">
        <f t="shared" si="3"/>
        <v>59.052004651679418</v>
      </c>
      <c r="G10" s="42">
        <v>0</v>
      </c>
      <c r="H10" s="91">
        <f t="shared" si="4"/>
        <v>59.052004651679418</v>
      </c>
      <c r="I10" s="93">
        <f t="shared" si="5"/>
        <v>59.052004651679418</v>
      </c>
    </row>
    <row r="11" spans="1:10">
      <c r="A11" s="1" t="s">
        <v>175</v>
      </c>
      <c r="B11" s="9">
        <v>26.895460797799174</v>
      </c>
      <c r="C11" s="8">
        <f t="shared" si="0"/>
        <v>2.5864926727988125E-2</v>
      </c>
      <c r="D11" s="91">
        <f t="shared" si="2"/>
        <v>27.253811770416423</v>
      </c>
      <c r="E11" s="41">
        <f t="shared" si="1"/>
        <v>2.5000000000000001E-2</v>
      </c>
      <c r="F11" s="91">
        <f t="shared" si="3"/>
        <v>27.935157064676829</v>
      </c>
      <c r="G11" s="42">
        <v>0</v>
      </c>
      <c r="H11" s="91">
        <f t="shared" si="4"/>
        <v>27.935157064676829</v>
      </c>
      <c r="I11" s="93">
        <f t="shared" si="5"/>
        <v>27.935157064676829</v>
      </c>
    </row>
    <row r="12" spans="1:10">
      <c r="A12" s="1" t="s">
        <v>176</v>
      </c>
      <c r="B12" s="9">
        <v>38.291609353507567</v>
      </c>
      <c r="C12" s="8">
        <f t="shared" si="0"/>
        <v>3.6824417237954966E-2</v>
      </c>
      <c r="D12" s="91">
        <f t="shared" si="2"/>
        <v>38.801800852291336</v>
      </c>
      <c r="E12" s="41">
        <f t="shared" si="1"/>
        <v>2.5000000000000001E-2</v>
      </c>
      <c r="F12" s="91">
        <f t="shared" si="3"/>
        <v>39.771845873598615</v>
      </c>
      <c r="G12" s="42">
        <v>0</v>
      </c>
      <c r="H12" s="91">
        <f t="shared" si="4"/>
        <v>39.771845873598615</v>
      </c>
      <c r="I12" s="93">
        <f t="shared" si="5"/>
        <v>39.771845873598615</v>
      </c>
    </row>
    <row r="13" spans="1:10">
      <c r="A13" s="3" t="s">
        <v>177</v>
      </c>
      <c r="B13" s="65">
        <v>26.74002751031637</v>
      </c>
      <c r="C13" s="49">
        <f t="shared" si="0"/>
        <v>2.5715449066234807E-2</v>
      </c>
      <c r="D13" s="90">
        <f t="shared" si="2"/>
        <v>27.096307513777699</v>
      </c>
      <c r="E13" s="50">
        <f t="shared" si="1"/>
        <v>2.5000000000000001E-2</v>
      </c>
      <c r="F13" s="90">
        <f t="shared" si="3"/>
        <v>27.773715201622139</v>
      </c>
      <c r="G13" s="52">
        <f>500000*5/(B3*1000)</f>
        <v>3.4387895460797799</v>
      </c>
      <c r="H13" s="90">
        <f t="shared" si="4"/>
        <v>31.212504747701917</v>
      </c>
      <c r="I13" s="92">
        <f t="shared" si="5"/>
        <v>31.212504747701917</v>
      </c>
      <c r="J13" t="s">
        <v>57</v>
      </c>
    </row>
    <row r="14" spans="1:10">
      <c r="A14" s="1" t="s">
        <v>80</v>
      </c>
      <c r="B14" s="9">
        <f>SUM(B5:B13)</f>
        <v>779.87895460797813</v>
      </c>
      <c r="C14" s="8">
        <f t="shared" si="0"/>
        <v>0.74999689238586842</v>
      </c>
      <c r="D14" s="91">
        <f t="shared" si="2"/>
        <v>790.26994154843464</v>
      </c>
      <c r="E14" s="41">
        <f t="shared" si="1"/>
        <v>2.5000000000000001E-2</v>
      </c>
      <c r="F14" s="91">
        <f>SUM(F5:F13)</f>
        <v>810.02669008714543</v>
      </c>
      <c r="G14" s="42">
        <v>0</v>
      </c>
      <c r="H14" s="91">
        <f>SUM(H5:H13)</f>
        <v>813.46547963322519</v>
      </c>
      <c r="I14" s="93">
        <f>SUM(I5:I13)</f>
        <v>813.46547963322519</v>
      </c>
    </row>
    <row r="15" spans="1:10">
      <c r="A15" s="1"/>
      <c r="B15" s="9"/>
      <c r="C15" s="9"/>
      <c r="D15" s="91"/>
      <c r="E15" s="43"/>
      <c r="F15" s="91"/>
      <c r="G15" s="43"/>
      <c r="H15" s="91"/>
      <c r="I15" s="23"/>
    </row>
    <row r="16" spans="1:10">
      <c r="A16" s="3" t="s">
        <v>178</v>
      </c>
      <c r="B16" s="65"/>
      <c r="C16" s="65"/>
      <c r="D16" s="90"/>
      <c r="E16" s="72"/>
      <c r="F16" s="90"/>
      <c r="G16" s="72"/>
      <c r="H16" s="90"/>
      <c r="I16" s="89"/>
    </row>
    <row r="17" spans="1:33">
      <c r="A17" s="1" t="s">
        <v>179</v>
      </c>
      <c r="B17" s="9">
        <v>27.559834938101787</v>
      </c>
      <c r="C17" s="8">
        <f t="shared" si="0"/>
        <v>2.6503844521146118E-2</v>
      </c>
      <c r="D17" s="91">
        <f t="shared" si="2"/>
        <v>27.927037929323554</v>
      </c>
      <c r="E17" s="41">
        <f t="shared" ref="E17:E23" si="6">inf</f>
        <v>2.5000000000000001E-2</v>
      </c>
      <c r="F17" s="91">
        <f>D17*(1+E17)</f>
        <v>28.625213877556639</v>
      </c>
      <c r="G17" s="42">
        <v>0</v>
      </c>
      <c r="H17" s="91">
        <f t="shared" ref="H17:H22" si="7">F17+G17</f>
        <v>28.625213877556639</v>
      </c>
      <c r="I17" s="93">
        <f t="shared" si="5"/>
        <v>28.625213877556639</v>
      </c>
    </row>
    <row r="18" spans="1:33">
      <c r="A18" s="1" t="s">
        <v>180</v>
      </c>
      <c r="B18" s="9">
        <v>4.3108665749656119</v>
      </c>
      <c r="C18" s="8">
        <f t="shared" si="0"/>
        <v>4.1456901941141914E-3</v>
      </c>
      <c r="D18" s="91">
        <f t="shared" si="2"/>
        <v>4.3683038965112813</v>
      </c>
      <c r="E18" s="41">
        <f t="shared" si="6"/>
        <v>2.5000000000000001E-2</v>
      </c>
      <c r="F18" s="91">
        <f t="shared" ref="F18:F22" si="8">D18*(1+E18)</f>
        <v>4.4775114939240632</v>
      </c>
      <c r="G18" s="42">
        <v>0</v>
      </c>
      <c r="H18" s="91">
        <f t="shared" si="7"/>
        <v>4.4775114939240632</v>
      </c>
      <c r="I18" s="93">
        <f t="shared" si="5"/>
        <v>4.4775114939240632</v>
      </c>
    </row>
    <row r="19" spans="1:33">
      <c r="A19" s="1" t="s">
        <v>181</v>
      </c>
      <c r="B19" s="9">
        <v>1.1650618982118295</v>
      </c>
      <c r="C19" s="8">
        <f t="shared" si="0"/>
        <v>1.1204210575669177E-3</v>
      </c>
      <c r="D19" s="91">
        <f t="shared" si="2"/>
        <v>1.1805850033009109</v>
      </c>
      <c r="E19" s="41">
        <f t="shared" si="6"/>
        <v>2.5000000000000001E-2</v>
      </c>
      <c r="F19" s="91">
        <f t="shared" si="8"/>
        <v>1.2100996283834335</v>
      </c>
      <c r="G19" s="42">
        <v>0</v>
      </c>
      <c r="H19" s="91">
        <f t="shared" si="7"/>
        <v>1.2100996283834335</v>
      </c>
      <c r="I19" s="93">
        <f t="shared" si="5"/>
        <v>1.2100996283834335</v>
      </c>
    </row>
    <row r="20" spans="1:33">
      <c r="A20" s="1" t="s">
        <v>97</v>
      </c>
      <c r="B20" s="9">
        <v>0.4126547455295736</v>
      </c>
      <c r="C20" s="8">
        <f t="shared" si="0"/>
        <v>3.968433497875742E-4</v>
      </c>
      <c r="D20" s="91">
        <f t="shared" si="2"/>
        <v>0.41815289373113734</v>
      </c>
      <c r="E20" s="41">
        <f t="shared" si="6"/>
        <v>2.5000000000000001E-2</v>
      </c>
      <c r="F20" s="91">
        <f t="shared" si="8"/>
        <v>0.42860671607441575</v>
      </c>
      <c r="G20" s="42">
        <v>0</v>
      </c>
      <c r="H20" s="91">
        <f t="shared" si="7"/>
        <v>0.42860671607441575</v>
      </c>
      <c r="I20" s="93">
        <f t="shared" si="5"/>
        <v>0.42860671607441575</v>
      </c>
    </row>
    <row r="21" spans="1:33">
      <c r="A21" s="1" t="s">
        <v>182</v>
      </c>
      <c r="B21" s="9">
        <v>116.98211829436039</v>
      </c>
      <c r="C21" s="8">
        <f t="shared" si="0"/>
        <v>0.11249979842011344</v>
      </c>
      <c r="D21" s="91">
        <f t="shared" si="2"/>
        <v>118.54077000086102</v>
      </c>
      <c r="E21" s="41">
        <f t="shared" si="6"/>
        <v>2.5000000000000001E-2</v>
      </c>
      <c r="F21" s="91">
        <f t="shared" si="8"/>
        <v>121.50428925088254</v>
      </c>
      <c r="G21" s="42">
        <v>0</v>
      </c>
      <c r="H21" s="91">
        <f t="shared" si="7"/>
        <v>121.50428925088254</v>
      </c>
      <c r="I21" s="93">
        <f t="shared" si="5"/>
        <v>121.50428925088254</v>
      </c>
    </row>
    <row r="22" spans="1:33">
      <c r="A22" s="1" t="s">
        <v>183</v>
      </c>
      <c r="B22" s="9">
        <v>21.056396148555709</v>
      </c>
      <c r="C22" s="8">
        <f t="shared" si="0"/>
        <v>2.0249593328493951E-2</v>
      </c>
      <c r="D22" s="91">
        <f t="shared" si="2"/>
        <v>21.336948324120833</v>
      </c>
      <c r="E22" s="41">
        <f t="shared" si="6"/>
        <v>2.5000000000000001E-2</v>
      </c>
      <c r="F22" s="91">
        <f t="shared" si="8"/>
        <v>21.870372032223852</v>
      </c>
      <c r="G22" s="42">
        <v>0</v>
      </c>
      <c r="H22" s="91">
        <f t="shared" si="7"/>
        <v>21.870372032223852</v>
      </c>
      <c r="I22" s="93">
        <f t="shared" si="5"/>
        <v>21.870372032223852</v>
      </c>
    </row>
    <row r="23" spans="1:33">
      <c r="A23" s="1" t="s">
        <v>184</v>
      </c>
      <c r="B23" s="9">
        <f>SUM(B17:B22,B14)</f>
        <v>951.36588720770305</v>
      </c>
      <c r="C23" s="8">
        <f t="shared" si="0"/>
        <v>0.91491308325709064</v>
      </c>
      <c r="D23" s="91">
        <f t="shared" si="2"/>
        <v>964.04173959628349</v>
      </c>
      <c r="E23" s="41">
        <f t="shared" si="6"/>
        <v>2.5000000000000001E-2</v>
      </c>
      <c r="F23" s="91">
        <f>SUM(F17:F22,F14)</f>
        <v>988.14278308619032</v>
      </c>
      <c r="G23" s="42">
        <v>0</v>
      </c>
      <c r="H23" s="91">
        <f>SUM(H17:H22,H14)</f>
        <v>991.58157263227008</v>
      </c>
      <c r="I23" s="93">
        <f>SUM(I17:I22,I14)</f>
        <v>991.58157263227008</v>
      </c>
    </row>
    <row r="24" spans="1:33">
      <c r="A24" s="3" t="s">
        <v>185</v>
      </c>
      <c r="B24" s="65">
        <v>1.093</v>
      </c>
      <c r="C24" s="65">
        <v>1.093</v>
      </c>
      <c r="D24" s="90">
        <f t="shared" si="2"/>
        <v>1151.6915001669604</v>
      </c>
      <c r="E24" s="72">
        <v>1.093</v>
      </c>
      <c r="F24" s="90">
        <v>1.093</v>
      </c>
      <c r="G24" s="72">
        <v>1.093</v>
      </c>
      <c r="H24" s="90">
        <v>1.093</v>
      </c>
      <c r="I24" s="92">
        <f t="shared" si="5"/>
        <v>1.093</v>
      </c>
    </row>
    <row r="25" spans="1:33">
      <c r="A25" s="22" t="s">
        <v>186</v>
      </c>
      <c r="B25" s="68">
        <f>B23*B24</f>
        <v>1039.8429147180193</v>
      </c>
      <c r="C25" s="69">
        <f>B25/$B$25</f>
        <v>1</v>
      </c>
      <c r="D25" s="96">
        <f t="shared" si="2"/>
        <v>1053.6976213787377</v>
      </c>
      <c r="E25" s="75">
        <f>inf</f>
        <v>2.5000000000000001E-2</v>
      </c>
      <c r="F25" s="96">
        <f>F23*F24</f>
        <v>1080.040061913206</v>
      </c>
      <c r="G25" s="77">
        <v>0</v>
      </c>
      <c r="H25" s="96">
        <f>H23*H24</f>
        <v>1083.7986588870713</v>
      </c>
      <c r="I25" s="98">
        <f>I23*I24</f>
        <v>1083.7986588870713</v>
      </c>
    </row>
    <row r="27" spans="1:33" ht="14.45" customHeight="1">
      <c r="A27" s="130" t="s">
        <v>67</v>
      </c>
      <c r="B27" s="130"/>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row>
    <row r="28" spans="1:33" ht="14.45" customHeight="1">
      <c r="A28" s="130"/>
      <c r="B28" s="130"/>
      <c r="C28" s="38"/>
      <c r="D28" s="38" t="s">
        <v>187</v>
      </c>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row>
    <row r="30" spans="1:33">
      <c r="A30" t="s">
        <v>12</v>
      </c>
      <c r="B30">
        <v>2019</v>
      </c>
      <c r="C30">
        <v>2020</v>
      </c>
      <c r="D30">
        <v>2021</v>
      </c>
      <c r="E30">
        <v>2022</v>
      </c>
      <c r="F30">
        <v>2023</v>
      </c>
      <c r="G30">
        <v>2024</v>
      </c>
      <c r="H30">
        <v>2025</v>
      </c>
      <c r="I30">
        <v>2026</v>
      </c>
      <c r="J30">
        <v>2027</v>
      </c>
      <c r="K30">
        <v>2028</v>
      </c>
      <c r="L30">
        <v>2029</v>
      </c>
      <c r="M30">
        <v>2030</v>
      </c>
      <c r="N30">
        <v>2031</v>
      </c>
      <c r="O30">
        <v>2032</v>
      </c>
      <c r="P30">
        <v>2033</v>
      </c>
      <c r="Q30">
        <v>2034</v>
      </c>
      <c r="R30">
        <v>2035</v>
      </c>
      <c r="S30">
        <v>2036</v>
      </c>
      <c r="T30">
        <v>2037</v>
      </c>
      <c r="U30">
        <v>2038</v>
      </c>
      <c r="V30">
        <v>2039</v>
      </c>
      <c r="W30">
        <v>2040</v>
      </c>
      <c r="X30">
        <v>2041</v>
      </c>
      <c r="Y30">
        <v>2042</v>
      </c>
      <c r="Z30">
        <v>2043</v>
      </c>
      <c r="AA30">
        <v>2044</v>
      </c>
      <c r="AB30">
        <v>2045</v>
      </c>
      <c r="AC30">
        <v>2046</v>
      </c>
      <c r="AD30">
        <v>2047</v>
      </c>
      <c r="AE30">
        <v>2048</v>
      </c>
      <c r="AF30">
        <v>2049</v>
      </c>
      <c r="AG30">
        <v>2050</v>
      </c>
    </row>
    <row r="31" spans="1:33">
      <c r="A31" t="s">
        <v>106</v>
      </c>
      <c r="B31" s="9">
        <v>1053.6976213787377</v>
      </c>
      <c r="C31" s="9">
        <v>1049.3117832044245</v>
      </c>
      <c r="D31" s="9">
        <v>1043.829485486533</v>
      </c>
      <c r="E31" s="9">
        <v>1041.6365663993765</v>
      </c>
      <c r="F31" s="9">
        <v>1029.5755114200153</v>
      </c>
      <c r="G31" s="9">
        <v>1025.1896732457021</v>
      </c>
      <c r="H31" s="9">
        <v>1025.1896732457021</v>
      </c>
      <c r="I31" s="9">
        <v>1020.803835071389</v>
      </c>
      <c r="J31" s="9">
        <v>1012.0321587227627</v>
      </c>
      <c r="K31" s="9">
        <v>1007.6463205484496</v>
      </c>
      <c r="L31" s="9">
        <v>1003.2604823741364</v>
      </c>
      <c r="M31" s="9">
        <v>998.87464419982325</v>
      </c>
      <c r="N31" s="9">
        <v>995.58526556908828</v>
      </c>
      <c r="O31" s="9">
        <v>991.19942739477517</v>
      </c>
      <c r="P31" s="9">
        <v>984.62067013330545</v>
      </c>
      <c r="Q31" s="9">
        <v>981.33129150257059</v>
      </c>
      <c r="R31" s="9">
        <v>976.94545332825737</v>
      </c>
      <c r="S31" s="9">
        <v>971.4631556103659</v>
      </c>
      <c r="T31" s="9">
        <v>967.07731743605279</v>
      </c>
      <c r="U31" s="9">
        <v>963.78793880531794</v>
      </c>
      <c r="V31" s="9">
        <v>959.40210063100471</v>
      </c>
      <c r="W31" s="9">
        <v>955.01626245669161</v>
      </c>
      <c r="X31" s="9">
        <v>950.63042428237839</v>
      </c>
      <c r="Y31" s="9">
        <v>946.24458610806528</v>
      </c>
      <c r="Z31" s="9">
        <v>942.9552074773303</v>
      </c>
      <c r="AA31" s="9">
        <v>938.5693693030172</v>
      </c>
      <c r="AB31" s="9">
        <v>935.27999067228234</v>
      </c>
      <c r="AC31" s="9">
        <v>931.99061204154748</v>
      </c>
      <c r="AD31" s="9">
        <v>927.60477386723426</v>
      </c>
      <c r="AE31" s="9">
        <v>922.12247614934279</v>
      </c>
      <c r="AF31" s="9">
        <v>917.73663797502968</v>
      </c>
      <c r="AG31" s="9">
        <v>906.77204253924674</v>
      </c>
    </row>
    <row r="32" spans="1:33">
      <c r="A32" t="s">
        <v>69</v>
      </c>
      <c r="B32" s="16" t="s">
        <v>70</v>
      </c>
      <c r="C32" s="15">
        <f>1-(C31/B31)</f>
        <v>4.1623309053070434E-3</v>
      </c>
      <c r="D32" s="15">
        <f t="shared" ref="D32:AG32" si="9">1-(D31/C31)</f>
        <v>5.2246603970742544E-3</v>
      </c>
      <c r="E32" s="15">
        <f t="shared" si="9"/>
        <v>2.1008403361343353E-3</v>
      </c>
      <c r="F32" s="15">
        <f t="shared" si="9"/>
        <v>1.1578947368421022E-2</v>
      </c>
      <c r="G32" s="15">
        <f t="shared" si="9"/>
        <v>4.2598509052184097E-3</v>
      </c>
      <c r="H32" s="15">
        <f t="shared" si="9"/>
        <v>0</v>
      </c>
      <c r="I32" s="15">
        <f t="shared" si="9"/>
        <v>4.2780748663101553E-3</v>
      </c>
      <c r="J32" s="15">
        <f t="shared" si="9"/>
        <v>8.5929108485499617E-3</v>
      </c>
      <c r="K32" s="15">
        <f t="shared" si="9"/>
        <v>4.3336944745394623E-3</v>
      </c>
      <c r="L32" s="15">
        <f t="shared" si="9"/>
        <v>4.3525571273123065E-3</v>
      </c>
      <c r="M32" s="15">
        <f t="shared" si="9"/>
        <v>4.3715846994535346E-3</v>
      </c>
      <c r="N32" s="15">
        <f t="shared" si="9"/>
        <v>3.293084522502876E-3</v>
      </c>
      <c r="O32" s="15">
        <f t="shared" si="9"/>
        <v>4.405286343612258E-3</v>
      </c>
      <c r="P32" s="15">
        <f t="shared" si="9"/>
        <v>6.6371681415928752E-3</v>
      </c>
      <c r="Q32" s="15">
        <f t="shared" si="9"/>
        <v>3.3407572383072903E-3</v>
      </c>
      <c r="R32" s="15">
        <f t="shared" si="9"/>
        <v>4.4692737430168661E-3</v>
      </c>
      <c r="S32" s="15">
        <f t="shared" si="9"/>
        <v>5.6116722783389195E-3</v>
      </c>
      <c r="T32" s="15">
        <f t="shared" si="9"/>
        <v>4.5146726862301811E-3</v>
      </c>
      <c r="U32" s="15">
        <f t="shared" si="9"/>
        <v>3.4013605442176909E-3</v>
      </c>
      <c r="V32" s="15">
        <f t="shared" si="9"/>
        <v>4.5506257110353721E-3</v>
      </c>
      <c r="W32" s="15">
        <f t="shared" si="9"/>
        <v>4.5714285714285596E-3</v>
      </c>
      <c r="X32" s="15">
        <f t="shared" si="9"/>
        <v>4.5924225028702859E-3</v>
      </c>
      <c r="Y32" s="15">
        <f t="shared" si="9"/>
        <v>4.6136101499422155E-3</v>
      </c>
      <c r="Z32" s="15">
        <f t="shared" si="9"/>
        <v>3.4762456546930665E-3</v>
      </c>
      <c r="AA32" s="15">
        <f t="shared" si="9"/>
        <v>4.6511627906976605E-3</v>
      </c>
      <c r="AB32" s="15">
        <f t="shared" si="9"/>
        <v>3.5046728971962482E-3</v>
      </c>
      <c r="AC32" s="15">
        <f t="shared" si="9"/>
        <v>3.5169988276670949E-3</v>
      </c>
      <c r="AD32" s="15">
        <f t="shared" si="9"/>
        <v>4.7058823529412264E-3</v>
      </c>
      <c r="AE32" s="15">
        <f t="shared" si="9"/>
        <v>5.9101654846336338E-3</v>
      </c>
      <c r="AF32" s="15">
        <f t="shared" si="9"/>
        <v>4.7562425683709275E-3</v>
      </c>
      <c r="AG32" s="15">
        <f t="shared" si="9"/>
        <v>1.1947431302270051E-2</v>
      </c>
    </row>
    <row r="33" spans="1:33">
      <c r="A33" t="s">
        <v>71</v>
      </c>
      <c r="B33" s="104">
        <f>I25</f>
        <v>1083.7986588870713</v>
      </c>
      <c r="C33" s="9">
        <f>B33*(1-C32)</f>
        <v>1079.2875302340553</v>
      </c>
      <c r="D33" s="9">
        <f t="shared" ref="D33:AG33" si="10">C33*(1-D32)</f>
        <v>1073.6486194177853</v>
      </c>
      <c r="E33" s="9">
        <f t="shared" si="10"/>
        <v>1071.3930550912776</v>
      </c>
      <c r="F33" s="9">
        <f t="shared" si="10"/>
        <v>1058.9874512954839</v>
      </c>
      <c r="G33" s="9">
        <f t="shared" si="10"/>
        <v>1054.4763226424679</v>
      </c>
      <c r="H33" s="9">
        <f t="shared" si="10"/>
        <v>1054.4763226424679</v>
      </c>
      <c r="I33" s="9">
        <f t="shared" si="10"/>
        <v>1049.965193989452</v>
      </c>
      <c r="J33" s="9">
        <f t="shared" si="10"/>
        <v>1040.9429366834202</v>
      </c>
      <c r="K33" s="9">
        <f t="shared" si="10"/>
        <v>1036.4318080304042</v>
      </c>
      <c r="L33" s="9">
        <f t="shared" si="10"/>
        <v>1031.9206793773883</v>
      </c>
      <c r="M33" s="9">
        <f t="shared" si="10"/>
        <v>1027.4095507243724</v>
      </c>
      <c r="N33" s="9">
        <f t="shared" si="10"/>
        <v>1024.0262042346103</v>
      </c>
      <c r="O33" s="9">
        <f t="shared" si="10"/>
        <v>1019.5150755815945</v>
      </c>
      <c r="P33" s="9">
        <f t="shared" si="10"/>
        <v>1012.7483826020707</v>
      </c>
      <c r="Q33" s="9">
        <f t="shared" si="10"/>
        <v>1009.3650361123089</v>
      </c>
      <c r="R33" s="9">
        <f t="shared" si="10"/>
        <v>1004.8539074592928</v>
      </c>
      <c r="S33" s="9">
        <f t="shared" si="10"/>
        <v>999.21499664302303</v>
      </c>
      <c r="T33" s="9">
        <f t="shared" si="10"/>
        <v>994.70386799000721</v>
      </c>
      <c r="U33" s="9">
        <f t="shared" si="10"/>
        <v>991.32052150024526</v>
      </c>
      <c r="V33" s="9">
        <f t="shared" si="10"/>
        <v>986.80939284722922</v>
      </c>
      <c r="W33" s="9">
        <f t="shared" si="10"/>
        <v>982.29826419421329</v>
      </c>
      <c r="X33" s="9">
        <f t="shared" si="10"/>
        <v>977.78713554119736</v>
      </c>
      <c r="Y33" s="9">
        <f t="shared" si="10"/>
        <v>973.27600688818154</v>
      </c>
      <c r="Z33" s="9">
        <f t="shared" si="10"/>
        <v>969.89266039841948</v>
      </c>
      <c r="AA33" s="9">
        <f t="shared" si="10"/>
        <v>965.38153174540355</v>
      </c>
      <c r="AB33" s="9">
        <f t="shared" si="10"/>
        <v>961.9981852556416</v>
      </c>
      <c r="AC33" s="9">
        <f t="shared" si="10"/>
        <v>958.61483876587965</v>
      </c>
      <c r="AD33" s="9">
        <f t="shared" si="10"/>
        <v>954.10371011286372</v>
      </c>
      <c r="AE33" s="9">
        <f t="shared" si="10"/>
        <v>948.46479929659381</v>
      </c>
      <c r="AF33" s="9">
        <f t="shared" si="10"/>
        <v>943.95367064357799</v>
      </c>
      <c r="AG33" s="9">
        <f t="shared" si="10"/>
        <v>932.67584901103817</v>
      </c>
    </row>
  </sheetData>
  <mergeCells count="3">
    <mergeCell ref="A27:B28"/>
    <mergeCell ref="A1:C1"/>
    <mergeCell ref="E1:H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27"/>
  <sheetViews>
    <sheetView workbookViewId="0">
      <selection activeCell="M2" sqref="M2"/>
    </sheetView>
  </sheetViews>
  <sheetFormatPr defaultRowHeight="14.45"/>
  <cols>
    <col min="1" max="1" width="31.7109375" bestFit="1" customWidth="1"/>
    <col min="2" max="2" width="11.28515625" bestFit="1" customWidth="1"/>
    <col min="4" max="4" width="11" bestFit="1" customWidth="1"/>
    <col min="5" max="5" width="10.7109375" customWidth="1"/>
    <col min="6" max="6" width="10.42578125" customWidth="1"/>
    <col min="7" max="7" width="10.7109375" customWidth="1"/>
    <col min="8" max="8" width="12.7109375" customWidth="1"/>
    <col min="9" max="9" width="10.28515625" customWidth="1"/>
    <col min="10" max="10" width="10" customWidth="1"/>
    <col min="11" max="11" width="10.140625" customWidth="1"/>
    <col min="12" max="12" width="9.7109375" customWidth="1"/>
  </cols>
  <sheetData>
    <row r="1" spans="1:12">
      <c r="A1" s="132" t="s">
        <v>32</v>
      </c>
      <c r="B1" s="131"/>
      <c r="C1" s="131"/>
      <c r="E1" s="131" t="s">
        <v>33</v>
      </c>
      <c r="F1" s="131"/>
      <c r="G1" s="131"/>
      <c r="H1" s="131"/>
      <c r="I1" s="131"/>
      <c r="J1" s="131"/>
    </row>
    <row r="2" spans="1:12" ht="88.9" customHeight="1">
      <c r="A2" s="1"/>
      <c r="B2" s="5" t="s">
        <v>34</v>
      </c>
      <c r="C2" s="7" t="s">
        <v>35</v>
      </c>
      <c r="D2" s="45" t="s">
        <v>36</v>
      </c>
      <c r="E2" s="47" t="s">
        <v>37</v>
      </c>
      <c r="F2" s="45" t="s">
        <v>38</v>
      </c>
      <c r="G2" s="47" t="s">
        <v>188</v>
      </c>
      <c r="H2" s="45" t="s">
        <v>40</v>
      </c>
      <c r="I2" s="47" t="s">
        <v>189</v>
      </c>
      <c r="J2" s="45" t="s">
        <v>118</v>
      </c>
      <c r="K2" s="18" t="s">
        <v>41</v>
      </c>
    </row>
    <row r="3" spans="1:12">
      <c r="A3" t="s">
        <v>43</v>
      </c>
      <c r="B3">
        <v>233</v>
      </c>
      <c r="D3" s="35"/>
      <c r="E3" s="48"/>
      <c r="F3" s="35"/>
      <c r="G3" s="48"/>
      <c r="H3" s="35"/>
      <c r="I3" s="48"/>
      <c r="J3" s="35"/>
    </row>
    <row r="4" spans="1:12">
      <c r="A4" s="6" t="s">
        <v>190</v>
      </c>
      <c r="B4" s="6" t="s">
        <v>191</v>
      </c>
      <c r="C4" s="10" t="s">
        <v>46</v>
      </c>
      <c r="D4" s="70" t="s">
        <v>45</v>
      </c>
      <c r="E4" s="73" t="s">
        <v>47</v>
      </c>
      <c r="F4" s="70" t="s">
        <v>45</v>
      </c>
      <c r="G4" s="73" t="s">
        <v>48</v>
      </c>
      <c r="H4" s="70" t="s">
        <v>45</v>
      </c>
      <c r="I4" s="73" t="s">
        <v>48</v>
      </c>
      <c r="J4" s="70" t="s">
        <v>45</v>
      </c>
      <c r="K4" s="71" t="s">
        <v>45</v>
      </c>
    </row>
    <row r="5" spans="1:12">
      <c r="A5" t="s">
        <v>192</v>
      </c>
      <c r="B5" s="24">
        <v>12300</v>
      </c>
      <c r="C5" s="8">
        <f t="shared" ref="C5:C18" si="0">B5/$B$19</f>
        <v>7.4190240665902643E-2</v>
      </c>
      <c r="D5" s="91">
        <f>$B$25*C5</f>
        <v>69.4699941953983</v>
      </c>
      <c r="E5" s="41">
        <f t="shared" ref="E5:E19" si="1">inf</f>
        <v>2.5000000000000001E-2</v>
      </c>
      <c r="F5" s="36">
        <f t="shared" ref="F5:F16" si="2">D5*(1+E5)</f>
        <v>71.206744050283248</v>
      </c>
      <c r="G5" s="42" t="s">
        <v>70</v>
      </c>
      <c r="H5" s="91">
        <f>F5</f>
        <v>71.206744050283248</v>
      </c>
      <c r="I5" s="42" t="s">
        <v>70</v>
      </c>
      <c r="J5" s="91">
        <f>H5</f>
        <v>71.206744050283248</v>
      </c>
      <c r="K5" s="93">
        <f>J5</f>
        <v>71.206744050283248</v>
      </c>
    </row>
    <row r="6" spans="1:12">
      <c r="A6" t="s">
        <v>193</v>
      </c>
      <c r="B6" s="24">
        <v>54000</v>
      </c>
      <c r="C6" s="8">
        <f t="shared" si="0"/>
        <v>0.32571325170396287</v>
      </c>
      <c r="D6" s="91">
        <f t="shared" ref="D6:D19" si="3">$B$25*C6</f>
        <v>304.99021841882188</v>
      </c>
      <c r="E6" s="41">
        <f t="shared" si="1"/>
        <v>2.5000000000000001E-2</v>
      </c>
      <c r="F6" s="36">
        <f t="shared" si="2"/>
        <v>312.61497387929239</v>
      </c>
      <c r="G6" s="42" t="s">
        <v>70</v>
      </c>
      <c r="H6" s="91">
        <f t="shared" ref="H6:H18" si="4">F6</f>
        <v>312.61497387929239</v>
      </c>
      <c r="I6" s="42" t="s">
        <v>70</v>
      </c>
      <c r="J6" s="91">
        <f t="shared" ref="J6:J11" si="5">H6</f>
        <v>312.61497387929239</v>
      </c>
      <c r="K6" s="93">
        <f t="shared" ref="K6:K18" si="6">J6</f>
        <v>312.61497387929239</v>
      </c>
    </row>
    <row r="7" spans="1:12">
      <c r="A7" t="s">
        <v>194</v>
      </c>
      <c r="B7" s="24">
        <v>17200</v>
      </c>
      <c r="C7" s="8">
        <f t="shared" si="0"/>
        <v>0.10374570239459557</v>
      </c>
      <c r="D7" s="91">
        <f t="shared" si="3"/>
        <v>97.145032533402514</v>
      </c>
      <c r="E7" s="41">
        <f t="shared" si="1"/>
        <v>2.5000000000000001E-2</v>
      </c>
      <c r="F7" s="36">
        <f t="shared" si="2"/>
        <v>99.573658346737574</v>
      </c>
      <c r="G7" s="57">
        <f>15000000/(B3*1000)</f>
        <v>64.377682403433482</v>
      </c>
      <c r="H7" s="91">
        <f>F7+G7</f>
        <v>163.95134075017106</v>
      </c>
      <c r="I7" s="42" t="s">
        <v>70</v>
      </c>
      <c r="J7" s="91">
        <f t="shared" si="5"/>
        <v>163.95134075017106</v>
      </c>
      <c r="K7" s="93">
        <f t="shared" si="6"/>
        <v>163.95134075017106</v>
      </c>
      <c r="L7" t="s">
        <v>195</v>
      </c>
    </row>
    <row r="8" spans="1:12">
      <c r="A8" t="s">
        <v>196</v>
      </c>
      <c r="B8" s="24">
        <v>71200</v>
      </c>
      <c r="C8" s="8">
        <f t="shared" si="0"/>
        <v>0.42945895409855844</v>
      </c>
      <c r="D8" s="91">
        <f t="shared" si="3"/>
        <v>402.13525095222434</v>
      </c>
      <c r="E8" s="41">
        <f t="shared" si="1"/>
        <v>2.5000000000000001E-2</v>
      </c>
      <c r="F8" s="36">
        <f t="shared" si="2"/>
        <v>412.18863222602994</v>
      </c>
      <c r="G8" s="42" t="s">
        <v>70</v>
      </c>
      <c r="H8" s="91">
        <f t="shared" si="4"/>
        <v>412.18863222602994</v>
      </c>
      <c r="I8" s="42" t="s">
        <v>70</v>
      </c>
      <c r="J8" s="91">
        <f t="shared" si="5"/>
        <v>412.18863222602994</v>
      </c>
      <c r="K8" s="93">
        <f t="shared" si="6"/>
        <v>412.18863222602994</v>
      </c>
    </row>
    <row r="9" spans="1:12">
      <c r="A9" t="s">
        <v>197</v>
      </c>
      <c r="B9" s="24">
        <v>20200</v>
      </c>
      <c r="C9" s="8">
        <f t="shared" si="0"/>
        <v>0.12184088304481573</v>
      </c>
      <c r="D9" s="91">
        <f t="shared" si="3"/>
        <v>114.08893355667038</v>
      </c>
      <c r="E9" s="41">
        <f t="shared" si="1"/>
        <v>2.5000000000000001E-2</v>
      </c>
      <c r="F9" s="36">
        <f t="shared" si="2"/>
        <v>116.94115689558713</v>
      </c>
      <c r="G9" s="42" t="s">
        <v>70</v>
      </c>
      <c r="H9" s="91">
        <f t="shared" si="4"/>
        <v>116.94115689558713</v>
      </c>
      <c r="I9" s="42" t="s">
        <v>70</v>
      </c>
      <c r="J9" s="91">
        <f>H9</f>
        <v>116.94115689558713</v>
      </c>
      <c r="K9" s="93">
        <f t="shared" si="6"/>
        <v>116.94115689558713</v>
      </c>
    </row>
    <row r="10" spans="1:12">
      <c r="A10" t="s">
        <v>198</v>
      </c>
      <c r="B10" s="24">
        <v>1900</v>
      </c>
      <c r="C10" s="8">
        <f t="shared" si="0"/>
        <v>1.1460281078472767E-2</v>
      </c>
      <c r="D10" s="91">
        <f t="shared" si="3"/>
        <v>10.731137314736324</v>
      </c>
      <c r="E10" s="41">
        <f t="shared" si="1"/>
        <v>2.5000000000000001E-2</v>
      </c>
      <c r="F10" s="36">
        <f t="shared" si="2"/>
        <v>10.999415747604731</v>
      </c>
      <c r="G10" s="42" t="s">
        <v>70</v>
      </c>
      <c r="H10" s="91">
        <f t="shared" si="4"/>
        <v>10.999415747604731</v>
      </c>
      <c r="I10" s="42" t="s">
        <v>70</v>
      </c>
      <c r="J10" s="91">
        <f t="shared" si="5"/>
        <v>10.999415747604731</v>
      </c>
      <c r="K10" s="93">
        <f t="shared" si="6"/>
        <v>10.999415747604731</v>
      </c>
    </row>
    <row r="11" spans="1:12">
      <c r="A11" t="s">
        <v>199</v>
      </c>
      <c r="B11" s="24">
        <v>12270</v>
      </c>
      <c r="C11" s="8">
        <f t="shared" si="0"/>
        <v>7.4009288859400446E-2</v>
      </c>
      <c r="D11" s="91">
        <f t="shared" si="3"/>
        <v>69.300555185165621</v>
      </c>
      <c r="E11" s="41">
        <f t="shared" si="1"/>
        <v>2.5000000000000001E-2</v>
      </c>
      <c r="F11" s="36">
        <f t="shared" si="2"/>
        <v>71.033069064794759</v>
      </c>
      <c r="G11" s="42" t="s">
        <v>70</v>
      </c>
      <c r="H11" s="91">
        <f t="shared" si="4"/>
        <v>71.033069064794759</v>
      </c>
      <c r="I11" s="42" t="s">
        <v>70</v>
      </c>
      <c r="J11" s="91">
        <f t="shared" si="5"/>
        <v>71.033069064794759</v>
      </c>
      <c r="K11" s="93">
        <f t="shared" si="6"/>
        <v>71.033069064794759</v>
      </c>
    </row>
    <row r="12" spans="1:12">
      <c r="A12" s="6" t="s">
        <v>200</v>
      </c>
      <c r="B12" s="29">
        <v>134970</v>
      </c>
      <c r="C12" s="49">
        <f t="shared" si="0"/>
        <v>0.81410217745340496</v>
      </c>
      <c r="D12" s="90">
        <f t="shared" si="3"/>
        <v>762.30610703682191</v>
      </c>
      <c r="E12" s="50">
        <f t="shared" si="1"/>
        <v>2.5000000000000001E-2</v>
      </c>
      <c r="F12" s="51">
        <f t="shared" si="2"/>
        <v>781.36375971274242</v>
      </c>
      <c r="G12" s="52" t="s">
        <v>70</v>
      </c>
      <c r="H12" s="90">
        <f>SUM(H5,H7:H11)</f>
        <v>846.32035873447091</v>
      </c>
      <c r="I12" s="52" t="s">
        <v>70</v>
      </c>
      <c r="J12" s="90">
        <f>SUM(J5,J7:J11)</f>
        <v>846.32035873447091</v>
      </c>
      <c r="K12" s="92">
        <f>SUM(K5,K7:K11)</f>
        <v>846.32035873447091</v>
      </c>
    </row>
    <row r="13" spans="1:12">
      <c r="A13" t="s">
        <v>201</v>
      </c>
      <c r="B13" s="24">
        <v>9448</v>
      </c>
      <c r="C13" s="8">
        <f t="shared" si="0"/>
        <v>5.6987755594426683E-2</v>
      </c>
      <c r="D13" s="91">
        <f t="shared" si="3"/>
        <v>53.361992289278305</v>
      </c>
      <c r="E13" s="41">
        <f t="shared" si="1"/>
        <v>2.5000000000000001E-2</v>
      </c>
      <c r="F13" s="36">
        <f t="shared" si="2"/>
        <v>54.696042096510261</v>
      </c>
      <c r="G13" s="42" t="s">
        <v>70</v>
      </c>
      <c r="H13" s="91">
        <f t="shared" si="4"/>
        <v>54.696042096510261</v>
      </c>
      <c r="I13" s="42" t="s">
        <v>70</v>
      </c>
      <c r="J13" s="91">
        <f>H13</f>
        <v>54.696042096510261</v>
      </c>
      <c r="K13" s="93">
        <f t="shared" si="6"/>
        <v>54.696042096510261</v>
      </c>
    </row>
    <row r="14" spans="1:12">
      <c r="A14" t="s">
        <v>97</v>
      </c>
      <c r="B14" s="24">
        <v>600</v>
      </c>
      <c r="C14" s="8">
        <f t="shared" si="0"/>
        <v>3.6190361300440315E-3</v>
      </c>
      <c r="D14" s="91">
        <f t="shared" si="3"/>
        <v>3.388780204653576</v>
      </c>
      <c r="E14" s="41">
        <f t="shared" si="1"/>
        <v>2.5000000000000001E-2</v>
      </c>
      <c r="F14" s="36">
        <f t="shared" si="2"/>
        <v>3.4734997097699152</v>
      </c>
      <c r="G14" s="42" t="s">
        <v>70</v>
      </c>
      <c r="H14" s="91">
        <f t="shared" si="4"/>
        <v>3.4734997097699152</v>
      </c>
      <c r="I14" s="42" t="s">
        <v>70</v>
      </c>
      <c r="J14" s="91">
        <f t="shared" ref="J14:J18" si="7">H14</f>
        <v>3.4734997097699152</v>
      </c>
      <c r="K14" s="93">
        <f t="shared" si="6"/>
        <v>3.4734997097699152</v>
      </c>
    </row>
    <row r="15" spans="1:12">
      <c r="A15" t="s">
        <v>202</v>
      </c>
      <c r="B15" s="24">
        <v>1200</v>
      </c>
      <c r="C15" s="8">
        <f t="shared" si="0"/>
        <v>7.238072260088063E-3</v>
      </c>
      <c r="D15" s="91">
        <f t="shared" si="3"/>
        <v>6.777560409307152</v>
      </c>
      <c r="E15" s="41">
        <f t="shared" si="1"/>
        <v>2.5000000000000001E-2</v>
      </c>
      <c r="F15" s="36">
        <f t="shared" si="2"/>
        <v>6.9469994195398304</v>
      </c>
      <c r="G15" s="42" t="s">
        <v>70</v>
      </c>
      <c r="H15" s="91">
        <f t="shared" si="4"/>
        <v>6.9469994195398304</v>
      </c>
      <c r="I15" s="42">
        <f>500000*5/(B3*1000)</f>
        <v>10.729613733905579</v>
      </c>
      <c r="J15" s="91">
        <f>H15+I15</f>
        <v>17.676613153445409</v>
      </c>
      <c r="K15" s="93">
        <f t="shared" si="6"/>
        <v>17.676613153445409</v>
      </c>
      <c r="L15" t="s">
        <v>57</v>
      </c>
    </row>
    <row r="16" spans="1:12">
      <c r="A16" t="s">
        <v>203</v>
      </c>
      <c r="B16" s="24">
        <v>4500</v>
      </c>
      <c r="C16" s="8">
        <f t="shared" si="0"/>
        <v>2.7142770975330237E-2</v>
      </c>
      <c r="D16" s="91">
        <f t="shared" si="3"/>
        <v>25.415851534901819</v>
      </c>
      <c r="E16" s="41">
        <f t="shared" si="1"/>
        <v>2.5000000000000001E-2</v>
      </c>
      <c r="F16" s="36">
        <f t="shared" si="2"/>
        <v>26.051247823274363</v>
      </c>
      <c r="G16" s="42" t="s">
        <v>70</v>
      </c>
      <c r="H16" s="91">
        <f t="shared" si="4"/>
        <v>26.051247823274363</v>
      </c>
      <c r="I16" s="42" t="s">
        <v>70</v>
      </c>
      <c r="J16" s="91">
        <f t="shared" si="7"/>
        <v>26.051247823274363</v>
      </c>
      <c r="K16" s="93">
        <f t="shared" si="6"/>
        <v>26.051247823274363</v>
      </c>
    </row>
    <row r="17" spans="1:33">
      <c r="A17" t="s">
        <v>204</v>
      </c>
      <c r="B17" s="37">
        <f>B13+B14+B15+B16</f>
        <v>15748</v>
      </c>
      <c r="C17" s="8">
        <f t="shared" si="0"/>
        <v>9.4987634959889017E-2</v>
      </c>
      <c r="D17" s="91">
        <f t="shared" si="3"/>
        <v>88.944184438140852</v>
      </c>
      <c r="E17" s="41">
        <f t="shared" si="1"/>
        <v>2.5000000000000001E-2</v>
      </c>
      <c r="F17" s="36">
        <f>F13+F14+F15+F16</f>
        <v>91.167789049094381</v>
      </c>
      <c r="G17" s="42" t="s">
        <v>70</v>
      </c>
      <c r="H17" s="91">
        <f>H13+H14+H15+H16</f>
        <v>91.167789049094381</v>
      </c>
      <c r="I17" s="42" t="s">
        <v>70</v>
      </c>
      <c r="J17" s="91">
        <f>J13+J14+J15+J16</f>
        <v>101.89740278299996</v>
      </c>
      <c r="K17" s="93">
        <f t="shared" si="6"/>
        <v>101.89740278299996</v>
      </c>
    </row>
    <row r="18" spans="1:33">
      <c r="A18" s="6" t="s">
        <v>205</v>
      </c>
      <c r="B18" s="34">
        <v>15072</v>
      </c>
      <c r="C18" s="49">
        <f t="shared" si="0"/>
        <v>9.0910187586706076E-2</v>
      </c>
      <c r="D18" s="90">
        <f t="shared" si="3"/>
        <v>85.126158740897836</v>
      </c>
      <c r="E18" s="50">
        <f t="shared" si="1"/>
        <v>2.5000000000000001E-2</v>
      </c>
      <c r="F18" s="51">
        <f>D18*(1+E18)</f>
        <v>87.254312709420276</v>
      </c>
      <c r="G18" s="52" t="s">
        <v>70</v>
      </c>
      <c r="H18" s="90">
        <f t="shared" si="4"/>
        <v>87.254312709420276</v>
      </c>
      <c r="I18" s="52" t="s">
        <v>70</v>
      </c>
      <c r="J18" s="90">
        <f t="shared" si="7"/>
        <v>87.254312709420276</v>
      </c>
      <c r="K18" s="92">
        <f t="shared" si="6"/>
        <v>87.254312709420276</v>
      </c>
    </row>
    <row r="19" spans="1:33">
      <c r="A19" s="68" t="s">
        <v>66</v>
      </c>
      <c r="B19" s="80">
        <f>B12+B17+B18</f>
        <v>165790</v>
      </c>
      <c r="C19" s="69">
        <f>B19/$B$19</f>
        <v>1</v>
      </c>
      <c r="D19" s="96">
        <f t="shared" si="3"/>
        <v>936.37645021586059</v>
      </c>
      <c r="E19" s="75">
        <f t="shared" si="1"/>
        <v>2.5000000000000001E-2</v>
      </c>
      <c r="F19" s="76">
        <f>F12+F17+F18</f>
        <v>959.78586147125702</v>
      </c>
      <c r="G19" s="77" t="s">
        <v>70</v>
      </c>
      <c r="H19" s="96">
        <f>H18+H17+H12</f>
        <v>1024.7424604929856</v>
      </c>
      <c r="I19" s="77" t="s">
        <v>70</v>
      </c>
      <c r="J19" s="96">
        <f>J18+J17+J12</f>
        <v>1035.4720742268912</v>
      </c>
      <c r="K19" s="98">
        <f>K18+K17+K12</f>
        <v>1035.4720742268912</v>
      </c>
    </row>
    <row r="21" spans="1:33" ht="14.45" customHeight="1">
      <c r="A21" s="130" t="s">
        <v>67</v>
      </c>
      <c r="B21" s="130"/>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row>
    <row r="22" spans="1:33" ht="14.45" customHeight="1">
      <c r="A22" s="130"/>
      <c r="B22" s="130"/>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row>
    <row r="24" spans="1:33">
      <c r="A24" t="s">
        <v>12</v>
      </c>
      <c r="B24">
        <v>2019</v>
      </c>
      <c r="C24">
        <v>2020</v>
      </c>
      <c r="D24">
        <v>2021</v>
      </c>
      <c r="E24">
        <v>2022</v>
      </c>
      <c r="F24">
        <v>2023</v>
      </c>
      <c r="G24">
        <v>2024</v>
      </c>
      <c r="H24">
        <v>2025</v>
      </c>
      <c r="I24">
        <v>2026</v>
      </c>
      <c r="J24">
        <v>2027</v>
      </c>
      <c r="K24">
        <v>2028</v>
      </c>
      <c r="L24">
        <v>2029</v>
      </c>
      <c r="M24">
        <v>2030</v>
      </c>
      <c r="N24">
        <v>2031</v>
      </c>
      <c r="O24">
        <v>2032</v>
      </c>
      <c r="P24">
        <v>2033</v>
      </c>
      <c r="Q24">
        <v>2034</v>
      </c>
      <c r="R24">
        <v>2035</v>
      </c>
      <c r="S24">
        <v>2036</v>
      </c>
      <c r="T24">
        <v>2037</v>
      </c>
      <c r="U24">
        <v>2038</v>
      </c>
      <c r="V24">
        <v>2039</v>
      </c>
      <c r="W24">
        <v>2040</v>
      </c>
      <c r="X24">
        <v>2041</v>
      </c>
      <c r="Y24">
        <v>2042</v>
      </c>
      <c r="Z24">
        <v>2043</v>
      </c>
      <c r="AA24">
        <v>2044</v>
      </c>
      <c r="AB24">
        <v>2045</v>
      </c>
      <c r="AC24">
        <v>2046</v>
      </c>
      <c r="AD24">
        <v>2047</v>
      </c>
      <c r="AE24">
        <v>2048</v>
      </c>
      <c r="AF24">
        <v>2049</v>
      </c>
      <c r="AG24">
        <v>2050</v>
      </c>
    </row>
    <row r="25" spans="1:33">
      <c r="A25" t="s">
        <v>106</v>
      </c>
      <c r="B25" s="9">
        <v>936.37645021586059</v>
      </c>
      <c r="C25" s="9">
        <v>927.60477386723426</v>
      </c>
      <c r="D25" s="9">
        <v>918.83309751860793</v>
      </c>
      <c r="E25" s="9">
        <v>914.44725934429482</v>
      </c>
      <c r="F25" s="9">
        <v>895.8074471034638</v>
      </c>
      <c r="G25" s="9">
        <v>885.93931121125922</v>
      </c>
      <c r="H25" s="9">
        <v>882.64993258052436</v>
      </c>
      <c r="I25" s="9">
        <v>876.07117531905465</v>
      </c>
      <c r="J25" s="9">
        <v>862.9136607961151</v>
      </c>
      <c r="K25" s="9">
        <v>856.33490353464538</v>
      </c>
      <c r="L25" s="9">
        <v>850.85260581675391</v>
      </c>
      <c r="M25" s="9">
        <v>846.4667676424408</v>
      </c>
      <c r="N25" s="9">
        <v>843.17738901170583</v>
      </c>
      <c r="O25" s="9">
        <v>837.69509129381436</v>
      </c>
      <c r="P25" s="9">
        <v>832.212793575923</v>
      </c>
      <c r="Q25" s="9">
        <v>827.82695540160978</v>
      </c>
      <c r="R25" s="9">
        <v>823.44111722729667</v>
      </c>
      <c r="S25" s="9">
        <v>817.9588195094052</v>
      </c>
      <c r="T25" s="9">
        <v>813.57298133509198</v>
      </c>
      <c r="U25" s="9">
        <v>809.18714316077887</v>
      </c>
      <c r="V25" s="9">
        <v>805.89776453004401</v>
      </c>
      <c r="W25" s="9">
        <v>800.41546681215254</v>
      </c>
      <c r="X25" s="9">
        <v>796.02962863783932</v>
      </c>
      <c r="Y25" s="9">
        <v>791.64379046352622</v>
      </c>
      <c r="Z25" s="9">
        <v>787.25795228921299</v>
      </c>
      <c r="AA25" s="9">
        <v>782.87211411489989</v>
      </c>
      <c r="AB25" s="9">
        <v>779.58273548416503</v>
      </c>
      <c r="AC25" s="9">
        <v>775.19689730985181</v>
      </c>
      <c r="AD25" s="9">
        <v>770.8110591355387</v>
      </c>
      <c r="AE25" s="9">
        <v>766.42522096122548</v>
      </c>
      <c r="AF25" s="9">
        <v>760.94292324333401</v>
      </c>
      <c r="AG25" s="9">
        <v>752.17124689470768</v>
      </c>
    </row>
    <row r="26" spans="1:33">
      <c r="A26" t="s">
        <v>69</v>
      </c>
      <c r="B26" s="16" t="s">
        <v>70</v>
      </c>
      <c r="C26" s="15">
        <f>1-(C25/B25)</f>
        <v>9.3676814988290502E-3</v>
      </c>
      <c r="D26" s="15">
        <f t="shared" ref="D26:AG26" si="8">1-(D25/C25)</f>
        <v>9.4562647754137252E-3</v>
      </c>
      <c r="E26" s="15">
        <f t="shared" si="8"/>
        <v>4.7732696897374582E-3</v>
      </c>
      <c r="F26" s="15">
        <f t="shared" si="8"/>
        <v>2.0383693045563644E-2</v>
      </c>
      <c r="G26" s="15">
        <f t="shared" si="8"/>
        <v>1.1015911872705009E-2</v>
      </c>
      <c r="H26" s="15">
        <f t="shared" si="8"/>
        <v>3.7128712871287162E-3</v>
      </c>
      <c r="I26" s="15">
        <f t="shared" si="8"/>
        <v>7.4534161490682482E-3</v>
      </c>
      <c r="J26" s="15">
        <f t="shared" si="8"/>
        <v>1.5018773466833557E-2</v>
      </c>
      <c r="K26" s="15">
        <f t="shared" si="8"/>
        <v>7.6238881829733263E-3</v>
      </c>
      <c r="L26" s="15">
        <f t="shared" si="8"/>
        <v>6.4020486555698142E-3</v>
      </c>
      <c r="M26" s="15">
        <f t="shared" si="8"/>
        <v>5.1546391752577136E-3</v>
      </c>
      <c r="N26" s="15">
        <f t="shared" si="8"/>
        <v>3.8860103626944253E-3</v>
      </c>
      <c r="O26" s="15">
        <f t="shared" si="8"/>
        <v>6.5019505851755532E-3</v>
      </c>
      <c r="P26" s="15">
        <f t="shared" si="8"/>
        <v>6.5445026178009291E-3</v>
      </c>
      <c r="Q26" s="15">
        <f t="shared" si="8"/>
        <v>5.2700922266140093E-3</v>
      </c>
      <c r="R26" s="15">
        <f t="shared" si="8"/>
        <v>5.2980132450330952E-3</v>
      </c>
      <c r="S26" s="15">
        <f t="shared" si="8"/>
        <v>6.6577896138482195E-3</v>
      </c>
      <c r="T26" s="15">
        <f t="shared" si="8"/>
        <v>5.3619302949062808E-3</v>
      </c>
      <c r="U26" s="15">
        <f t="shared" si="8"/>
        <v>5.3908355795148077E-3</v>
      </c>
      <c r="V26" s="15">
        <f t="shared" si="8"/>
        <v>4.0650406504064707E-3</v>
      </c>
      <c r="W26" s="15">
        <f t="shared" si="8"/>
        <v>6.8027210884353817E-3</v>
      </c>
      <c r="X26" s="15">
        <f t="shared" si="8"/>
        <v>5.4794520547946091E-3</v>
      </c>
      <c r="Y26" s="15">
        <f t="shared" si="8"/>
        <v>5.5096418732781816E-3</v>
      </c>
      <c r="Z26" s="15">
        <f t="shared" si="8"/>
        <v>5.5401662049862077E-3</v>
      </c>
      <c r="AA26" s="15">
        <f t="shared" si="8"/>
        <v>5.5710306406684396E-3</v>
      </c>
      <c r="AB26" s="15">
        <f t="shared" si="8"/>
        <v>4.2016806722688926E-3</v>
      </c>
      <c r="AC26" s="15">
        <f t="shared" si="8"/>
        <v>5.6258790436006789E-3</v>
      </c>
      <c r="AD26" s="15">
        <f t="shared" si="8"/>
        <v>5.657708628005631E-3</v>
      </c>
      <c r="AE26" s="15">
        <f t="shared" si="8"/>
        <v>5.6899004267425557E-3</v>
      </c>
      <c r="AF26" s="15">
        <f t="shared" si="8"/>
        <v>7.1530758226037161E-3</v>
      </c>
      <c r="AG26" s="15">
        <f t="shared" si="8"/>
        <v>1.1527377521613813E-2</v>
      </c>
    </row>
    <row r="27" spans="1:33">
      <c r="A27" t="s">
        <v>71</v>
      </c>
      <c r="B27" s="104">
        <f>K19</f>
        <v>1035.4720742268912</v>
      </c>
      <c r="C27" s="9">
        <f>B27*(1-C26)</f>
        <v>1025.7721016346018</v>
      </c>
      <c r="D27" s="9">
        <f t="shared" ref="D27:AG27" si="9">C27*(1-D26)</f>
        <v>1016.0721290423123</v>
      </c>
      <c r="E27" s="9">
        <f t="shared" si="9"/>
        <v>1011.2221427461676</v>
      </c>
      <c r="F27" s="9">
        <f t="shared" si="9"/>
        <v>990.60970098755263</v>
      </c>
      <c r="G27" s="9">
        <f t="shared" si="9"/>
        <v>979.69723182122709</v>
      </c>
      <c r="H27" s="9">
        <f t="shared" si="9"/>
        <v>976.05974209911858</v>
      </c>
      <c r="I27" s="9">
        <f t="shared" si="9"/>
        <v>968.78476265490167</v>
      </c>
      <c r="J27" s="9">
        <f t="shared" si="9"/>
        <v>954.23480376646762</v>
      </c>
      <c r="K27" s="9">
        <f t="shared" si="9"/>
        <v>946.9598243222506</v>
      </c>
      <c r="L27" s="9">
        <f t="shared" si="9"/>
        <v>940.89734145206967</v>
      </c>
      <c r="M27" s="9">
        <f t="shared" si="9"/>
        <v>936.04735515592495</v>
      </c>
      <c r="N27" s="9">
        <f t="shared" si="9"/>
        <v>932.40986543381632</v>
      </c>
      <c r="O27" s="9">
        <f t="shared" si="9"/>
        <v>926.34738256363551</v>
      </c>
      <c r="P27" s="9">
        <f t="shared" si="9"/>
        <v>920.2848996934548</v>
      </c>
      <c r="Q27" s="9">
        <f t="shared" si="9"/>
        <v>915.43491339731008</v>
      </c>
      <c r="R27" s="9">
        <f t="shared" si="9"/>
        <v>910.58492710116536</v>
      </c>
      <c r="S27" s="9">
        <f t="shared" si="9"/>
        <v>904.52244423098443</v>
      </c>
      <c r="T27" s="9">
        <f t="shared" si="9"/>
        <v>899.6724579348396</v>
      </c>
      <c r="U27" s="9">
        <f t="shared" si="9"/>
        <v>894.82247163869488</v>
      </c>
      <c r="V27" s="9">
        <f t="shared" si="9"/>
        <v>891.18498191658637</v>
      </c>
      <c r="W27" s="9">
        <f t="shared" si="9"/>
        <v>885.12249904640555</v>
      </c>
      <c r="X27" s="9">
        <f t="shared" si="9"/>
        <v>880.27251275026083</v>
      </c>
      <c r="Y27" s="9">
        <f t="shared" si="9"/>
        <v>875.42252645411622</v>
      </c>
      <c r="Z27" s="9">
        <f t="shared" si="9"/>
        <v>870.5725401579715</v>
      </c>
      <c r="AA27" s="9">
        <f t="shared" si="9"/>
        <v>865.7225538618269</v>
      </c>
      <c r="AB27" s="9">
        <f t="shared" si="9"/>
        <v>862.08506413971838</v>
      </c>
      <c r="AC27" s="9">
        <f t="shared" si="9"/>
        <v>857.23507784357355</v>
      </c>
      <c r="AD27" s="9">
        <f t="shared" si="9"/>
        <v>852.38509154742883</v>
      </c>
      <c r="AE27" s="9">
        <f t="shared" si="9"/>
        <v>847.53510525128411</v>
      </c>
      <c r="AF27" s="9">
        <f t="shared" si="9"/>
        <v>841.47262238110329</v>
      </c>
      <c r="AG27" s="9">
        <f t="shared" si="9"/>
        <v>831.77264978881396</v>
      </c>
    </row>
  </sheetData>
  <mergeCells count="3">
    <mergeCell ref="A21:B22"/>
    <mergeCell ref="A1:C1"/>
    <mergeCell ref="E1:J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25"/>
  <sheetViews>
    <sheetView workbookViewId="0">
      <selection activeCell="L2" sqref="L2"/>
    </sheetView>
  </sheetViews>
  <sheetFormatPr defaultRowHeight="14.45"/>
  <cols>
    <col min="1" max="1" width="25.28515625" bestFit="1" customWidth="1"/>
    <col min="2" max="2" width="15.140625" customWidth="1"/>
    <col min="3" max="3" width="9.85546875" customWidth="1"/>
    <col min="4" max="4" width="10.42578125" customWidth="1"/>
    <col min="5" max="5" width="10.28515625" customWidth="1"/>
    <col min="6" max="6" width="11" customWidth="1"/>
    <col min="7" max="7" width="10.7109375" customWidth="1"/>
    <col min="8" max="8" width="10.42578125" customWidth="1"/>
    <col min="9" max="10" width="10" customWidth="1"/>
  </cols>
  <sheetData>
    <row r="1" spans="1:10">
      <c r="A1" s="132" t="s">
        <v>32</v>
      </c>
      <c r="B1" s="131"/>
      <c r="C1" s="131"/>
      <c r="E1" s="131" t="s">
        <v>33</v>
      </c>
      <c r="F1" s="131"/>
      <c r="G1" s="131"/>
      <c r="H1" s="131"/>
    </row>
    <row r="2" spans="1:10" ht="72">
      <c r="A2" s="1"/>
      <c r="B2" s="5" t="s">
        <v>34</v>
      </c>
      <c r="C2" s="7" t="s">
        <v>35</v>
      </c>
      <c r="D2" s="45" t="s">
        <v>36</v>
      </c>
      <c r="E2" s="47" t="s">
        <v>37</v>
      </c>
      <c r="F2" s="45" t="s">
        <v>38</v>
      </c>
      <c r="G2" s="47" t="s">
        <v>206</v>
      </c>
      <c r="H2" s="45" t="s">
        <v>40</v>
      </c>
      <c r="I2" s="18" t="s">
        <v>41</v>
      </c>
    </row>
    <row r="3" spans="1:10">
      <c r="A3" t="s">
        <v>43</v>
      </c>
      <c r="B3">
        <v>50</v>
      </c>
      <c r="D3" s="35"/>
      <c r="E3" s="48"/>
      <c r="F3" s="35"/>
      <c r="G3" s="48"/>
      <c r="H3" s="35"/>
    </row>
    <row r="4" spans="1:10">
      <c r="A4" s="6" t="s">
        <v>207</v>
      </c>
      <c r="B4" s="6" t="s">
        <v>138</v>
      </c>
      <c r="C4" s="10" t="s">
        <v>46</v>
      </c>
      <c r="D4" s="70" t="s">
        <v>45</v>
      </c>
      <c r="E4" s="73" t="s">
        <v>47</v>
      </c>
      <c r="F4" s="70" t="s">
        <v>45</v>
      </c>
      <c r="G4" s="73" t="s">
        <v>48</v>
      </c>
      <c r="H4" s="70" t="s">
        <v>45</v>
      </c>
      <c r="I4" s="71" t="s">
        <v>45</v>
      </c>
    </row>
    <row r="5" spans="1:10">
      <c r="A5" t="s">
        <v>208</v>
      </c>
      <c r="B5" s="24">
        <v>22266000</v>
      </c>
      <c r="C5" s="8">
        <f t="shared" ref="C5:C16" si="0">B5/$B$17</f>
        <v>0.10868939123982838</v>
      </c>
      <c r="D5" s="91">
        <f>$B$23*C5</f>
        <v>472.35868667464973</v>
      </c>
      <c r="E5" s="41">
        <f t="shared" ref="E5:E10" si="1">inf</f>
        <v>2.5000000000000001E-2</v>
      </c>
      <c r="F5" s="91">
        <f>D5*(1+E5)</f>
        <v>484.16765384151591</v>
      </c>
      <c r="G5" s="42">
        <v>0</v>
      </c>
      <c r="H5" s="91">
        <f>F5</f>
        <v>484.16765384151591</v>
      </c>
      <c r="I5" s="93">
        <f>H5</f>
        <v>484.16765384151591</v>
      </c>
    </row>
    <row r="6" spans="1:10">
      <c r="A6" t="s">
        <v>209</v>
      </c>
      <c r="B6" s="24">
        <v>88818000</v>
      </c>
      <c r="C6" s="8">
        <f t="shared" si="0"/>
        <v>0.43355673902537845</v>
      </c>
      <c r="D6" s="91">
        <f t="shared" ref="D6:D17" si="2">$B$23*C6</f>
        <v>1884.2160169347453</v>
      </c>
      <c r="E6" s="41">
        <f t="shared" si="1"/>
        <v>2.5000000000000001E-2</v>
      </c>
      <c r="F6" s="91">
        <f>D6*(1+E6)</f>
        <v>1931.3214173581139</v>
      </c>
      <c r="G6" s="42">
        <v>0</v>
      </c>
      <c r="H6" s="91">
        <f t="shared" ref="H6:H16" si="3">F6</f>
        <v>1931.3214173581139</v>
      </c>
      <c r="I6" s="93">
        <f t="shared" ref="I6:I16" si="4">H6</f>
        <v>1931.3214173581139</v>
      </c>
    </row>
    <row r="7" spans="1:10">
      <c r="A7" t="s">
        <v>210</v>
      </c>
      <c r="B7" s="24">
        <v>26608000</v>
      </c>
      <c r="C7" s="8">
        <f t="shared" si="0"/>
        <v>0.12988445711440552</v>
      </c>
      <c r="D7" s="91">
        <f t="shared" si="2"/>
        <v>564.4713884415288</v>
      </c>
      <c r="E7" s="41">
        <f t="shared" si="1"/>
        <v>2.5000000000000001E-2</v>
      </c>
      <c r="F7" s="91">
        <f>D7*(1+E7)</f>
        <v>578.58317315256693</v>
      </c>
      <c r="G7" s="42">
        <v>0</v>
      </c>
      <c r="H7" s="91">
        <f t="shared" si="3"/>
        <v>578.58317315256693</v>
      </c>
      <c r="I7" s="93">
        <f t="shared" si="4"/>
        <v>578.58317315256693</v>
      </c>
    </row>
    <row r="8" spans="1:10">
      <c r="A8" t="s">
        <v>198</v>
      </c>
      <c r="B8" s="24">
        <v>15418000</v>
      </c>
      <c r="C8" s="8">
        <f t="shared" si="0"/>
        <v>7.5261521339067355E-2</v>
      </c>
      <c r="D8" s="91">
        <f t="shared" si="2"/>
        <v>327.08282723209146</v>
      </c>
      <c r="E8" s="41">
        <f t="shared" si="1"/>
        <v>2.5000000000000001E-2</v>
      </c>
      <c r="F8" s="91">
        <f>D8*(1+E8)</f>
        <v>335.25989791289373</v>
      </c>
      <c r="G8" s="42">
        <v>0</v>
      </c>
      <c r="H8" s="91">
        <f t="shared" si="3"/>
        <v>335.25989791289373</v>
      </c>
      <c r="I8" s="93">
        <f t="shared" si="4"/>
        <v>335.25989791289373</v>
      </c>
    </row>
    <row r="9" spans="1:10">
      <c r="A9" s="6" t="s">
        <v>199</v>
      </c>
      <c r="B9" s="34">
        <v>15311000</v>
      </c>
      <c r="C9" s="49">
        <f t="shared" si="0"/>
        <v>7.4739210871867967E-2</v>
      </c>
      <c r="D9" s="90">
        <f t="shared" si="2"/>
        <v>324.8128919283015</v>
      </c>
      <c r="E9" s="50">
        <f t="shared" si="1"/>
        <v>2.5000000000000001E-2</v>
      </c>
      <c r="F9" s="90">
        <f>D9*(1+E9)</f>
        <v>332.93321422650899</v>
      </c>
      <c r="G9" s="52">
        <v>0</v>
      </c>
      <c r="H9" s="90">
        <f t="shared" si="3"/>
        <v>332.93321422650899</v>
      </c>
      <c r="I9" s="92">
        <f t="shared" si="4"/>
        <v>332.93321422650899</v>
      </c>
    </row>
    <row r="10" spans="1:10">
      <c r="A10" t="s">
        <v>200</v>
      </c>
      <c r="B10" s="37">
        <f>SUM(B5:B9)</f>
        <v>168421000</v>
      </c>
      <c r="C10" s="8">
        <f t="shared" si="0"/>
        <v>0.82213131959054764</v>
      </c>
      <c r="D10" s="91">
        <f t="shared" si="2"/>
        <v>3572.9418112113167</v>
      </c>
      <c r="E10" s="41">
        <f t="shared" si="1"/>
        <v>2.5000000000000001E-2</v>
      </c>
      <c r="F10" s="91">
        <f>SUM(F5:F9)</f>
        <v>3662.2653564915995</v>
      </c>
      <c r="G10" s="42">
        <v>0</v>
      </c>
      <c r="H10" s="91">
        <f>SUM(H5:H9)</f>
        <v>3662.2653564915995</v>
      </c>
      <c r="I10" s="93">
        <f>SUM(I5:I9)</f>
        <v>3662.2653564915995</v>
      </c>
    </row>
    <row r="11" spans="1:10">
      <c r="A11" s="6" t="s">
        <v>211</v>
      </c>
      <c r="B11" s="34"/>
      <c r="C11" s="6"/>
      <c r="D11" s="90"/>
      <c r="E11" s="63"/>
      <c r="F11" s="90"/>
      <c r="G11" s="63"/>
      <c r="H11" s="90"/>
      <c r="I11" s="89"/>
    </row>
    <row r="12" spans="1:10">
      <c r="A12" t="s">
        <v>201</v>
      </c>
      <c r="B12" s="37">
        <v>11789000</v>
      </c>
      <c r="C12" s="8">
        <f t="shared" si="0"/>
        <v>5.7546898110407647E-2</v>
      </c>
      <c r="D12" s="91">
        <f t="shared" si="2"/>
        <v>250.0959560409344</v>
      </c>
      <c r="E12" s="41">
        <f t="shared" ref="E12:E17" si="5">inf</f>
        <v>2.5000000000000001E-2</v>
      </c>
      <c r="F12" s="91">
        <f>D12*(1+E12)</f>
        <v>256.34835494195772</v>
      </c>
      <c r="G12" s="42">
        <v>0</v>
      </c>
      <c r="H12" s="91">
        <f t="shared" si="3"/>
        <v>256.34835494195772</v>
      </c>
      <c r="I12" s="93">
        <f t="shared" si="4"/>
        <v>256.34835494195772</v>
      </c>
    </row>
    <row r="13" spans="1:10">
      <c r="A13" t="s">
        <v>97</v>
      </c>
      <c r="B13" s="37">
        <v>1500000</v>
      </c>
      <c r="C13" s="8">
        <f t="shared" si="0"/>
        <v>7.3221093532624881E-3</v>
      </c>
      <c r="D13" s="91">
        <f t="shared" si="2"/>
        <v>31.82152295032671</v>
      </c>
      <c r="E13" s="41">
        <f t="shared" si="5"/>
        <v>2.5000000000000001E-2</v>
      </c>
      <c r="F13" s="91">
        <f>D13*(1+E13)</f>
        <v>32.617061024084876</v>
      </c>
      <c r="G13" s="42">
        <v>0</v>
      </c>
      <c r="H13" s="91">
        <f t="shared" si="3"/>
        <v>32.617061024084876</v>
      </c>
      <c r="I13" s="93">
        <f t="shared" si="4"/>
        <v>32.617061024084876</v>
      </c>
    </row>
    <row r="14" spans="1:10">
      <c r="A14" t="s">
        <v>212</v>
      </c>
      <c r="B14" s="37">
        <v>1200000</v>
      </c>
      <c r="C14" s="8">
        <f t="shared" si="0"/>
        <v>5.8576874826099905E-3</v>
      </c>
      <c r="D14" s="91">
        <f t="shared" si="2"/>
        <v>25.457218360261368</v>
      </c>
      <c r="E14" s="41">
        <f t="shared" si="5"/>
        <v>2.5000000000000001E-2</v>
      </c>
      <c r="F14" s="91">
        <f>D14*(1+E14)</f>
        <v>26.093648819267901</v>
      </c>
      <c r="G14" s="42">
        <f>500000*5/(B3*1000)</f>
        <v>50</v>
      </c>
      <c r="H14" s="91">
        <f>F14+G14</f>
        <v>76.093648819267898</v>
      </c>
      <c r="I14" s="93">
        <f t="shared" si="4"/>
        <v>76.093648819267898</v>
      </c>
      <c r="J14" t="s">
        <v>57</v>
      </c>
    </row>
    <row r="15" spans="1:10">
      <c r="A15" s="6" t="s">
        <v>213</v>
      </c>
      <c r="B15" s="34">
        <f>SUM(B12:B14)</f>
        <v>14489000</v>
      </c>
      <c r="C15" s="49">
        <f t="shared" si="0"/>
        <v>7.072669494628013E-2</v>
      </c>
      <c r="D15" s="90">
        <f t="shared" si="2"/>
        <v>307.37469735152251</v>
      </c>
      <c r="E15" s="50">
        <f t="shared" si="5"/>
        <v>2.5000000000000001E-2</v>
      </c>
      <c r="F15" s="90">
        <f>SUM(F12:F14)</f>
        <v>315.05906478531051</v>
      </c>
      <c r="G15" s="52">
        <v>0</v>
      </c>
      <c r="H15" s="90">
        <f>SUM(H12:H14)</f>
        <v>365.05906478531051</v>
      </c>
      <c r="I15" s="92">
        <f>SUM(I12:I14)</f>
        <v>365.05906478531051</v>
      </c>
    </row>
    <row r="16" spans="1:10">
      <c r="A16" s="6" t="s">
        <v>103</v>
      </c>
      <c r="B16" s="34">
        <v>21949000</v>
      </c>
      <c r="C16" s="69">
        <f t="shared" si="0"/>
        <v>0.10714198546317223</v>
      </c>
      <c r="D16" s="96">
        <f t="shared" si="2"/>
        <v>465.63373815781398</v>
      </c>
      <c r="E16" s="75">
        <f t="shared" si="5"/>
        <v>2.5000000000000001E-2</v>
      </c>
      <c r="F16" s="96">
        <f>D16*(1+E16)</f>
        <v>477.27458161175929</v>
      </c>
      <c r="G16" s="77">
        <v>0</v>
      </c>
      <c r="H16" s="96">
        <f t="shared" si="3"/>
        <v>477.27458161175929</v>
      </c>
      <c r="I16" s="98">
        <f t="shared" si="4"/>
        <v>477.27458161175929</v>
      </c>
    </row>
    <row r="17" spans="1:33">
      <c r="A17" s="6" t="s">
        <v>66</v>
      </c>
      <c r="B17" s="34">
        <f>B10+B15+B16</f>
        <v>204859000</v>
      </c>
      <c r="C17" s="69">
        <f>B17/$B$17</f>
        <v>1</v>
      </c>
      <c r="D17" s="96">
        <f t="shared" si="2"/>
        <v>4345.950246720653</v>
      </c>
      <c r="E17" s="75">
        <f t="shared" si="5"/>
        <v>2.5000000000000001E-2</v>
      </c>
      <c r="F17" s="96">
        <f>F10+F15+F16</f>
        <v>4454.599002888669</v>
      </c>
      <c r="G17" s="77">
        <v>0</v>
      </c>
      <c r="H17" s="96">
        <f>H10+H15+H16</f>
        <v>4504.599002888669</v>
      </c>
      <c r="I17" s="98">
        <f>I10+I15+I16</f>
        <v>4504.599002888669</v>
      </c>
    </row>
    <row r="19" spans="1:33" ht="14.45" customHeight="1">
      <c r="A19" s="130" t="s">
        <v>67</v>
      </c>
      <c r="B19" s="130"/>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row>
    <row r="20" spans="1:33" ht="14.45" customHeight="1">
      <c r="A20" s="130"/>
      <c r="B20" s="130"/>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2" spans="1:33">
      <c r="A22" t="s">
        <v>12</v>
      </c>
      <c r="B22">
        <v>2019</v>
      </c>
      <c r="C22">
        <v>2020</v>
      </c>
      <c r="D22">
        <v>2021</v>
      </c>
      <c r="E22">
        <v>2022</v>
      </c>
      <c r="F22">
        <v>2023</v>
      </c>
      <c r="G22">
        <v>2024</v>
      </c>
      <c r="H22">
        <v>2025</v>
      </c>
      <c r="I22">
        <v>2026</v>
      </c>
      <c r="J22">
        <v>2027</v>
      </c>
      <c r="K22">
        <v>2028</v>
      </c>
      <c r="L22">
        <v>2029</v>
      </c>
      <c r="M22">
        <v>2030</v>
      </c>
      <c r="N22">
        <v>2031</v>
      </c>
      <c r="O22">
        <v>2032</v>
      </c>
      <c r="P22">
        <v>2033</v>
      </c>
      <c r="Q22">
        <v>2034</v>
      </c>
      <c r="R22">
        <v>2035</v>
      </c>
      <c r="S22">
        <v>2036</v>
      </c>
      <c r="T22">
        <v>2037</v>
      </c>
      <c r="U22">
        <v>2038</v>
      </c>
      <c r="V22">
        <v>2039</v>
      </c>
      <c r="W22">
        <v>2040</v>
      </c>
      <c r="X22">
        <v>2041</v>
      </c>
      <c r="Y22">
        <v>2042</v>
      </c>
      <c r="Z22">
        <v>2043</v>
      </c>
      <c r="AA22">
        <v>2044</v>
      </c>
      <c r="AB22">
        <v>2045</v>
      </c>
      <c r="AC22">
        <v>2046</v>
      </c>
      <c r="AD22">
        <v>2047</v>
      </c>
      <c r="AE22">
        <v>2048</v>
      </c>
      <c r="AF22">
        <v>2049</v>
      </c>
      <c r="AG22">
        <v>2050</v>
      </c>
    </row>
    <row r="23" spans="1:33">
      <c r="A23" t="s">
        <v>214</v>
      </c>
      <c r="B23" s="9">
        <v>4345.950246720653</v>
      </c>
      <c r="C23" s="9">
        <v>4332.6651732887303</v>
      </c>
      <c r="D23" s="9">
        <v>4319.3800998568095</v>
      </c>
      <c r="E23" s="9">
        <v>4305.8828476091421</v>
      </c>
      <c r="F23" s="9">
        <v>4277.5010311854367</v>
      </c>
      <c r="G23" s="9">
        <v>4275.1528509908703</v>
      </c>
      <c r="H23" s="9">
        <v>4275.1028835027937</v>
      </c>
      <c r="I23" s="9">
        <v>4252.9547348345268</v>
      </c>
      <c r="J23" s="9">
        <v>4231.758824976625</v>
      </c>
      <c r="K23" s="9">
        <v>4209.2562509319796</v>
      </c>
      <c r="L23" s="9">
        <v>4184.7950479618603</v>
      </c>
      <c r="M23" s="9">
        <v>4156.2734749629199</v>
      </c>
      <c r="N23" s="9">
        <v>4132.5080732984816</v>
      </c>
      <c r="O23" s="9">
        <v>4101.2522398541541</v>
      </c>
      <c r="P23" s="9">
        <v>4067.8429003267961</v>
      </c>
      <c r="Q23" s="9">
        <v>4039.983762829213</v>
      </c>
      <c r="R23" s="9">
        <v>4011.7541379464446</v>
      </c>
      <c r="S23" s="9">
        <v>3981.108200242928</v>
      </c>
      <c r="T23" s="9">
        <v>3952.5150374921577</v>
      </c>
      <c r="U23" s="9">
        <v>3925.3676211768493</v>
      </c>
      <c r="V23" s="9">
        <v>3899.5899458285803</v>
      </c>
      <c r="W23" s="9">
        <v>3871.2224056773739</v>
      </c>
      <c r="X23" s="9">
        <v>3840.1499559172335</v>
      </c>
      <c r="Y23" s="9">
        <v>3813.515515065641</v>
      </c>
      <c r="Z23" s="9">
        <v>3787.4884404289214</v>
      </c>
      <c r="AA23" s="9">
        <v>3761.1821999572912</v>
      </c>
      <c r="AB23" s="9">
        <v>3737.8895813313356</v>
      </c>
      <c r="AC23" s="9">
        <v>3710.9764512686456</v>
      </c>
      <c r="AD23" s="9">
        <v>3681.7677438230676</v>
      </c>
      <c r="AE23" s="9">
        <v>3652.1007476188106</v>
      </c>
      <c r="AF23" s="9">
        <v>3623.5844922882543</v>
      </c>
      <c r="AG23" s="9">
        <v>3559.5323644080099</v>
      </c>
    </row>
    <row r="24" spans="1:33">
      <c r="A24" t="s">
        <v>69</v>
      </c>
      <c r="B24" s="17" t="s">
        <v>70</v>
      </c>
      <c r="C24" s="15">
        <f>1-(C23/B23)</f>
        <v>3.0568857620832945E-3</v>
      </c>
      <c r="D24" s="15">
        <f t="shared" ref="D24:AG24" si="6">1-(D23/C23)</f>
        <v>3.0662589654572026E-3</v>
      </c>
      <c r="E24" s="15">
        <f t="shared" si="6"/>
        <v>3.12481234242723E-3</v>
      </c>
      <c r="F24" s="15">
        <f t="shared" si="6"/>
        <v>6.5914046963596595E-3</v>
      </c>
      <c r="G24" s="15">
        <f t="shared" si="6"/>
        <v>5.48960754760075E-4</v>
      </c>
      <c r="H24" s="15">
        <f t="shared" si="6"/>
        <v>1.1687883408662003E-5</v>
      </c>
      <c r="I24" s="15">
        <f t="shared" si="6"/>
        <v>5.1807288085942149E-3</v>
      </c>
      <c r="J24" s="15">
        <f t="shared" si="6"/>
        <v>4.9838080063004941E-3</v>
      </c>
      <c r="K24" s="15">
        <f t="shared" si="6"/>
        <v>5.3175464328995004E-3</v>
      </c>
      <c r="L24" s="15">
        <f t="shared" si="6"/>
        <v>5.8112886248499196E-3</v>
      </c>
      <c r="M24" s="15">
        <f t="shared" si="6"/>
        <v>6.8155244574836793E-3</v>
      </c>
      <c r="N24" s="15">
        <f t="shared" si="6"/>
        <v>5.7179590822401538E-3</v>
      </c>
      <c r="O24" s="15">
        <f t="shared" si="6"/>
        <v>7.563405295268999E-3</v>
      </c>
      <c r="P24" s="15">
        <f t="shared" si="6"/>
        <v>8.146131369999865E-3</v>
      </c>
      <c r="Q24" s="15">
        <f t="shared" si="6"/>
        <v>6.8486266997540568E-3</v>
      </c>
      <c r="R24" s="15">
        <f t="shared" si="6"/>
        <v>6.9875589952864692E-3</v>
      </c>
      <c r="S24" s="15">
        <f t="shared" si="6"/>
        <v>7.6390368526432217E-3</v>
      </c>
      <c r="T24" s="15">
        <f t="shared" si="6"/>
        <v>7.1822119150204422E-3</v>
      </c>
      <c r="U24" s="15">
        <f t="shared" si="6"/>
        <v>6.8683903939131818E-3</v>
      </c>
      <c r="V24" s="15">
        <f t="shared" si="6"/>
        <v>6.5669455286688772E-3</v>
      </c>
      <c r="W24" s="15">
        <f t="shared" si="6"/>
        <v>7.2744930993453583E-3</v>
      </c>
      <c r="X24" s="15">
        <f t="shared" si="6"/>
        <v>8.0265214715049549E-3</v>
      </c>
      <c r="Y24" s="15">
        <f t="shared" si="6"/>
        <v>6.9357814557611253E-3</v>
      </c>
      <c r="Z24" s="15">
        <f t="shared" si="6"/>
        <v>6.8249557485468015E-3</v>
      </c>
      <c r="AA24" s="15">
        <f t="shared" si="6"/>
        <v>6.9455632367952935E-3</v>
      </c>
      <c r="AB24" s="15">
        <f t="shared" si="6"/>
        <v>6.1928982398725685E-3</v>
      </c>
      <c r="AC24" s="15">
        <f t="shared" si="6"/>
        <v>7.2000869680864943E-3</v>
      </c>
      <c r="AD24" s="15">
        <f t="shared" si="6"/>
        <v>7.870895390778565E-3</v>
      </c>
      <c r="AE24" s="15">
        <f t="shared" si="6"/>
        <v>8.0578130584226804E-3</v>
      </c>
      <c r="AF24" s="15">
        <f t="shared" si="6"/>
        <v>7.8081787171805361E-3</v>
      </c>
      <c r="AG24" s="15">
        <f t="shared" si="6"/>
        <v>1.7676454907167405E-2</v>
      </c>
    </row>
    <row r="25" spans="1:33">
      <c r="A25" t="s">
        <v>215</v>
      </c>
      <c r="B25" s="104">
        <f>I17</f>
        <v>4504.599002888669</v>
      </c>
      <c r="C25" s="9">
        <f>B25*(1-C24)</f>
        <v>4490.8289583328442</v>
      </c>
      <c r="D25" s="9">
        <f t="shared" ref="D25:AG25" si="7">C25*(1-D24)</f>
        <v>4477.0589137770212</v>
      </c>
      <c r="E25" s="9">
        <f t="shared" si="7"/>
        <v>4463.068944825477</v>
      </c>
      <c r="F25" s="9">
        <f t="shared" si="7"/>
        <v>4433.6510512223776</v>
      </c>
      <c r="G25" s="9">
        <f t="shared" si="7"/>
        <v>4431.2171507949561</v>
      </c>
      <c r="H25" s="9">
        <f t="shared" si="7"/>
        <v>4431.1653592455395</v>
      </c>
      <c r="I25" s="9">
        <f t="shared" si="7"/>
        <v>4408.2086932132515</v>
      </c>
      <c r="J25" s="9">
        <f t="shared" si="7"/>
        <v>4386.2390274345717</v>
      </c>
      <c r="K25" s="9">
        <f t="shared" si="7"/>
        <v>4362.9149977403922</v>
      </c>
      <c r="L25" s="9">
        <f t="shared" si="7"/>
        <v>4337.5608394428364</v>
      </c>
      <c r="M25" s="9">
        <f t="shared" si="7"/>
        <v>4307.9980874557905</v>
      </c>
      <c r="N25" s="9">
        <f t="shared" si="7"/>
        <v>4283.3651306653492</v>
      </c>
      <c r="O25" s="9">
        <f t="shared" si="7"/>
        <v>4250.968304154504</v>
      </c>
      <c r="P25" s="9">
        <f t="shared" si="7"/>
        <v>4216.3393578991563</v>
      </c>
      <c r="Q25" s="9">
        <f t="shared" si="7"/>
        <v>4187.4632235974241</v>
      </c>
      <c r="R25" s="9">
        <f t="shared" si="7"/>
        <v>4158.2030772819444</v>
      </c>
      <c r="S25" s="9">
        <f t="shared" si="7"/>
        <v>4126.4384107338128</v>
      </c>
      <c r="T25" s="9">
        <f t="shared" si="7"/>
        <v>4096.8014556136422</v>
      </c>
      <c r="U25" s="9">
        <f t="shared" si="7"/>
        <v>4068.6630238501361</v>
      </c>
      <c r="V25" s="9">
        <f t="shared" si="7"/>
        <v>4041.9443353980032</v>
      </c>
      <c r="W25" s="9">
        <f t="shared" si="7"/>
        <v>4012.5412392222124</v>
      </c>
      <c r="X25" s="9">
        <f t="shared" si="7"/>
        <v>3980.3344908102963</v>
      </c>
      <c r="Y25" s="9">
        <f t="shared" si="7"/>
        <v>3952.7277606612079</v>
      </c>
      <c r="Z25" s="9">
        <f t="shared" si="7"/>
        <v>3925.7505686086424</v>
      </c>
      <c r="AA25" s="9">
        <f t="shared" si="7"/>
        <v>3898.484019782486</v>
      </c>
      <c r="AB25" s="9">
        <f t="shared" si="7"/>
        <v>3874.3411049582037</v>
      </c>
      <c r="AC25" s="9">
        <f t="shared" si="7"/>
        <v>3846.4455120584721</v>
      </c>
      <c r="AD25" s="9">
        <f t="shared" si="7"/>
        <v>3816.1705418067304</v>
      </c>
      <c r="AE25" s="9">
        <f t="shared" si="7"/>
        <v>3785.4205529817923</v>
      </c>
      <c r="AF25" s="9">
        <f t="shared" si="7"/>
        <v>3755.8633127844223</v>
      </c>
      <c r="AG25" s="9">
        <f t="shared" si="7"/>
        <v>3689.4729642985039</v>
      </c>
    </row>
  </sheetData>
  <mergeCells count="3">
    <mergeCell ref="A19:B20"/>
    <mergeCell ref="A1:C1"/>
    <mergeCell ref="E1:H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
  <sheetViews>
    <sheetView workbookViewId="0"/>
  </sheetViews>
  <sheetFormatPr defaultRowHeight="14.45"/>
  <cols>
    <col min="1" max="1" width="24.42578125" bestFit="1" customWidth="1"/>
  </cols>
  <sheetData>
    <row r="1" spans="1:2">
      <c r="A1" t="s">
        <v>216</v>
      </c>
      <c r="B1" s="101">
        <v>2.5000000000000001E-2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sheetPr>
  <dimension ref="A1:AG39"/>
  <sheetViews>
    <sheetView topLeftCell="A4" workbookViewId="0">
      <selection activeCell="A2" sqref="A2"/>
    </sheetView>
  </sheetViews>
  <sheetFormatPr defaultRowHeight="14.45"/>
  <cols>
    <col min="1" max="1" width="27.42578125" bestFit="1" customWidth="1"/>
    <col min="3" max="4" width="10.85546875" customWidth="1"/>
    <col min="5" max="5" width="11" bestFit="1" customWidth="1"/>
    <col min="6" max="6" width="10.5703125" bestFit="1" customWidth="1"/>
    <col min="7" max="7" width="10.7109375" customWidth="1"/>
    <col min="8" max="8" width="11.28515625" customWidth="1"/>
    <col min="9" max="9" width="10.7109375" customWidth="1"/>
    <col min="11" max="12" width="13.28515625" customWidth="1"/>
    <col min="14" max="15" width="10.5703125" customWidth="1"/>
    <col min="16" max="16" width="11.140625" customWidth="1"/>
    <col min="17" max="17" width="10.140625" customWidth="1"/>
    <col min="18" max="18" width="10.5703125" customWidth="1"/>
    <col min="19" max="19" width="10.28515625" customWidth="1"/>
    <col min="20" max="20" width="10.140625" customWidth="1"/>
    <col min="21" max="21" width="11.140625" customWidth="1"/>
    <col min="22" max="23" width="13.28515625" customWidth="1"/>
    <col min="25" max="26" width="10.28515625" customWidth="1"/>
    <col min="27" max="27" width="10.42578125" customWidth="1"/>
    <col min="28" max="28" width="10.28515625" customWidth="1"/>
    <col min="29" max="29" width="10.42578125" customWidth="1"/>
    <col min="30" max="30" width="10.5703125" customWidth="1"/>
    <col min="31" max="31" width="9.85546875" customWidth="1"/>
  </cols>
  <sheetData>
    <row r="1" spans="1:31">
      <c r="A1" s="132" t="s">
        <v>32</v>
      </c>
      <c r="B1" s="131"/>
      <c r="C1" s="131"/>
      <c r="D1" s="131" t="s">
        <v>33</v>
      </c>
      <c r="E1" s="131"/>
      <c r="F1" s="131"/>
      <c r="G1" s="131"/>
      <c r="H1" s="131"/>
      <c r="K1" s="132" t="s">
        <v>32</v>
      </c>
      <c r="L1" s="131"/>
      <c r="M1" s="131"/>
      <c r="N1" s="131"/>
      <c r="O1" s="131" t="s">
        <v>33</v>
      </c>
      <c r="P1" s="131"/>
      <c r="Q1" s="131"/>
      <c r="R1" s="131"/>
      <c r="S1" s="131"/>
      <c r="V1" s="132" t="s">
        <v>32</v>
      </c>
      <c r="W1" s="131"/>
      <c r="X1" s="131"/>
      <c r="Y1" s="131"/>
      <c r="Z1" s="131" t="s">
        <v>33</v>
      </c>
      <c r="AA1" s="131"/>
      <c r="AB1" s="131"/>
      <c r="AC1" s="131"/>
      <c r="AD1" s="131"/>
    </row>
    <row r="2" spans="1:31" ht="86.45">
      <c r="A2" s="1"/>
      <c r="B2" s="5" t="s">
        <v>34</v>
      </c>
      <c r="C2" s="7" t="s">
        <v>35</v>
      </c>
      <c r="D2" s="45" t="s">
        <v>217</v>
      </c>
      <c r="E2" s="47" t="s">
        <v>37</v>
      </c>
      <c r="F2" s="45" t="s">
        <v>38</v>
      </c>
      <c r="G2" s="47" t="s">
        <v>116</v>
      </c>
      <c r="H2" s="45" t="s">
        <v>40</v>
      </c>
      <c r="I2" s="18" t="s">
        <v>41</v>
      </c>
      <c r="K2" s="1"/>
      <c r="M2" s="5" t="s">
        <v>34</v>
      </c>
      <c r="N2" s="7" t="s">
        <v>35</v>
      </c>
      <c r="O2" s="45" t="s">
        <v>217</v>
      </c>
      <c r="P2" s="47" t="s">
        <v>37</v>
      </c>
      <c r="Q2" s="45" t="s">
        <v>38</v>
      </c>
      <c r="R2" s="47" t="s">
        <v>39</v>
      </c>
      <c r="S2" s="45" t="s">
        <v>40</v>
      </c>
      <c r="T2" s="18" t="s">
        <v>41</v>
      </c>
      <c r="V2" s="1"/>
      <c r="X2" s="5" t="s">
        <v>34</v>
      </c>
      <c r="Y2" s="7" t="s">
        <v>35</v>
      </c>
      <c r="Z2" s="45" t="s">
        <v>217</v>
      </c>
      <c r="AA2" s="47" t="s">
        <v>37</v>
      </c>
      <c r="AB2" s="45" t="s">
        <v>38</v>
      </c>
      <c r="AC2" s="47" t="s">
        <v>39</v>
      </c>
      <c r="AD2" s="45" t="s">
        <v>40</v>
      </c>
      <c r="AE2" s="18" t="s">
        <v>41</v>
      </c>
    </row>
    <row r="3" spans="1:31">
      <c r="A3" t="s">
        <v>43</v>
      </c>
      <c r="B3">
        <v>60</v>
      </c>
      <c r="D3" s="35"/>
      <c r="E3" s="48"/>
      <c r="F3" s="35"/>
      <c r="G3" s="48"/>
      <c r="H3" s="35"/>
      <c r="K3" s="1" t="s">
        <v>43</v>
      </c>
      <c r="M3">
        <v>60</v>
      </c>
      <c r="O3" s="35"/>
      <c r="P3" s="48"/>
      <c r="Q3" s="35"/>
      <c r="R3" s="48"/>
      <c r="S3" s="35"/>
      <c r="V3" s="1" t="s">
        <v>43</v>
      </c>
      <c r="X3">
        <v>60</v>
      </c>
      <c r="Z3" s="35"/>
      <c r="AA3" s="48"/>
      <c r="AB3" s="35"/>
      <c r="AC3" s="48"/>
      <c r="AD3" s="35"/>
    </row>
    <row r="4" spans="1:31">
      <c r="A4" t="s">
        <v>119</v>
      </c>
      <c r="B4">
        <v>2</v>
      </c>
      <c r="D4" s="35"/>
      <c r="E4" s="48"/>
      <c r="F4" s="35"/>
      <c r="G4" s="48"/>
      <c r="H4" s="35"/>
      <c r="K4" s="1" t="s">
        <v>119</v>
      </c>
      <c r="M4">
        <v>4</v>
      </c>
      <c r="O4" s="35"/>
      <c r="P4" s="48"/>
      <c r="Q4" s="35"/>
      <c r="R4" s="48"/>
      <c r="S4" s="35"/>
      <c r="V4" s="1" t="s">
        <v>119</v>
      </c>
      <c r="X4">
        <v>6</v>
      </c>
      <c r="Z4" s="35"/>
      <c r="AA4" s="48"/>
      <c r="AB4" s="35"/>
      <c r="AC4" s="48"/>
      <c r="AD4" s="35"/>
    </row>
    <row r="5" spans="1:31">
      <c r="A5" t="s">
        <v>120</v>
      </c>
      <c r="D5" s="35"/>
      <c r="E5" s="48"/>
      <c r="F5" s="35"/>
      <c r="G5" s="48"/>
      <c r="H5" s="35"/>
      <c r="K5" s="1" t="s">
        <v>120</v>
      </c>
      <c r="O5" s="35"/>
      <c r="P5" s="48"/>
      <c r="Q5" s="35"/>
      <c r="R5" s="48"/>
      <c r="S5" s="35"/>
      <c r="V5" s="1" t="s">
        <v>120</v>
      </c>
      <c r="Z5" s="35"/>
      <c r="AA5" s="48"/>
      <c r="AB5" s="35"/>
      <c r="AC5" s="48"/>
      <c r="AD5" s="35"/>
    </row>
    <row r="6" spans="1:31">
      <c r="A6" t="s">
        <v>121</v>
      </c>
      <c r="D6" s="35"/>
      <c r="E6" s="48"/>
      <c r="F6" s="35"/>
      <c r="G6" s="48"/>
      <c r="H6" s="35"/>
      <c r="K6" s="1" t="s">
        <v>121</v>
      </c>
      <c r="O6" s="35"/>
      <c r="P6" s="48"/>
      <c r="Q6" s="35"/>
      <c r="R6" s="48"/>
      <c r="S6" s="35"/>
      <c r="V6" s="1" t="s">
        <v>121</v>
      </c>
      <c r="Z6" s="35"/>
      <c r="AA6" s="48"/>
      <c r="AB6" s="35"/>
      <c r="AC6" s="48"/>
      <c r="AD6" s="35"/>
    </row>
    <row r="7" spans="1:31">
      <c r="A7" s="6" t="s">
        <v>122</v>
      </c>
      <c r="B7" s="10" t="s">
        <v>45</v>
      </c>
      <c r="C7" s="6" t="s">
        <v>46</v>
      </c>
      <c r="D7" s="70" t="s">
        <v>45</v>
      </c>
      <c r="E7" s="73" t="s">
        <v>47</v>
      </c>
      <c r="F7" s="70" t="s">
        <v>45</v>
      </c>
      <c r="G7" s="73" t="s">
        <v>47</v>
      </c>
      <c r="H7" s="70" t="s">
        <v>45</v>
      </c>
      <c r="I7" s="71" t="s">
        <v>45</v>
      </c>
      <c r="K7" s="3" t="s">
        <v>122</v>
      </c>
      <c r="L7" s="6"/>
      <c r="M7" s="10" t="s">
        <v>45</v>
      </c>
      <c r="N7" s="10" t="s">
        <v>46</v>
      </c>
      <c r="O7" s="70" t="s">
        <v>45</v>
      </c>
      <c r="P7" s="73" t="s">
        <v>47</v>
      </c>
      <c r="Q7" s="70" t="s">
        <v>45</v>
      </c>
      <c r="R7" s="73" t="s">
        <v>47</v>
      </c>
      <c r="S7" s="70" t="s">
        <v>45</v>
      </c>
      <c r="T7" s="71" t="s">
        <v>45</v>
      </c>
      <c r="V7" s="3" t="s">
        <v>122</v>
      </c>
      <c r="W7" s="6"/>
      <c r="X7" s="10" t="s">
        <v>45</v>
      </c>
      <c r="Y7" s="10" t="s">
        <v>46</v>
      </c>
      <c r="Z7" s="70" t="s">
        <v>45</v>
      </c>
      <c r="AA7" s="73" t="s">
        <v>47</v>
      </c>
      <c r="AB7" s="70" t="s">
        <v>45</v>
      </c>
      <c r="AC7" s="73" t="s">
        <v>47</v>
      </c>
      <c r="AD7" s="70" t="s">
        <v>45</v>
      </c>
      <c r="AE7" s="71" t="s">
        <v>45</v>
      </c>
    </row>
    <row r="8" spans="1:31">
      <c r="A8" t="s">
        <v>123</v>
      </c>
      <c r="B8">
        <v>696</v>
      </c>
      <c r="C8" s="64">
        <f>B8/$B$16</f>
        <v>0.48400556328233657</v>
      </c>
      <c r="D8" s="95">
        <f>$B$23*C8</f>
        <v>413.07900083449238</v>
      </c>
      <c r="E8" s="41">
        <f t="shared" ref="E8:E16" si="0">inf</f>
        <v>2.5000000000000001E-2</v>
      </c>
      <c r="F8" s="36">
        <f>D8*(1+E8)</f>
        <v>423.40597585535465</v>
      </c>
      <c r="G8" s="61">
        <v>0.2</v>
      </c>
      <c r="H8" s="36">
        <f>F8*(1+G8)</f>
        <v>508.08717102642555</v>
      </c>
      <c r="I8" s="20">
        <f>H8</f>
        <v>508.08717102642555</v>
      </c>
      <c r="K8" s="1" t="s">
        <v>123</v>
      </c>
      <c r="M8">
        <v>1044</v>
      </c>
      <c r="N8" s="8">
        <f t="shared" ref="N8:N16" si="1">M8/$M$16</f>
        <v>0.5045915901401643</v>
      </c>
      <c r="O8" s="91">
        <f>$B$30*N8</f>
        <v>723.72845161913972</v>
      </c>
      <c r="P8" s="41">
        <f t="shared" ref="P8:P16" si="2">inf</f>
        <v>2.5000000000000001E-2</v>
      </c>
      <c r="Q8" s="35">
        <f>O8*(1+P8)</f>
        <v>741.82166290961811</v>
      </c>
      <c r="R8" s="61">
        <v>0.2</v>
      </c>
      <c r="S8" s="35">
        <f>Q8*(1+R8)</f>
        <v>890.18599549154169</v>
      </c>
      <c r="T8" s="19">
        <f>S8</f>
        <v>890.18599549154169</v>
      </c>
      <c r="V8" s="1" t="s">
        <v>123</v>
      </c>
      <c r="X8">
        <v>1392</v>
      </c>
      <c r="Y8" s="8">
        <f t="shared" ref="Y8:Y16" si="3">X8/$X$16</f>
        <v>0.51365313653136535</v>
      </c>
      <c r="Z8" s="91">
        <f>$B$37*Y8</f>
        <v>1035.0685992619926</v>
      </c>
      <c r="AA8" s="41">
        <f t="shared" ref="AA8:AA16" si="4">inf</f>
        <v>2.5000000000000001E-2</v>
      </c>
      <c r="AB8" s="35">
        <f>Z8*(1+AA8)</f>
        <v>1060.9453142435423</v>
      </c>
      <c r="AC8" s="61">
        <v>0.2</v>
      </c>
      <c r="AD8" s="35">
        <f>AB8*(1+AC8)</f>
        <v>1273.1343770922506</v>
      </c>
      <c r="AE8" s="19">
        <f>AD8</f>
        <v>1273.1343770922506</v>
      </c>
    </row>
    <row r="9" spans="1:31">
      <c r="A9" t="s">
        <v>125</v>
      </c>
      <c r="B9">
        <v>140</v>
      </c>
      <c r="C9" s="64">
        <f t="shared" ref="C9:C16" si="5">B9/$B$16</f>
        <v>9.7357440890125171E-2</v>
      </c>
      <c r="D9" s="95">
        <f t="shared" ref="D9:D16" si="6">$B$23*C9</f>
        <v>83.090603616133521</v>
      </c>
      <c r="E9" s="41">
        <f t="shared" si="0"/>
        <v>2.5000000000000001E-2</v>
      </c>
      <c r="F9" s="36">
        <f t="shared" ref="F9:F16" si="7">D9*(1+E9)</f>
        <v>85.167868706536851</v>
      </c>
      <c r="G9" s="62" t="s">
        <v>70</v>
      </c>
      <c r="H9" s="36">
        <f>F9</f>
        <v>85.167868706536851</v>
      </c>
      <c r="I9" s="20">
        <f t="shared" ref="I9:I16" si="8">H9</f>
        <v>85.167868706536851</v>
      </c>
      <c r="K9" s="1" t="s">
        <v>125</v>
      </c>
      <c r="M9">
        <v>208</v>
      </c>
      <c r="N9" s="8">
        <f t="shared" si="1"/>
        <v>0.10053165780570324</v>
      </c>
      <c r="O9" s="91">
        <f t="shared" ref="O9:O16" si="9">$B$30*N9</f>
        <v>144.19110913484778</v>
      </c>
      <c r="P9" s="41">
        <f t="shared" si="2"/>
        <v>2.5000000000000001E-2</v>
      </c>
      <c r="Q9" s="35">
        <f t="shared" ref="Q9:Q15" si="10">O9*(1+P9)</f>
        <v>147.79588686321895</v>
      </c>
      <c r="R9" s="48" t="s">
        <v>70</v>
      </c>
      <c r="S9" s="35">
        <f>Q9</f>
        <v>147.79588686321895</v>
      </c>
      <c r="T9" s="19">
        <f t="shared" ref="T9:T16" si="11">S9</f>
        <v>147.79588686321895</v>
      </c>
      <c r="V9" s="1" t="s">
        <v>125</v>
      </c>
      <c r="X9">
        <v>276</v>
      </c>
      <c r="Y9" s="8">
        <f t="shared" si="3"/>
        <v>0.1018450184501845</v>
      </c>
      <c r="Z9" s="91">
        <f t="shared" ref="Z9:Z16" si="12">$B$37*Y9</f>
        <v>205.22911881918819</v>
      </c>
      <c r="AA9" s="41">
        <f t="shared" si="4"/>
        <v>2.5000000000000001E-2</v>
      </c>
      <c r="AB9" s="35">
        <f t="shared" ref="AB9:AB15" si="13">Z9*(1+AA9)</f>
        <v>210.35984678966787</v>
      </c>
      <c r="AC9" s="48" t="s">
        <v>70</v>
      </c>
      <c r="AD9" s="35">
        <f>AB9</f>
        <v>210.35984678966787</v>
      </c>
      <c r="AE9" s="19">
        <f t="shared" ref="AE9:AE16" si="14">AD9</f>
        <v>210.35984678966787</v>
      </c>
    </row>
    <row r="10" spans="1:31">
      <c r="A10" t="s">
        <v>126</v>
      </c>
      <c r="B10">
        <v>115</v>
      </c>
      <c r="C10" s="64">
        <f t="shared" si="5"/>
        <v>7.9972183588317106E-2</v>
      </c>
      <c r="D10" s="95">
        <f t="shared" si="6"/>
        <v>68.252995827538243</v>
      </c>
      <c r="E10" s="41">
        <f t="shared" si="0"/>
        <v>2.5000000000000001E-2</v>
      </c>
      <c r="F10" s="36">
        <f t="shared" si="7"/>
        <v>69.959320723226696</v>
      </c>
      <c r="G10" s="62" t="s">
        <v>70</v>
      </c>
      <c r="H10" s="36">
        <f t="shared" ref="H10:H15" si="15">F10</f>
        <v>69.959320723226696</v>
      </c>
      <c r="I10" s="20">
        <f t="shared" si="8"/>
        <v>69.959320723226696</v>
      </c>
      <c r="K10" s="1" t="s">
        <v>126</v>
      </c>
      <c r="M10">
        <v>115</v>
      </c>
      <c r="N10" s="8">
        <f t="shared" si="1"/>
        <v>5.5582406959884E-2</v>
      </c>
      <c r="O10" s="91">
        <f t="shared" si="9"/>
        <v>79.721045915901414</v>
      </c>
      <c r="P10" s="41">
        <f t="shared" si="2"/>
        <v>2.5000000000000001E-2</v>
      </c>
      <c r="Q10" s="35">
        <f t="shared" si="10"/>
        <v>81.714072063798938</v>
      </c>
      <c r="R10" s="48" t="s">
        <v>70</v>
      </c>
      <c r="S10" s="35">
        <f t="shared" ref="S10:S15" si="16">Q10</f>
        <v>81.714072063798938</v>
      </c>
      <c r="T10" s="19">
        <f t="shared" si="11"/>
        <v>81.714072063798938</v>
      </c>
      <c r="V10" s="1" t="s">
        <v>126</v>
      </c>
      <c r="X10">
        <v>115</v>
      </c>
      <c r="Y10" s="8">
        <f t="shared" si="3"/>
        <v>4.2435424354243544E-2</v>
      </c>
      <c r="Z10" s="91">
        <f t="shared" si="12"/>
        <v>85.512132841328423</v>
      </c>
      <c r="AA10" s="41">
        <f t="shared" si="4"/>
        <v>2.5000000000000001E-2</v>
      </c>
      <c r="AB10" s="35">
        <f t="shared" si="13"/>
        <v>87.649936162361627</v>
      </c>
      <c r="AC10" s="48" t="s">
        <v>70</v>
      </c>
      <c r="AD10" s="35">
        <f t="shared" ref="AD10:AD15" si="17">AB10</f>
        <v>87.649936162361627</v>
      </c>
      <c r="AE10" s="19">
        <f t="shared" si="14"/>
        <v>87.649936162361627</v>
      </c>
    </row>
    <row r="11" spans="1:31">
      <c r="A11" t="s">
        <v>127</v>
      </c>
      <c r="B11">
        <v>2</v>
      </c>
      <c r="C11" s="64">
        <f t="shared" si="5"/>
        <v>1.3908205841446453E-3</v>
      </c>
      <c r="D11" s="95">
        <f>$B$23*C11</f>
        <v>1.1870086230876216</v>
      </c>
      <c r="E11" s="41">
        <f t="shared" si="0"/>
        <v>2.5000000000000001E-2</v>
      </c>
      <c r="F11" s="36">
        <f t="shared" si="7"/>
        <v>1.216683838664812</v>
      </c>
      <c r="G11" s="62" t="s">
        <v>70</v>
      </c>
      <c r="H11" s="36">
        <f t="shared" si="15"/>
        <v>1.216683838664812</v>
      </c>
      <c r="I11" s="20">
        <f t="shared" si="8"/>
        <v>1.216683838664812</v>
      </c>
      <c r="K11" s="1" t="s">
        <v>127</v>
      </c>
      <c r="M11">
        <v>2</v>
      </c>
      <c r="N11" s="8">
        <f t="shared" si="1"/>
        <v>9.666505558240696E-4</v>
      </c>
      <c r="O11" s="91">
        <f t="shared" si="9"/>
        <v>1.3864529724504593</v>
      </c>
      <c r="P11" s="41">
        <f t="shared" si="2"/>
        <v>2.5000000000000001E-2</v>
      </c>
      <c r="Q11" s="35">
        <f t="shared" si="10"/>
        <v>1.4211142967617207</v>
      </c>
      <c r="R11" s="48" t="s">
        <v>70</v>
      </c>
      <c r="S11" s="35">
        <f t="shared" si="16"/>
        <v>1.4211142967617207</v>
      </c>
      <c r="T11" s="19">
        <f t="shared" si="11"/>
        <v>1.4211142967617207</v>
      </c>
      <c r="V11" s="1" t="s">
        <v>127</v>
      </c>
      <c r="X11">
        <v>2</v>
      </c>
      <c r="Y11" s="8">
        <f t="shared" si="3"/>
        <v>7.3800738007380072E-4</v>
      </c>
      <c r="Z11" s="91">
        <f t="shared" si="12"/>
        <v>1.4871675276752767</v>
      </c>
      <c r="AA11" s="41">
        <f t="shared" si="4"/>
        <v>2.5000000000000001E-2</v>
      </c>
      <c r="AB11" s="35">
        <f t="shared" si="13"/>
        <v>1.5243467158671584</v>
      </c>
      <c r="AC11" s="48" t="s">
        <v>70</v>
      </c>
      <c r="AD11" s="35">
        <f t="shared" si="17"/>
        <v>1.5243467158671584</v>
      </c>
      <c r="AE11" s="19">
        <f t="shared" si="14"/>
        <v>1.5243467158671584</v>
      </c>
    </row>
    <row r="12" spans="1:31">
      <c r="A12" t="s">
        <v>128</v>
      </c>
      <c r="B12">
        <v>132</v>
      </c>
      <c r="C12" s="64">
        <f t="shared" si="5"/>
        <v>9.1794158553546598E-2</v>
      </c>
      <c r="D12" s="95">
        <f t="shared" si="6"/>
        <v>78.342569123783036</v>
      </c>
      <c r="E12" s="41">
        <f t="shared" si="0"/>
        <v>2.5000000000000001E-2</v>
      </c>
      <c r="F12" s="36">
        <f t="shared" si="7"/>
        <v>80.30113335187761</v>
      </c>
      <c r="G12" s="62" t="s">
        <v>70</v>
      </c>
      <c r="H12" s="36">
        <f t="shared" si="15"/>
        <v>80.30113335187761</v>
      </c>
      <c r="I12" s="20">
        <f t="shared" si="8"/>
        <v>80.30113335187761</v>
      </c>
      <c r="K12" s="1" t="s">
        <v>128</v>
      </c>
      <c r="M12">
        <v>192</v>
      </c>
      <c r="N12" s="8">
        <f t="shared" si="1"/>
        <v>9.2798453359110675E-2</v>
      </c>
      <c r="O12" s="91">
        <f t="shared" si="9"/>
        <v>133.09948535524407</v>
      </c>
      <c r="P12" s="41">
        <f t="shared" si="2"/>
        <v>2.5000000000000001E-2</v>
      </c>
      <c r="Q12" s="35">
        <f t="shared" si="10"/>
        <v>136.42697248912515</v>
      </c>
      <c r="R12" s="48" t="s">
        <v>70</v>
      </c>
      <c r="S12" s="35">
        <f t="shared" si="16"/>
        <v>136.42697248912515</v>
      </c>
      <c r="T12" s="19">
        <f t="shared" si="11"/>
        <v>136.42697248912515</v>
      </c>
      <c r="V12" s="1" t="s">
        <v>128</v>
      </c>
      <c r="X12">
        <v>168</v>
      </c>
      <c r="Y12" s="8">
        <f t="shared" si="3"/>
        <v>6.1992619926199262E-2</v>
      </c>
      <c r="Z12" s="91">
        <f t="shared" si="12"/>
        <v>124.92207232472325</v>
      </c>
      <c r="AA12" s="41">
        <f t="shared" si="4"/>
        <v>2.5000000000000001E-2</v>
      </c>
      <c r="AB12" s="35">
        <f t="shared" si="13"/>
        <v>128.04512413284132</v>
      </c>
      <c r="AC12" s="48" t="s">
        <v>70</v>
      </c>
      <c r="AD12" s="35">
        <f t="shared" si="17"/>
        <v>128.04512413284132</v>
      </c>
      <c r="AE12" s="19">
        <f t="shared" si="14"/>
        <v>128.04512413284132</v>
      </c>
    </row>
    <row r="13" spans="1:31">
      <c r="A13" t="s">
        <v>129</v>
      </c>
      <c r="B13">
        <v>152</v>
      </c>
      <c r="C13" s="64">
        <f t="shared" si="5"/>
        <v>0.10570236439499305</v>
      </c>
      <c r="D13" s="95">
        <f t="shared" si="6"/>
        <v>90.212655354659248</v>
      </c>
      <c r="E13" s="41">
        <f t="shared" si="0"/>
        <v>2.5000000000000001E-2</v>
      </c>
      <c r="F13" s="36">
        <f t="shared" si="7"/>
        <v>92.467971738525719</v>
      </c>
      <c r="G13" s="62" t="s">
        <v>70</v>
      </c>
      <c r="H13" s="36">
        <f t="shared" si="15"/>
        <v>92.467971738525719</v>
      </c>
      <c r="I13" s="20">
        <f t="shared" si="8"/>
        <v>92.467971738525719</v>
      </c>
      <c r="K13" s="1" t="s">
        <v>129</v>
      </c>
      <c r="M13">
        <v>216</v>
      </c>
      <c r="N13" s="8">
        <f t="shared" si="1"/>
        <v>0.10439826002899952</v>
      </c>
      <c r="O13" s="91">
        <f t="shared" si="9"/>
        <v>149.7369210246496</v>
      </c>
      <c r="P13" s="41">
        <f t="shared" si="2"/>
        <v>2.5000000000000001E-2</v>
      </c>
      <c r="Q13" s="35">
        <f t="shared" si="10"/>
        <v>153.48034405026584</v>
      </c>
      <c r="R13" s="48" t="s">
        <v>70</v>
      </c>
      <c r="S13" s="35">
        <f t="shared" si="16"/>
        <v>153.48034405026584</v>
      </c>
      <c r="T13" s="19">
        <f t="shared" si="11"/>
        <v>153.48034405026584</v>
      </c>
      <c r="V13" s="1" t="s">
        <v>129</v>
      </c>
      <c r="X13">
        <v>192</v>
      </c>
      <c r="Y13" s="8">
        <f t="shared" si="3"/>
        <v>7.0848708487084869E-2</v>
      </c>
      <c r="Z13" s="91">
        <f t="shared" si="12"/>
        <v>142.76808265682658</v>
      </c>
      <c r="AA13" s="41">
        <f t="shared" si="4"/>
        <v>2.5000000000000001E-2</v>
      </c>
      <c r="AB13" s="35">
        <f t="shared" si="13"/>
        <v>146.33728472324722</v>
      </c>
      <c r="AC13" s="48" t="s">
        <v>70</v>
      </c>
      <c r="AD13" s="35">
        <f t="shared" si="17"/>
        <v>146.33728472324722</v>
      </c>
      <c r="AE13" s="19">
        <f t="shared" si="14"/>
        <v>146.33728472324722</v>
      </c>
    </row>
    <row r="14" spans="1:31">
      <c r="A14" t="s">
        <v>130</v>
      </c>
      <c r="B14">
        <v>184</v>
      </c>
      <c r="C14" s="64">
        <f t="shared" si="5"/>
        <v>0.12795549374130738</v>
      </c>
      <c r="D14" s="95">
        <f t="shared" si="6"/>
        <v>109.2047933240612</v>
      </c>
      <c r="E14" s="41">
        <f t="shared" si="0"/>
        <v>2.5000000000000001E-2</v>
      </c>
      <c r="F14" s="36">
        <f t="shared" si="7"/>
        <v>111.93491315716273</v>
      </c>
      <c r="G14" s="62" t="s">
        <v>70</v>
      </c>
      <c r="H14" s="36">
        <f t="shared" si="15"/>
        <v>111.93491315716273</v>
      </c>
      <c r="I14" s="20">
        <f t="shared" si="8"/>
        <v>111.93491315716273</v>
      </c>
      <c r="K14" s="1" t="s">
        <v>130</v>
      </c>
      <c r="M14">
        <v>272</v>
      </c>
      <c r="N14" s="8">
        <f t="shared" si="1"/>
        <v>0.13146447559207347</v>
      </c>
      <c r="O14" s="91">
        <f t="shared" si="9"/>
        <v>188.55760425326247</v>
      </c>
      <c r="P14" s="41">
        <f t="shared" si="2"/>
        <v>2.5000000000000001E-2</v>
      </c>
      <c r="Q14" s="35">
        <f t="shared" si="10"/>
        <v>193.271544359594</v>
      </c>
      <c r="R14" s="48" t="s">
        <v>70</v>
      </c>
      <c r="S14" s="35">
        <f t="shared" si="16"/>
        <v>193.271544359594</v>
      </c>
      <c r="T14" s="19">
        <f t="shared" si="11"/>
        <v>193.271544359594</v>
      </c>
      <c r="V14" s="1" t="s">
        <v>130</v>
      </c>
      <c r="X14">
        <v>240</v>
      </c>
      <c r="Y14" s="8">
        <f t="shared" si="3"/>
        <v>8.8560885608856083E-2</v>
      </c>
      <c r="Z14" s="91">
        <f t="shared" si="12"/>
        <v>178.46010332103322</v>
      </c>
      <c r="AA14" s="41">
        <f t="shared" si="4"/>
        <v>2.5000000000000001E-2</v>
      </c>
      <c r="AB14" s="35">
        <f t="shared" si="13"/>
        <v>182.92160590405902</v>
      </c>
      <c r="AC14" s="48" t="s">
        <v>70</v>
      </c>
      <c r="AD14" s="35">
        <f t="shared" si="17"/>
        <v>182.92160590405902</v>
      </c>
      <c r="AE14" s="19">
        <f t="shared" si="14"/>
        <v>182.92160590405902</v>
      </c>
    </row>
    <row r="15" spans="1:31">
      <c r="A15" s="6" t="s">
        <v>131</v>
      </c>
      <c r="B15" s="6">
        <v>20</v>
      </c>
      <c r="C15" s="49">
        <f t="shared" si="5"/>
        <v>1.3908205841446454E-2</v>
      </c>
      <c r="D15" s="90">
        <f t="shared" si="6"/>
        <v>11.870086230876218</v>
      </c>
      <c r="E15" s="50">
        <f t="shared" si="0"/>
        <v>2.5000000000000001E-2</v>
      </c>
      <c r="F15" s="51">
        <f t="shared" si="7"/>
        <v>12.166838386648124</v>
      </c>
      <c r="G15" s="66" t="s">
        <v>70</v>
      </c>
      <c r="H15" s="51">
        <f t="shared" si="15"/>
        <v>12.166838386648124</v>
      </c>
      <c r="I15" s="67">
        <f t="shared" si="8"/>
        <v>12.166838386648124</v>
      </c>
      <c r="K15" s="3" t="s">
        <v>131</v>
      </c>
      <c r="L15" s="6"/>
      <c r="M15" s="6">
        <v>20</v>
      </c>
      <c r="N15" s="49">
        <f t="shared" si="1"/>
        <v>9.6665055582406956E-3</v>
      </c>
      <c r="O15" s="90">
        <f t="shared" si="9"/>
        <v>13.864529724504592</v>
      </c>
      <c r="P15" s="50">
        <f t="shared" si="2"/>
        <v>2.5000000000000001E-2</v>
      </c>
      <c r="Q15" s="79">
        <f t="shared" si="10"/>
        <v>14.211142967617207</v>
      </c>
      <c r="R15" s="63" t="s">
        <v>70</v>
      </c>
      <c r="S15" s="79">
        <f t="shared" si="16"/>
        <v>14.211142967617207</v>
      </c>
      <c r="T15" s="28">
        <f t="shared" si="11"/>
        <v>14.211142967617207</v>
      </c>
      <c r="V15" s="3" t="s">
        <v>131</v>
      </c>
      <c r="W15" s="6"/>
      <c r="X15" s="6">
        <v>20</v>
      </c>
      <c r="Y15" s="49">
        <f t="shared" si="3"/>
        <v>7.3800738007380072E-3</v>
      </c>
      <c r="Z15" s="90">
        <f t="shared" si="12"/>
        <v>14.871675276752768</v>
      </c>
      <c r="AA15" s="50">
        <f t="shared" si="4"/>
        <v>2.5000000000000001E-2</v>
      </c>
      <c r="AB15" s="35">
        <f t="shared" si="13"/>
        <v>15.243467158671585</v>
      </c>
      <c r="AC15" s="63" t="s">
        <v>70</v>
      </c>
      <c r="AD15" s="79">
        <f t="shared" si="17"/>
        <v>15.243467158671585</v>
      </c>
      <c r="AE15" s="28">
        <f t="shared" si="14"/>
        <v>15.243467158671585</v>
      </c>
    </row>
    <row r="16" spans="1:31">
      <c r="A16" s="68" t="s">
        <v>132</v>
      </c>
      <c r="B16" s="68">
        <v>1438</v>
      </c>
      <c r="C16" s="69">
        <f t="shared" si="5"/>
        <v>1</v>
      </c>
      <c r="D16" s="96">
        <f t="shared" si="6"/>
        <v>853.45920000000001</v>
      </c>
      <c r="E16" s="75">
        <f t="shared" si="0"/>
        <v>2.5000000000000001E-2</v>
      </c>
      <c r="F16" s="76">
        <f t="shared" si="7"/>
        <v>874.79567999999995</v>
      </c>
      <c r="G16" s="97" t="s">
        <v>70</v>
      </c>
      <c r="H16" s="76">
        <f>SUM(H8:H15)</f>
        <v>961.3019009290681</v>
      </c>
      <c r="I16" s="78">
        <f t="shared" si="8"/>
        <v>961.3019009290681</v>
      </c>
      <c r="K16" s="3" t="s">
        <v>132</v>
      </c>
      <c r="L16" s="6"/>
      <c r="M16" s="6">
        <v>2069</v>
      </c>
      <c r="N16" s="49">
        <f t="shared" si="1"/>
        <v>1</v>
      </c>
      <c r="O16" s="90">
        <f t="shared" si="9"/>
        <v>1434.2856000000002</v>
      </c>
      <c r="P16" s="50">
        <f t="shared" si="2"/>
        <v>2.5000000000000001E-2</v>
      </c>
      <c r="Q16" s="79">
        <f>SUM(Q8:Q15)</f>
        <v>1470.1427399999998</v>
      </c>
      <c r="R16" s="63" t="s">
        <v>70</v>
      </c>
      <c r="S16" s="79">
        <f>SUM(S8:S15)</f>
        <v>1618.5070725819235</v>
      </c>
      <c r="T16" s="28">
        <f t="shared" si="11"/>
        <v>1618.5070725819235</v>
      </c>
      <c r="V16" s="22" t="s">
        <v>132</v>
      </c>
      <c r="W16" s="68"/>
      <c r="X16" s="68">
        <v>2710</v>
      </c>
      <c r="Y16" s="69">
        <f t="shared" si="3"/>
        <v>1</v>
      </c>
      <c r="Z16" s="96">
        <f t="shared" si="12"/>
        <v>2015.1120000000001</v>
      </c>
      <c r="AA16" s="75">
        <f t="shared" si="4"/>
        <v>2.5000000000000001E-2</v>
      </c>
      <c r="AB16" s="81">
        <f>SUM(AB8:AB15)</f>
        <v>1833.0269258302581</v>
      </c>
      <c r="AC16" s="82" t="s">
        <v>70</v>
      </c>
      <c r="AD16" s="81">
        <f>SUM(AD8:AD15)</f>
        <v>2045.2159886789664</v>
      </c>
      <c r="AE16" s="4">
        <f t="shared" si="14"/>
        <v>2045.2159886789664</v>
      </c>
    </row>
    <row r="18" spans="1:33" ht="14.45" customHeight="1">
      <c r="A18" s="130" t="s">
        <v>133</v>
      </c>
      <c r="B18" s="130"/>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row>
    <row r="19" spans="1:33" ht="14.45" customHeight="1">
      <c r="A19" s="130"/>
      <c r="B19" s="130"/>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row>
    <row r="21" spans="1:33">
      <c r="A21" t="s">
        <v>134</v>
      </c>
    </row>
    <row r="22" spans="1:33">
      <c r="A22" t="s">
        <v>12</v>
      </c>
      <c r="B22">
        <v>2019</v>
      </c>
      <c r="C22">
        <v>2020</v>
      </c>
      <c r="D22">
        <v>2021</v>
      </c>
      <c r="E22">
        <v>2022</v>
      </c>
      <c r="F22">
        <v>2023</v>
      </c>
      <c r="G22">
        <v>2024</v>
      </c>
      <c r="H22">
        <v>2025</v>
      </c>
      <c r="I22">
        <v>2026</v>
      </c>
      <c r="J22">
        <v>2027</v>
      </c>
      <c r="K22">
        <v>2028</v>
      </c>
      <c r="L22">
        <v>2029</v>
      </c>
      <c r="M22">
        <v>2030</v>
      </c>
      <c r="N22">
        <v>2031</v>
      </c>
      <c r="O22">
        <v>2032</v>
      </c>
      <c r="P22">
        <v>2033</v>
      </c>
      <c r="Q22">
        <v>2034</v>
      </c>
      <c r="R22">
        <v>2035</v>
      </c>
      <c r="S22">
        <v>2036</v>
      </c>
      <c r="T22">
        <v>2037</v>
      </c>
      <c r="U22">
        <v>2038</v>
      </c>
      <c r="V22">
        <v>2039</v>
      </c>
      <c r="W22">
        <v>2040</v>
      </c>
      <c r="X22">
        <v>2041</v>
      </c>
      <c r="Y22">
        <v>2042</v>
      </c>
      <c r="Z22">
        <v>2043</v>
      </c>
      <c r="AA22">
        <v>2044</v>
      </c>
      <c r="AB22">
        <v>2045</v>
      </c>
      <c r="AC22">
        <v>2046</v>
      </c>
      <c r="AD22">
        <v>2047</v>
      </c>
      <c r="AE22">
        <v>2048</v>
      </c>
      <c r="AF22">
        <v>2049</v>
      </c>
      <c r="AG22">
        <v>2050</v>
      </c>
    </row>
    <row r="23" spans="1:33">
      <c r="A23" t="s">
        <v>106</v>
      </c>
      <c r="B23" s="9">
        <v>853.45920000000001</v>
      </c>
      <c r="C23" s="9">
        <v>810.03484410554597</v>
      </c>
      <c r="D23" s="9">
        <v>763.3963659907713</v>
      </c>
      <c r="E23" s="9">
        <v>716.75788787599708</v>
      </c>
      <c r="F23" s="9">
        <v>670.11940976122241</v>
      </c>
      <c r="G23" s="9">
        <v>623.48093164644786</v>
      </c>
      <c r="H23" s="9">
        <v>576.84245353167319</v>
      </c>
      <c r="I23" s="9">
        <v>559.57645200874674</v>
      </c>
      <c r="J23" s="9">
        <v>542.31045048582052</v>
      </c>
      <c r="K23" s="9">
        <v>525.04444896289397</v>
      </c>
      <c r="L23" s="9">
        <v>507.77844743996769</v>
      </c>
      <c r="M23" s="9">
        <v>490.51244591704176</v>
      </c>
      <c r="N23" s="9">
        <v>485.22556219218745</v>
      </c>
      <c r="O23" s="9">
        <v>479.93867846733315</v>
      </c>
      <c r="P23" s="9">
        <v>474.65179474247918</v>
      </c>
      <c r="Q23" s="9">
        <v>469.36491101762482</v>
      </c>
      <c r="R23" s="9">
        <v>464.07802729277068</v>
      </c>
      <c r="S23" s="9">
        <v>458.79114356791655</v>
      </c>
      <c r="T23" s="9">
        <v>453.50425984306219</v>
      </c>
      <c r="U23" s="9">
        <v>448.21737611820811</v>
      </c>
      <c r="V23" s="9">
        <v>442.9304923933538</v>
      </c>
      <c r="W23" s="9">
        <v>437.64360866849972</v>
      </c>
      <c r="X23" s="9">
        <v>432.35672494364553</v>
      </c>
      <c r="Y23" s="9">
        <v>427.06984121879145</v>
      </c>
      <c r="Z23" s="9">
        <v>421.78295749393726</v>
      </c>
      <c r="AA23" s="9">
        <v>416.49607376908301</v>
      </c>
      <c r="AB23" s="9">
        <v>411.20919004422905</v>
      </c>
      <c r="AC23" s="9">
        <v>405.92230631937485</v>
      </c>
      <c r="AD23" s="9">
        <v>400.63542259452083</v>
      </c>
      <c r="AE23" s="9">
        <v>395.34853886966664</v>
      </c>
      <c r="AF23" s="9">
        <v>390.06165514481239</v>
      </c>
      <c r="AG23" s="9">
        <v>384.774771419959</v>
      </c>
    </row>
    <row r="24" spans="1:33">
      <c r="A24" t="s">
        <v>69</v>
      </c>
      <c r="B24" s="16" t="s">
        <v>70</v>
      </c>
      <c r="C24" s="15">
        <f>1-(C23/B23)</f>
        <v>5.0880412203013425E-2</v>
      </c>
      <c r="D24" s="15">
        <f>1-(D23/C23)</f>
        <v>5.7575891276965607E-2</v>
      </c>
      <c r="E24" s="15">
        <f t="shared" ref="E24:M24" si="18">1-(E23/D23)</f>
        <v>6.109339812515957E-2</v>
      </c>
      <c r="F24" s="15">
        <f t="shared" si="18"/>
        <v>6.5068663915203939E-2</v>
      </c>
      <c r="G24" s="15">
        <f t="shared" si="18"/>
        <v>6.9597264958185301E-2</v>
      </c>
      <c r="H24" s="15">
        <f t="shared" si="18"/>
        <v>7.4803375287861407E-2</v>
      </c>
      <c r="I24" s="15">
        <f t="shared" si="18"/>
        <v>2.993191887527813E-2</v>
      </c>
      <c r="J24" s="15">
        <f t="shared" si="18"/>
        <v>3.0855482679704171E-2</v>
      </c>
      <c r="K24" s="15">
        <f t="shared" si="18"/>
        <v>3.1837855065228959E-2</v>
      </c>
      <c r="L24" s="15">
        <f t="shared" si="18"/>
        <v>3.2884837763795693E-2</v>
      </c>
      <c r="M24" s="15">
        <f t="shared" si="18"/>
        <v>3.4003021613017936E-2</v>
      </c>
      <c r="N24" s="15">
        <f t="shared" ref="N24:AG24" si="19">1-(N23/M23)</f>
        <v>1.0778286603860154E-2</v>
      </c>
      <c r="O24" s="15">
        <f t="shared" si="19"/>
        <v>1.0895723838144189E-2</v>
      </c>
      <c r="P24" s="15">
        <f t="shared" si="19"/>
        <v>1.1015748390476587E-2</v>
      </c>
      <c r="Q24" s="15">
        <f t="shared" si="19"/>
        <v>1.1138446716972283E-2</v>
      </c>
      <c r="R24" s="15">
        <f t="shared" si="19"/>
        <v>1.126390916907638E-2</v>
      </c>
      <c r="S24" s="15">
        <f t="shared" si="19"/>
        <v>1.1392230215456434E-2</v>
      </c>
      <c r="T24" s="15">
        <f t="shared" si="19"/>
        <v>1.1523508679220473E-2</v>
      </c>
      <c r="U24" s="15">
        <f t="shared" si="19"/>
        <v>1.1657847991733639E-2</v>
      </c>
      <c r="V24" s="15">
        <f t="shared" si="19"/>
        <v>1.1795356464404438E-2</v>
      </c>
      <c r="W24" s="15">
        <f t="shared" si="19"/>
        <v>1.1936147579920897E-2</v>
      </c>
      <c r="X24" s="15">
        <f t="shared" si="19"/>
        <v>1.208034030461258E-2</v>
      </c>
      <c r="Y24" s="15">
        <f t="shared" si="19"/>
        <v>1.2228059423715854E-2</v>
      </c>
      <c r="Z24" s="15">
        <f t="shared" si="19"/>
        <v>1.2379435901552438E-2</v>
      </c>
      <c r="AA24" s="15">
        <f t="shared" si="19"/>
        <v>1.2534607268787634E-2</v>
      </c>
      <c r="AB24" s="15">
        <f t="shared" si="19"/>
        <v>1.269371803918895E-2</v>
      </c>
      <c r="AC24" s="15">
        <f t="shared" si="19"/>
        <v>1.2856920158534235E-2</v>
      </c>
      <c r="AD24" s="15">
        <f t="shared" si="19"/>
        <v>1.3024373488591645E-2</v>
      </c>
      <c r="AE24" s="15">
        <f t="shared" si="19"/>
        <v>1.3196246329434058E-2</v>
      </c>
      <c r="AF24" s="15">
        <f t="shared" si="19"/>
        <v>1.3372715983647976E-2</v>
      </c>
      <c r="AG24" s="15">
        <f t="shared" si="19"/>
        <v>1.355396936643416E-2</v>
      </c>
    </row>
    <row r="25" spans="1:33">
      <c r="A25" t="s">
        <v>71</v>
      </c>
      <c r="C25" s="9">
        <f>D25+D25*C24</f>
        <v>1010.2133378998794</v>
      </c>
      <c r="D25" s="9">
        <f>I16</f>
        <v>961.3019009290681</v>
      </c>
      <c r="E25" s="9">
        <f>D25-D25*E24</f>
        <v>902.57270117713585</v>
      </c>
      <c r="F25" s="9">
        <f t="shared" ref="F25:M25" si="20">E25-E25*F24</f>
        <v>843.84350142520304</v>
      </c>
      <c r="G25" s="9">
        <f t="shared" si="20"/>
        <v>785.11430167327035</v>
      </c>
      <c r="H25" s="9">
        <f t="shared" si="20"/>
        <v>726.38510192133742</v>
      </c>
      <c r="I25" s="9">
        <f t="shared" si="20"/>
        <v>704.64300197841726</v>
      </c>
      <c r="J25" s="9">
        <f t="shared" si="20"/>
        <v>682.90090203549744</v>
      </c>
      <c r="K25" s="9">
        <f t="shared" si="20"/>
        <v>661.15880209257716</v>
      </c>
      <c r="L25" s="9">
        <f t="shared" si="20"/>
        <v>639.41670214965723</v>
      </c>
      <c r="M25" s="9">
        <f t="shared" si="20"/>
        <v>617.67460220673775</v>
      </c>
      <c r="N25" s="9">
        <f t="shared" ref="N25:AG25" si="21">M25-M25*N24</f>
        <v>611.0171283162282</v>
      </c>
      <c r="O25" s="9">
        <f t="shared" si="21"/>
        <v>604.35965442571865</v>
      </c>
      <c r="P25" s="9">
        <f t="shared" si="21"/>
        <v>597.70218053520955</v>
      </c>
      <c r="Q25" s="9">
        <f t="shared" si="21"/>
        <v>591.0447066447</v>
      </c>
      <c r="R25" s="9">
        <f t="shared" si="21"/>
        <v>584.38723275419068</v>
      </c>
      <c r="S25" s="9">
        <f t="shared" si="21"/>
        <v>577.72975886368147</v>
      </c>
      <c r="T25" s="9">
        <f t="shared" si="21"/>
        <v>571.07228497317192</v>
      </c>
      <c r="U25" s="9">
        <f t="shared" si="21"/>
        <v>564.41481108266271</v>
      </c>
      <c r="V25" s="9">
        <f t="shared" si="21"/>
        <v>557.75733719215316</v>
      </c>
      <c r="W25" s="9">
        <f t="shared" si="21"/>
        <v>551.09986330164395</v>
      </c>
      <c r="X25" s="9">
        <f t="shared" si="21"/>
        <v>544.44238941113463</v>
      </c>
      <c r="Y25" s="9">
        <f t="shared" si="21"/>
        <v>537.78491552062542</v>
      </c>
      <c r="Z25" s="9">
        <f t="shared" si="21"/>
        <v>531.1274416301161</v>
      </c>
      <c r="AA25" s="9">
        <f t="shared" si="21"/>
        <v>524.46996773960666</v>
      </c>
      <c r="AB25" s="9">
        <f t="shared" si="21"/>
        <v>517.81249384909756</v>
      </c>
      <c r="AC25" s="9">
        <f t="shared" si="21"/>
        <v>511.15501995858824</v>
      </c>
      <c r="AD25" s="9">
        <f t="shared" si="21"/>
        <v>504.49754606807909</v>
      </c>
      <c r="AE25" s="9">
        <f t="shared" si="21"/>
        <v>497.84007217756971</v>
      </c>
      <c r="AF25" s="9">
        <f t="shared" si="21"/>
        <v>491.18259828706027</v>
      </c>
      <c r="AG25" s="9">
        <f t="shared" si="21"/>
        <v>484.52512439655192</v>
      </c>
    </row>
    <row r="26" spans="1:33" ht="15" thickBot="1">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row>
    <row r="27" spans="1:33" ht="15" thickTop="1"/>
    <row r="28" spans="1:33">
      <c r="A28" t="s">
        <v>135</v>
      </c>
    </row>
    <row r="29" spans="1:33">
      <c r="A29" t="s">
        <v>12</v>
      </c>
      <c r="B29">
        <v>2019</v>
      </c>
      <c r="C29">
        <v>2020</v>
      </c>
      <c r="D29">
        <v>2021</v>
      </c>
      <c r="E29">
        <v>2022</v>
      </c>
      <c r="F29">
        <v>2023</v>
      </c>
      <c r="G29">
        <v>2024</v>
      </c>
      <c r="H29">
        <v>2025</v>
      </c>
      <c r="I29">
        <v>2026</v>
      </c>
      <c r="J29">
        <v>2027</v>
      </c>
      <c r="K29">
        <v>2028</v>
      </c>
      <c r="L29">
        <v>2029</v>
      </c>
      <c r="M29">
        <v>2030</v>
      </c>
      <c r="N29">
        <v>2031</v>
      </c>
      <c r="O29">
        <v>2032</v>
      </c>
      <c r="P29">
        <v>2033</v>
      </c>
      <c r="Q29">
        <v>2034</v>
      </c>
      <c r="R29">
        <v>2035</v>
      </c>
      <c r="S29">
        <v>2036</v>
      </c>
      <c r="T29">
        <v>2037</v>
      </c>
      <c r="U29">
        <v>2038</v>
      </c>
      <c r="V29">
        <v>2039</v>
      </c>
      <c r="W29">
        <v>2040</v>
      </c>
      <c r="X29">
        <v>2041</v>
      </c>
      <c r="Y29">
        <v>2042</v>
      </c>
      <c r="Z29">
        <v>2043</v>
      </c>
      <c r="AA29">
        <v>2044</v>
      </c>
      <c r="AB29">
        <v>2045</v>
      </c>
      <c r="AC29">
        <v>2046</v>
      </c>
      <c r="AD29">
        <v>2047</v>
      </c>
      <c r="AE29">
        <v>2048</v>
      </c>
      <c r="AF29">
        <v>2049</v>
      </c>
      <c r="AG29">
        <v>2050</v>
      </c>
    </row>
    <row r="30" spans="1:33">
      <c r="A30" t="s">
        <v>106</v>
      </c>
      <c r="B30" s="9">
        <v>1434.2856000000002</v>
      </c>
      <c r="C30" s="9">
        <v>1363.2842342153651</v>
      </c>
      <c r="D30" s="9">
        <v>1281.8130648399449</v>
      </c>
      <c r="E30" s="9">
        <v>1200.3418954645249</v>
      </c>
      <c r="F30" s="9">
        <v>1118.8707260891047</v>
      </c>
      <c r="G30" s="9">
        <v>1037.3995567136847</v>
      </c>
      <c r="H30" s="9">
        <v>955.92838733826409</v>
      </c>
      <c r="I30" s="9">
        <v>921.56147421096955</v>
      </c>
      <c r="J30" s="9">
        <v>887.19456108367513</v>
      </c>
      <c r="K30" s="9">
        <v>852.82764795638059</v>
      </c>
      <c r="L30" s="9">
        <v>818.46073482908605</v>
      </c>
      <c r="M30" s="9">
        <v>784.09382170179197</v>
      </c>
      <c r="N30" s="9">
        <v>774.29264893051936</v>
      </c>
      <c r="O30" s="9">
        <v>764.49147615924687</v>
      </c>
      <c r="P30" s="9">
        <v>754.69030338797461</v>
      </c>
      <c r="Q30" s="9">
        <v>744.889130616702</v>
      </c>
      <c r="R30" s="9">
        <v>735.08795784542951</v>
      </c>
      <c r="S30" s="9">
        <v>725.28678507415714</v>
      </c>
      <c r="T30" s="9">
        <v>715.48561230288453</v>
      </c>
      <c r="U30" s="9">
        <v>705.68443953161216</v>
      </c>
      <c r="V30" s="9">
        <v>695.88326676033967</v>
      </c>
      <c r="W30" s="9">
        <v>686.08209398906718</v>
      </c>
      <c r="X30" s="9">
        <v>676.28092121779491</v>
      </c>
      <c r="Y30" s="9">
        <v>666.47974844652254</v>
      </c>
      <c r="Z30" s="9">
        <v>656.67857567524993</v>
      </c>
      <c r="AA30" s="9">
        <v>646.87740290397755</v>
      </c>
      <c r="AB30" s="9">
        <v>637.07623013270529</v>
      </c>
      <c r="AC30" s="9">
        <v>627.2750573614328</v>
      </c>
      <c r="AD30" s="9">
        <v>617.47388459016042</v>
      </c>
      <c r="AE30" s="9">
        <v>607.67271181888805</v>
      </c>
      <c r="AF30" s="9">
        <v>597.87153904761556</v>
      </c>
      <c r="AG30" s="9">
        <v>588.07036627634386</v>
      </c>
    </row>
    <row r="31" spans="1:33">
      <c r="A31" t="s">
        <v>69</v>
      </c>
      <c r="B31" s="16" t="s">
        <v>70</v>
      </c>
      <c r="C31" s="15">
        <f>1-(C30/B30)</f>
        <v>4.950294821661394E-2</v>
      </c>
      <c r="D31" s="15">
        <f>1-(D30/C30)</f>
        <v>5.9760956175298863E-2</v>
      </c>
      <c r="E31" s="15">
        <f t="shared" ref="E31:M31" si="22">1-(E30/D30)</f>
        <v>6.3559322033898136E-2</v>
      </c>
      <c r="F31" s="15">
        <f t="shared" si="22"/>
        <v>6.7873303167420795E-2</v>
      </c>
      <c r="G31" s="15">
        <f t="shared" si="22"/>
        <v>7.281553398058227E-2</v>
      </c>
      <c r="H31" s="15">
        <f t="shared" si="22"/>
        <v>7.8534031413612815E-2</v>
      </c>
      <c r="I31" s="15">
        <f t="shared" si="22"/>
        <v>3.5951346965422348E-2</v>
      </c>
      <c r="J31" s="15">
        <f t="shared" si="22"/>
        <v>3.7292046259549849E-2</v>
      </c>
      <c r="K31" s="15">
        <f t="shared" si="22"/>
        <v>3.8736613855383184E-2</v>
      </c>
      <c r="L31" s="15">
        <f t="shared" si="22"/>
        <v>4.0297606684829623E-2</v>
      </c>
      <c r="M31" s="15">
        <f t="shared" si="22"/>
        <v>4.1989690726545015E-2</v>
      </c>
      <c r="N31" s="15">
        <f t="shared" ref="N31:AG31" si="23">1-(N30/M30)</f>
        <v>1.2500000000000289E-2</v>
      </c>
      <c r="O31" s="15">
        <f t="shared" si="23"/>
        <v>1.2658227848101333E-2</v>
      </c>
      <c r="P31" s="15">
        <f t="shared" si="23"/>
        <v>1.2820512820512664E-2</v>
      </c>
      <c r="Q31" s="15">
        <f t="shared" si="23"/>
        <v>1.2987012987013213E-2</v>
      </c>
      <c r="R31" s="15">
        <f t="shared" si="23"/>
        <v>1.3157894736842257E-2</v>
      </c>
      <c r="S31" s="15">
        <f t="shared" si="23"/>
        <v>1.3333333333333308E-2</v>
      </c>
      <c r="T31" s="15">
        <f t="shared" si="23"/>
        <v>1.351351351351382E-2</v>
      </c>
      <c r="U31" s="15">
        <f t="shared" si="23"/>
        <v>1.3698630136986245E-2</v>
      </c>
      <c r="V31" s="15">
        <f t="shared" si="23"/>
        <v>1.3888888888889062E-2</v>
      </c>
      <c r="W31" s="15">
        <f t="shared" si="23"/>
        <v>1.4084507042253613E-2</v>
      </c>
      <c r="X31" s="15">
        <f t="shared" si="23"/>
        <v>1.4285714285714124E-2</v>
      </c>
      <c r="Y31" s="15">
        <f t="shared" si="23"/>
        <v>1.4492753623188359E-2</v>
      </c>
      <c r="Z31" s="15">
        <f t="shared" si="23"/>
        <v>1.4705882352941457E-2</v>
      </c>
      <c r="AA31" s="15">
        <f t="shared" si="23"/>
        <v>1.492537313432829E-2</v>
      </c>
      <c r="AB31" s="15">
        <f t="shared" si="23"/>
        <v>1.5151515151514916E-2</v>
      </c>
      <c r="AC31" s="15">
        <f t="shared" si="23"/>
        <v>1.5384615384615552E-2</v>
      </c>
      <c r="AD31" s="15">
        <f t="shared" si="23"/>
        <v>1.5625E-2</v>
      </c>
      <c r="AE31" s="15">
        <f t="shared" si="23"/>
        <v>1.5873015873015817E-2</v>
      </c>
      <c r="AF31" s="15">
        <f t="shared" si="23"/>
        <v>1.6129032258064724E-2</v>
      </c>
      <c r="AG31" s="15">
        <f t="shared" si="23"/>
        <v>1.6393442622949617E-2</v>
      </c>
    </row>
    <row r="32" spans="1:33">
      <c r="A32" t="s">
        <v>71</v>
      </c>
      <c r="C32" s="9">
        <f>D32+D32*C31</f>
        <v>1698.62794438417</v>
      </c>
      <c r="D32" s="9">
        <f>T16</f>
        <v>1618.5070725819235</v>
      </c>
      <c r="E32" s="9">
        <f>D32-D32*E31</f>
        <v>1515.6358603415472</v>
      </c>
      <c r="F32" s="9">
        <f t="shared" ref="F32:M32" si="24">E32-E32*F31</f>
        <v>1412.7646481011707</v>
      </c>
      <c r="G32" s="9">
        <f t="shared" si="24"/>
        <v>1309.8934358607946</v>
      </c>
      <c r="H32" s="9">
        <f t="shared" si="24"/>
        <v>1207.0222236204177</v>
      </c>
      <c r="I32" s="9">
        <f t="shared" si="24"/>
        <v>1163.6281488640643</v>
      </c>
      <c r="J32" s="9">
        <f t="shared" si="24"/>
        <v>1120.2340741077112</v>
      </c>
      <c r="K32" s="9">
        <f t="shared" si="24"/>
        <v>1076.8399993513581</v>
      </c>
      <c r="L32" s="9">
        <f t="shared" si="24"/>
        <v>1033.445924595005</v>
      </c>
      <c r="M32" s="9">
        <f t="shared" si="24"/>
        <v>990.05184983865229</v>
      </c>
      <c r="N32" s="9">
        <f t="shared" ref="N32:AG32" si="25">M32-M32*N31</f>
        <v>977.67620171566887</v>
      </c>
      <c r="O32" s="9">
        <f t="shared" si="25"/>
        <v>965.30055359268567</v>
      </c>
      <c r="P32" s="9">
        <f t="shared" si="25"/>
        <v>952.92490546970271</v>
      </c>
      <c r="Q32" s="9">
        <f t="shared" si="25"/>
        <v>940.54925734671929</v>
      </c>
      <c r="R32" s="9">
        <f t="shared" si="25"/>
        <v>928.17360922373598</v>
      </c>
      <c r="S32" s="9">
        <f t="shared" si="25"/>
        <v>915.7979611007529</v>
      </c>
      <c r="T32" s="9">
        <f t="shared" si="25"/>
        <v>903.42231297776948</v>
      </c>
      <c r="U32" s="9">
        <f t="shared" si="25"/>
        <v>891.0466648547864</v>
      </c>
      <c r="V32" s="9">
        <f t="shared" si="25"/>
        <v>878.67101673180309</v>
      </c>
      <c r="W32" s="9">
        <f t="shared" si="25"/>
        <v>866.2953686088199</v>
      </c>
      <c r="X32" s="9">
        <f t="shared" si="25"/>
        <v>853.91972048583693</v>
      </c>
      <c r="Y32" s="9">
        <f t="shared" si="25"/>
        <v>841.54407236285385</v>
      </c>
      <c r="Z32" s="9">
        <f t="shared" si="25"/>
        <v>829.16842423987043</v>
      </c>
      <c r="AA32" s="9">
        <f t="shared" si="25"/>
        <v>816.79277611688735</v>
      </c>
      <c r="AB32" s="9">
        <f t="shared" si="25"/>
        <v>804.41712799390439</v>
      </c>
      <c r="AC32" s="9">
        <f t="shared" si="25"/>
        <v>792.04147987092108</v>
      </c>
      <c r="AD32" s="9">
        <f t="shared" si="25"/>
        <v>779.66583174793789</v>
      </c>
      <c r="AE32" s="9">
        <f t="shared" si="25"/>
        <v>767.29018362495481</v>
      </c>
      <c r="AF32" s="9">
        <f t="shared" si="25"/>
        <v>754.9145355019715</v>
      </c>
      <c r="AG32" s="9">
        <f t="shared" si="25"/>
        <v>742.53888737898922</v>
      </c>
    </row>
    <row r="33" spans="1:33" ht="15" thickBot="1">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row>
    <row r="34" spans="1:33" ht="15" thickTop="1"/>
    <row r="35" spans="1:33">
      <c r="A35" t="s">
        <v>136</v>
      </c>
    </row>
    <row r="36" spans="1:33">
      <c r="A36" t="s">
        <v>12</v>
      </c>
      <c r="B36">
        <v>2019</v>
      </c>
      <c r="C36">
        <v>2020</v>
      </c>
      <c r="D36">
        <v>2021</v>
      </c>
      <c r="E36">
        <v>2022</v>
      </c>
      <c r="F36">
        <v>2023</v>
      </c>
      <c r="G36">
        <v>2024</v>
      </c>
      <c r="H36">
        <v>2025</v>
      </c>
      <c r="I36">
        <v>2026</v>
      </c>
      <c r="J36">
        <v>2027</v>
      </c>
      <c r="K36">
        <v>2028</v>
      </c>
      <c r="L36">
        <v>2029</v>
      </c>
      <c r="M36">
        <v>2030</v>
      </c>
      <c r="N36">
        <v>2031</v>
      </c>
      <c r="O36">
        <v>2032</v>
      </c>
      <c r="P36">
        <v>2033</v>
      </c>
      <c r="Q36">
        <v>2034</v>
      </c>
      <c r="R36">
        <v>2035</v>
      </c>
      <c r="S36">
        <v>2036</v>
      </c>
      <c r="T36">
        <v>2037</v>
      </c>
      <c r="U36">
        <v>2038</v>
      </c>
      <c r="V36">
        <v>2039</v>
      </c>
      <c r="W36">
        <v>2040</v>
      </c>
      <c r="X36">
        <v>2041</v>
      </c>
      <c r="Y36">
        <v>2042</v>
      </c>
      <c r="Z36">
        <v>2043</v>
      </c>
      <c r="AA36">
        <v>2044</v>
      </c>
      <c r="AB36">
        <v>2045</v>
      </c>
      <c r="AC36">
        <v>2046</v>
      </c>
      <c r="AD36">
        <v>2047</v>
      </c>
      <c r="AE36">
        <v>2048</v>
      </c>
      <c r="AF36">
        <v>2049</v>
      </c>
      <c r="AG36">
        <v>2050</v>
      </c>
    </row>
    <row r="37" spans="1:33">
      <c r="A37" t="s">
        <v>106</v>
      </c>
      <c r="B37" s="9">
        <v>2015.1120000000001</v>
      </c>
      <c r="C37" s="9">
        <v>1916.5336243251845</v>
      </c>
      <c r="D37" s="9">
        <v>1800.2297636891185</v>
      </c>
      <c r="E37" s="9">
        <v>1683.9259030530529</v>
      </c>
      <c r="F37" s="9">
        <v>1567.6220424169869</v>
      </c>
      <c r="G37" s="9">
        <v>1451.3181817809213</v>
      </c>
      <c r="H37" s="9">
        <v>1335.0143211448551</v>
      </c>
      <c r="I37" s="9">
        <v>1283.5464964131925</v>
      </c>
      <c r="J37" s="9">
        <v>1232.0786716815298</v>
      </c>
      <c r="K37" s="9">
        <v>1180.610846949867</v>
      </c>
      <c r="L37" s="9">
        <v>1129.1430222182044</v>
      </c>
      <c r="M37" s="9">
        <v>1077.6751974865422</v>
      </c>
      <c r="N37" s="9">
        <v>1063.3597356688515</v>
      </c>
      <c r="O37" s="9">
        <v>1049.0442738511606</v>
      </c>
      <c r="P37" s="9">
        <v>1034.7288120334699</v>
      </c>
      <c r="Q37" s="9">
        <v>1020.413350215779</v>
      </c>
      <c r="R37" s="9">
        <v>1006.0978883980883</v>
      </c>
      <c r="S37" s="9">
        <v>991.78242658039767</v>
      </c>
      <c r="T37" s="9">
        <v>977.46696476270688</v>
      </c>
      <c r="U37" s="9">
        <v>963.15150294501632</v>
      </c>
      <c r="V37" s="9">
        <v>948.83604112732553</v>
      </c>
      <c r="W37" s="9">
        <v>934.52057930963474</v>
      </c>
      <c r="X37" s="9">
        <v>920.20511749194418</v>
      </c>
      <c r="Y37" s="9">
        <v>905.8896556742535</v>
      </c>
      <c r="Z37" s="9">
        <v>891.57419385656272</v>
      </c>
      <c r="AA37" s="9">
        <v>877.25873203887204</v>
      </c>
      <c r="AB37" s="9">
        <v>862.94327022118148</v>
      </c>
      <c r="AC37" s="9">
        <v>848.62780840349069</v>
      </c>
      <c r="AD37" s="9">
        <v>834.31234658580001</v>
      </c>
      <c r="AE37" s="9">
        <v>819.99688476810945</v>
      </c>
      <c r="AF37" s="9">
        <v>805.68142295041866</v>
      </c>
      <c r="AG37" s="9">
        <v>791.36596113272867</v>
      </c>
    </row>
    <row r="38" spans="1:33">
      <c r="A38" t="s">
        <v>69</v>
      </c>
      <c r="B38" s="16" t="s">
        <v>70</v>
      </c>
      <c r="C38" s="15">
        <f>1-(C37/B37)</f>
        <v>4.8919551704726838E-2</v>
      </c>
      <c r="D38" s="15">
        <f>1-(D37/C37)</f>
        <v>6.068448743079935E-2</v>
      </c>
      <c r="E38" s="15">
        <f t="shared" ref="E38:M38" si="26">1-(E37/D37)</f>
        <v>6.4605009305995442E-2</v>
      </c>
      <c r="F38" s="15">
        <f t="shared" si="26"/>
        <v>6.9067089249711389E-2</v>
      </c>
      <c r="G38" s="15">
        <f t="shared" si="26"/>
        <v>7.4191263894673343E-2</v>
      </c>
      <c r="H38" s="15">
        <f t="shared" si="26"/>
        <v>8.0136707509134264E-2</v>
      </c>
      <c r="I38" s="15">
        <f t="shared" si="26"/>
        <v>3.8552264134159908E-2</v>
      </c>
      <c r="J38" s="15">
        <f t="shared" si="26"/>
        <v>4.0098138147302786E-2</v>
      </c>
      <c r="K38" s="15">
        <f t="shared" si="26"/>
        <v>4.1773164258594009E-2</v>
      </c>
      <c r="L38" s="15">
        <f t="shared" si="26"/>
        <v>4.359423332813761E-2</v>
      </c>
      <c r="M38" s="15">
        <f t="shared" si="26"/>
        <v>4.5581315846555448E-2</v>
      </c>
      <c r="N38" s="15">
        <f t="shared" ref="N38:AG38" si="27">1-(N37/M37)</f>
        <v>1.3283651559466647E-2</v>
      </c>
      <c r="O38" s="15">
        <f t="shared" si="27"/>
        <v>1.3462482485935512E-2</v>
      </c>
      <c r="P38" s="15">
        <f t="shared" si="27"/>
        <v>1.3646194135483847E-2</v>
      </c>
      <c r="Q38" s="15">
        <f t="shared" si="27"/>
        <v>1.3834989082364357E-2</v>
      </c>
      <c r="R38" s="15">
        <f t="shared" si="27"/>
        <v>1.4029081268550181E-2</v>
      </c>
      <c r="S38" s="15">
        <f t="shared" si="27"/>
        <v>1.4228696812477959E-2</v>
      </c>
      <c r="T38" s="15">
        <f t="shared" si="27"/>
        <v>1.4434074887825554E-2</v>
      </c>
      <c r="U38" s="15">
        <f t="shared" si="27"/>
        <v>1.4645468679512663E-2</v>
      </c>
      <c r="V38" s="15">
        <f t="shared" si="27"/>
        <v>1.4863146424958673E-2</v>
      </c>
      <c r="W38" s="15">
        <f t="shared" si="27"/>
        <v>1.5087392549594125E-2</v>
      </c>
      <c r="X38" s="15">
        <f t="shared" si="27"/>
        <v>1.5318508906744355E-2</v>
      </c>
      <c r="Y38" s="15">
        <f t="shared" si="27"/>
        <v>1.5556816133242113E-2</v>
      </c>
      <c r="Z38" s="15">
        <f t="shared" si="27"/>
        <v>1.5802655133572263E-2</v>
      </c>
      <c r="AA38" s="15">
        <f t="shared" si="27"/>
        <v>1.6056388706999436E-2</v>
      </c>
      <c r="AB38" s="15">
        <f t="shared" si="27"/>
        <v>1.6318403334007803E-2</v>
      </c>
      <c r="AC38" s="15">
        <f t="shared" si="27"/>
        <v>1.6589111140552282E-2</v>
      </c>
      <c r="AD38" s="15">
        <f t="shared" si="27"/>
        <v>1.6868952061118714E-2</v>
      </c>
      <c r="AE38" s="15">
        <f t="shared" si="27"/>
        <v>1.7158396224474903E-2</v>
      </c>
      <c r="AF38" s="15">
        <f t="shared" si="27"/>
        <v>1.7457946589320428E-2</v>
      </c>
      <c r="AG38" s="15">
        <f t="shared" si="27"/>
        <v>1.7768141860918796E-2</v>
      </c>
    </row>
    <row r="39" spans="1:33">
      <c r="A39" t="s">
        <v>71</v>
      </c>
      <c r="C39" s="9">
        <f>D39+D39*C38</f>
        <v>2145.2670379844812</v>
      </c>
      <c r="D39" s="9">
        <f>AE16</f>
        <v>2045.2159886789664</v>
      </c>
      <c r="E39" s="9">
        <f>D39-D39*E38</f>
        <v>1913.084790697591</v>
      </c>
      <c r="F39" s="9">
        <f t="shared" ref="F39:M39" si="28">E39-E39*F38</f>
        <v>1780.9535927162151</v>
      </c>
      <c r="G39" s="9">
        <f t="shared" si="28"/>
        <v>1648.8223947348397</v>
      </c>
      <c r="H39" s="9">
        <f t="shared" si="28"/>
        <v>1516.6911967534636</v>
      </c>
      <c r="I39" s="9">
        <f t="shared" si="28"/>
        <v>1458.2193171262691</v>
      </c>
      <c r="J39" s="9">
        <f t="shared" si="28"/>
        <v>1399.7474374990743</v>
      </c>
      <c r="K39" s="9">
        <f t="shared" si="28"/>
        <v>1341.2755578718793</v>
      </c>
      <c r="L39" s="9">
        <f t="shared" si="28"/>
        <v>1282.8036782446848</v>
      </c>
      <c r="M39" s="9">
        <f t="shared" si="28"/>
        <v>1224.3317986174907</v>
      </c>
      <c r="N39" s="9">
        <f t="shared" ref="N39:AG39" si="29">M39-M39*N38</f>
        <v>1208.0682016114808</v>
      </c>
      <c r="O39" s="9">
        <f t="shared" si="29"/>
        <v>1191.8046046054706</v>
      </c>
      <c r="P39" s="9">
        <f t="shared" si="29"/>
        <v>1175.5410075994607</v>
      </c>
      <c r="Q39" s="9">
        <f t="shared" si="29"/>
        <v>1159.2774105934507</v>
      </c>
      <c r="R39" s="9">
        <f t="shared" si="29"/>
        <v>1143.0138135874408</v>
      </c>
      <c r="S39" s="9">
        <f t="shared" si="29"/>
        <v>1126.750216581431</v>
      </c>
      <c r="T39" s="9">
        <f t="shared" si="29"/>
        <v>1110.4866195754209</v>
      </c>
      <c r="U39" s="9">
        <f t="shared" si="29"/>
        <v>1094.2230225694111</v>
      </c>
      <c r="V39" s="9">
        <f t="shared" si="29"/>
        <v>1077.9594255634011</v>
      </c>
      <c r="W39" s="9">
        <f t="shared" si="29"/>
        <v>1061.695828557391</v>
      </c>
      <c r="X39" s="9">
        <f t="shared" si="29"/>
        <v>1045.4322315513812</v>
      </c>
      <c r="Y39" s="9">
        <f t="shared" si="29"/>
        <v>1029.1686345453713</v>
      </c>
      <c r="Z39" s="9">
        <f t="shared" si="29"/>
        <v>1012.9050375393614</v>
      </c>
      <c r="AA39" s="9">
        <f t="shared" si="29"/>
        <v>996.64144053335156</v>
      </c>
      <c r="AB39" s="9">
        <f t="shared" si="29"/>
        <v>980.37784352734172</v>
      </c>
      <c r="AC39" s="9">
        <f t="shared" si="29"/>
        <v>964.11424652133167</v>
      </c>
      <c r="AD39" s="9">
        <f t="shared" si="29"/>
        <v>947.85064951532172</v>
      </c>
      <c r="AE39" s="9">
        <f t="shared" si="29"/>
        <v>931.58705250931189</v>
      </c>
      <c r="AF39" s="9">
        <f t="shared" si="29"/>
        <v>915.32345550330183</v>
      </c>
      <c r="AG39" s="9">
        <f t="shared" si="29"/>
        <v>899.05985849729279</v>
      </c>
    </row>
  </sheetData>
  <mergeCells count="7">
    <mergeCell ref="Z1:AD1"/>
    <mergeCell ref="O1:S1"/>
    <mergeCell ref="D1:H1"/>
    <mergeCell ref="A18:B19"/>
    <mergeCell ref="A1:C1"/>
    <mergeCell ref="V1:Y1"/>
    <mergeCell ref="K1:N1"/>
  </mergeCells>
  <pageMargins left="0.7" right="0.7" top="0.75" bottom="0.75" header="0.3" footer="0.3"/>
  <pageSetup orientation="portrait" horizontalDpi="90" verticalDpi="9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39997558519241921"/>
  </sheetPr>
  <dimension ref="A1:AG25"/>
  <sheetViews>
    <sheetView workbookViewId="0">
      <selection activeCell="A2" sqref="A2"/>
    </sheetView>
  </sheetViews>
  <sheetFormatPr defaultRowHeight="14.45"/>
  <cols>
    <col min="1" max="1" width="36.28515625" bestFit="1" customWidth="1"/>
    <col min="2" max="2" width="9.140625" bestFit="1" customWidth="1"/>
    <col min="3" max="3" width="11.42578125" customWidth="1"/>
    <col min="4" max="4" width="11.5703125" customWidth="1"/>
    <col min="5" max="5" width="10.7109375" customWidth="1"/>
    <col min="6" max="6" width="10.28515625" customWidth="1"/>
    <col min="7" max="7" width="11" customWidth="1"/>
    <col min="8" max="8" width="12.28515625" customWidth="1"/>
  </cols>
  <sheetData>
    <row r="1" spans="1:7">
      <c r="A1" s="132" t="s">
        <v>32</v>
      </c>
      <c r="B1" s="131"/>
      <c r="C1" s="131"/>
      <c r="E1" s="131" t="s">
        <v>33</v>
      </c>
      <c r="F1" s="131"/>
    </row>
    <row r="2" spans="1:7" ht="72">
      <c r="A2" s="1"/>
      <c r="B2" s="5" t="s">
        <v>34</v>
      </c>
      <c r="C2" s="26" t="s">
        <v>35</v>
      </c>
      <c r="D2" s="45" t="s">
        <v>217</v>
      </c>
      <c r="E2" s="55" t="s">
        <v>218</v>
      </c>
      <c r="F2" s="59" t="s">
        <v>38</v>
      </c>
      <c r="G2" s="27" t="s">
        <v>41</v>
      </c>
    </row>
    <row r="3" spans="1:7">
      <c r="A3" t="s">
        <v>43</v>
      </c>
      <c r="B3">
        <v>500</v>
      </c>
      <c r="D3" s="35"/>
      <c r="E3" s="48"/>
      <c r="F3" s="35"/>
    </row>
    <row r="4" spans="1:7">
      <c r="A4" t="s">
        <v>219</v>
      </c>
      <c r="B4">
        <v>10</v>
      </c>
      <c r="D4" s="35"/>
      <c r="E4" s="48"/>
      <c r="F4" s="35"/>
    </row>
    <row r="5" spans="1:7">
      <c r="A5" s="3" t="s">
        <v>207</v>
      </c>
      <c r="B5" s="10" t="s">
        <v>45</v>
      </c>
      <c r="C5" s="6" t="s">
        <v>46</v>
      </c>
      <c r="D5" s="70" t="s">
        <v>45</v>
      </c>
      <c r="E5" s="63" t="s">
        <v>48</v>
      </c>
      <c r="F5" s="70" t="s">
        <v>45</v>
      </c>
      <c r="G5" s="71" t="s">
        <v>45</v>
      </c>
    </row>
    <row r="6" spans="1:7">
      <c r="A6" s="1" t="s">
        <v>220</v>
      </c>
      <c r="B6" s="31">
        <v>1016</v>
      </c>
      <c r="C6" s="8">
        <f t="shared" ref="C6:C16" si="0">B6/$B$17</f>
        <v>0.3169058016219588</v>
      </c>
      <c r="D6" s="91">
        <f>$B$23*C6</f>
        <v>841.74999317954803</v>
      </c>
      <c r="E6" s="42" t="s">
        <v>70</v>
      </c>
      <c r="F6" s="60">
        <f>D6</f>
        <v>841.74999317954803</v>
      </c>
      <c r="G6" s="93">
        <f t="shared" ref="G6:G17" si="1">F6</f>
        <v>841.74999317954803</v>
      </c>
    </row>
    <row r="7" spans="1:7">
      <c r="A7" s="1" t="s">
        <v>221</v>
      </c>
      <c r="B7" s="31">
        <v>163</v>
      </c>
      <c r="C7" s="8">
        <f t="shared" si="0"/>
        <v>5.0842170929507172E-2</v>
      </c>
      <c r="D7" s="91">
        <f t="shared" ref="D7:D17" si="2">$B$23*C7</f>
        <v>135.04453630734875</v>
      </c>
      <c r="E7" s="42" t="s">
        <v>70</v>
      </c>
      <c r="F7" s="60">
        <f t="shared" ref="F7:F8" si="3">D7</f>
        <v>135.04453630734875</v>
      </c>
      <c r="G7" s="93">
        <f t="shared" si="1"/>
        <v>135.04453630734875</v>
      </c>
    </row>
    <row r="8" spans="1:7">
      <c r="A8" s="1" t="s">
        <v>222</v>
      </c>
      <c r="B8" s="31">
        <v>97</v>
      </c>
      <c r="C8" s="8">
        <f t="shared" si="0"/>
        <v>3.0255770430442919E-2</v>
      </c>
      <c r="D8" s="91">
        <f t="shared" si="2"/>
        <v>80.363926514189146</v>
      </c>
      <c r="E8" s="42" t="s">
        <v>70</v>
      </c>
      <c r="F8" s="60">
        <f t="shared" si="3"/>
        <v>80.363926514189146</v>
      </c>
      <c r="G8" s="93">
        <f t="shared" si="1"/>
        <v>80.363926514189146</v>
      </c>
    </row>
    <row r="9" spans="1:7">
      <c r="A9" s="1" t="s">
        <v>223</v>
      </c>
      <c r="B9" s="31">
        <v>1010</v>
      </c>
      <c r="C9" s="8">
        <f t="shared" si="0"/>
        <v>0.31503431066749843</v>
      </c>
      <c r="D9" s="91">
        <f t="shared" si="2"/>
        <v>836.77902865289718</v>
      </c>
      <c r="E9" s="42">
        <f>2500000/(B3*1000)</f>
        <v>5</v>
      </c>
      <c r="F9" s="60">
        <f>D9+E9</f>
        <v>841.77902865289718</v>
      </c>
      <c r="G9" s="93">
        <f t="shared" si="1"/>
        <v>841.77902865289718</v>
      </c>
    </row>
    <row r="10" spans="1:7">
      <c r="A10" s="1" t="s">
        <v>224</v>
      </c>
      <c r="B10" s="32">
        <f>SUM(B6:B9)</f>
        <v>2286</v>
      </c>
      <c r="C10" s="8">
        <f t="shared" si="0"/>
        <v>0.71303805364940731</v>
      </c>
      <c r="D10" s="91">
        <f t="shared" si="2"/>
        <v>1893.9374846539831</v>
      </c>
      <c r="E10" s="42" t="s">
        <v>70</v>
      </c>
      <c r="F10" s="60">
        <f>SUM(F6:F9)</f>
        <v>1898.9374846539831</v>
      </c>
      <c r="G10" s="93">
        <f t="shared" si="1"/>
        <v>1898.9374846539831</v>
      </c>
    </row>
    <row r="11" spans="1:7">
      <c r="A11" s="1" t="s">
        <v>225</v>
      </c>
      <c r="B11" s="31">
        <v>472</v>
      </c>
      <c r="C11" s="8">
        <f t="shared" si="0"/>
        <v>0.1472239550842171</v>
      </c>
      <c r="D11" s="91">
        <f t="shared" si="2"/>
        <v>391.04920942986882</v>
      </c>
      <c r="E11" s="42" t="s">
        <v>70</v>
      </c>
      <c r="F11" s="60">
        <f>D11</f>
        <v>391.04920942986882</v>
      </c>
      <c r="G11" s="93">
        <f t="shared" si="1"/>
        <v>391.04920942986882</v>
      </c>
    </row>
    <row r="12" spans="1:7">
      <c r="A12" s="1" t="s">
        <v>226</v>
      </c>
      <c r="B12" s="31">
        <v>448</v>
      </c>
      <c r="C12" s="8">
        <f t="shared" si="0"/>
        <v>0.13973799126637554</v>
      </c>
      <c r="D12" s="91">
        <f t="shared" si="2"/>
        <v>371.16535132326527</v>
      </c>
      <c r="E12" s="42" t="s">
        <v>70</v>
      </c>
      <c r="F12" s="60">
        <f t="shared" ref="F12:F15" si="4">D12</f>
        <v>371.16535132326527</v>
      </c>
      <c r="G12" s="93">
        <f t="shared" si="1"/>
        <v>371.16535132326527</v>
      </c>
    </row>
    <row r="13" spans="1:7">
      <c r="A13" s="25" t="s">
        <v>227</v>
      </c>
      <c r="B13" s="33">
        <v>103</v>
      </c>
      <c r="C13" s="8">
        <f t="shared" si="0"/>
        <v>3.2127261384903308E-2</v>
      </c>
      <c r="D13" s="91">
        <f t="shared" si="2"/>
        <v>85.33489104084002</v>
      </c>
      <c r="E13" s="42" t="s">
        <v>70</v>
      </c>
      <c r="F13" s="60">
        <f t="shared" si="4"/>
        <v>85.33489104084002</v>
      </c>
      <c r="G13" s="93">
        <f t="shared" si="1"/>
        <v>85.33489104084002</v>
      </c>
    </row>
    <row r="14" spans="1:7">
      <c r="A14" s="25" t="s">
        <v>228</v>
      </c>
      <c r="B14" s="33">
        <v>103</v>
      </c>
      <c r="C14" s="8">
        <f t="shared" si="0"/>
        <v>3.2127261384903308E-2</v>
      </c>
      <c r="D14" s="91">
        <f t="shared" si="2"/>
        <v>85.33489104084002</v>
      </c>
      <c r="E14" s="42" t="s">
        <v>70</v>
      </c>
      <c r="F14" s="60">
        <f t="shared" si="4"/>
        <v>85.33489104084002</v>
      </c>
      <c r="G14" s="93">
        <f t="shared" si="1"/>
        <v>85.33489104084002</v>
      </c>
    </row>
    <row r="15" spans="1:7">
      <c r="A15" s="25" t="s">
        <v>64</v>
      </c>
      <c r="B15" s="33">
        <v>308</v>
      </c>
      <c r="C15" s="8">
        <f t="shared" si="0"/>
        <v>9.606986899563319E-2</v>
      </c>
      <c r="D15" s="91">
        <f t="shared" si="2"/>
        <v>255.17617903474491</v>
      </c>
      <c r="E15" s="42" t="s">
        <v>70</v>
      </c>
      <c r="F15" s="60">
        <f t="shared" si="4"/>
        <v>255.17617903474491</v>
      </c>
      <c r="G15" s="93">
        <f t="shared" si="1"/>
        <v>255.17617903474491</v>
      </c>
    </row>
    <row r="16" spans="1:7">
      <c r="A16" s="3" t="s">
        <v>229</v>
      </c>
      <c r="B16" s="34">
        <f>B11+B12</f>
        <v>920</v>
      </c>
      <c r="C16" s="49">
        <f t="shared" si="0"/>
        <v>0.28696194635059263</v>
      </c>
      <c r="D16" s="90">
        <f t="shared" si="2"/>
        <v>762.21456075313415</v>
      </c>
      <c r="E16" s="52" t="s">
        <v>70</v>
      </c>
      <c r="F16" s="100">
        <f>F11+F12</f>
        <v>762.21456075313404</v>
      </c>
      <c r="G16" s="92">
        <f t="shared" si="1"/>
        <v>762.21456075313404</v>
      </c>
    </row>
    <row r="17" spans="1:33">
      <c r="A17" s="3" t="s">
        <v>230</v>
      </c>
      <c r="B17" s="34">
        <f>B10+B16</f>
        <v>3206</v>
      </c>
      <c r="C17" s="49">
        <f>B17/$B$17</f>
        <v>1</v>
      </c>
      <c r="D17" s="96">
        <f t="shared" si="2"/>
        <v>2656.1520454071174</v>
      </c>
      <c r="E17" s="52" t="s">
        <v>70</v>
      </c>
      <c r="F17" s="100">
        <f>F10+F16</f>
        <v>2661.1520454071169</v>
      </c>
      <c r="G17" s="92">
        <f t="shared" si="1"/>
        <v>2661.1520454071169</v>
      </c>
    </row>
    <row r="19" spans="1:33" ht="14.45" customHeight="1">
      <c r="A19" s="130" t="s">
        <v>67</v>
      </c>
      <c r="B19" s="130"/>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row>
    <row r="20" spans="1:33" ht="14.45" customHeight="1">
      <c r="A20" s="130"/>
      <c r="B20" s="130"/>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2" spans="1:33">
      <c r="A22" t="s">
        <v>12</v>
      </c>
      <c r="B22">
        <v>2019</v>
      </c>
      <c r="C22">
        <v>2020</v>
      </c>
      <c r="D22">
        <v>2021</v>
      </c>
      <c r="E22">
        <v>2022</v>
      </c>
      <c r="F22">
        <v>2023</v>
      </c>
      <c r="G22">
        <v>2024</v>
      </c>
      <c r="H22">
        <v>2025</v>
      </c>
      <c r="I22">
        <v>2026</v>
      </c>
      <c r="J22">
        <v>2027</v>
      </c>
      <c r="K22">
        <v>2028</v>
      </c>
      <c r="L22">
        <v>2029</v>
      </c>
      <c r="M22">
        <v>2030</v>
      </c>
      <c r="N22">
        <v>2031</v>
      </c>
      <c r="O22">
        <v>2032</v>
      </c>
      <c r="P22">
        <v>2033</v>
      </c>
      <c r="Q22">
        <v>2034</v>
      </c>
      <c r="R22">
        <v>2035</v>
      </c>
      <c r="S22">
        <v>2036</v>
      </c>
      <c r="T22">
        <v>2037</v>
      </c>
      <c r="U22">
        <v>2038</v>
      </c>
      <c r="V22">
        <v>2039</v>
      </c>
      <c r="W22">
        <v>2040</v>
      </c>
      <c r="X22">
        <v>2041</v>
      </c>
      <c r="Y22">
        <v>2042</v>
      </c>
      <c r="Z22">
        <v>2043</v>
      </c>
      <c r="AA22">
        <v>2044</v>
      </c>
      <c r="AB22">
        <v>2045</v>
      </c>
      <c r="AC22">
        <v>2046</v>
      </c>
      <c r="AD22">
        <v>2047</v>
      </c>
      <c r="AE22">
        <v>2048</v>
      </c>
      <c r="AF22">
        <v>2049</v>
      </c>
      <c r="AG22">
        <v>2050</v>
      </c>
    </row>
    <row r="23" spans="1:33">
      <c r="A23" t="s">
        <v>231</v>
      </c>
      <c r="B23" s="9">
        <v>2656.1520454071174</v>
      </c>
      <c r="C23" s="9">
        <v>2656.1520454071174</v>
      </c>
      <c r="D23" s="9">
        <v>2656.1520454071174</v>
      </c>
      <c r="E23" s="9">
        <v>2656.1520454071174</v>
      </c>
      <c r="F23" s="9">
        <v>2656.1520454071174</v>
      </c>
      <c r="G23" s="9">
        <v>2656.1520454071174</v>
      </c>
      <c r="H23" s="9">
        <v>2656.1520454071174</v>
      </c>
      <c r="I23" s="9">
        <v>2656.1520454071174</v>
      </c>
      <c r="J23" s="9">
        <v>2656.1520454071174</v>
      </c>
      <c r="K23" s="9">
        <v>2656.1520454071174</v>
      </c>
      <c r="L23" s="9">
        <v>2656.1520454071174</v>
      </c>
      <c r="M23" s="9">
        <v>2656.1520454071174</v>
      </c>
      <c r="N23" s="9">
        <v>2656.1520454071174</v>
      </c>
      <c r="O23" s="9">
        <v>2656.1520454071174</v>
      </c>
      <c r="P23" s="9">
        <v>2656.1520454071174</v>
      </c>
      <c r="Q23" s="9">
        <v>2656.1520454071174</v>
      </c>
      <c r="R23" s="9">
        <v>2656.1520454071174</v>
      </c>
      <c r="S23" s="9">
        <v>2656.1520454071174</v>
      </c>
      <c r="T23" s="9">
        <v>2656.1520454071174</v>
      </c>
      <c r="U23" s="9">
        <v>2656.1520454071174</v>
      </c>
      <c r="V23" s="9">
        <v>2656.1520454071174</v>
      </c>
      <c r="W23" s="9">
        <v>2656.1520454071174</v>
      </c>
      <c r="X23" s="9">
        <v>2656.1520454071174</v>
      </c>
      <c r="Y23" s="9">
        <v>2656.1520454071174</v>
      </c>
      <c r="Z23" s="9">
        <v>2656.1520454071174</v>
      </c>
      <c r="AA23" s="9">
        <v>2656.1520454071174</v>
      </c>
      <c r="AB23" s="9">
        <v>2656.1520454071174</v>
      </c>
      <c r="AC23" s="9">
        <v>2656.1520454071174</v>
      </c>
      <c r="AD23" s="9">
        <v>2656.1520454071174</v>
      </c>
      <c r="AE23" s="9">
        <v>2656.1520454071174</v>
      </c>
      <c r="AF23" s="9">
        <v>2656.1520454071174</v>
      </c>
      <c r="AG23" s="9">
        <v>2656.1520454071174</v>
      </c>
    </row>
    <row r="24" spans="1:33">
      <c r="A24" t="s">
        <v>69</v>
      </c>
      <c r="B24" s="16" t="s">
        <v>70</v>
      </c>
      <c r="C24" s="15">
        <f>1-(C23/B23)</f>
        <v>0</v>
      </c>
      <c r="D24" s="15">
        <f t="shared" ref="D24:AG24" si="5">1-(D23/C23)</f>
        <v>0</v>
      </c>
      <c r="E24" s="15">
        <f t="shared" si="5"/>
        <v>0</v>
      </c>
      <c r="F24" s="15">
        <f t="shared" si="5"/>
        <v>0</v>
      </c>
      <c r="G24" s="15">
        <f t="shared" si="5"/>
        <v>0</v>
      </c>
      <c r="H24" s="15">
        <f t="shared" si="5"/>
        <v>0</v>
      </c>
      <c r="I24" s="15">
        <f t="shared" si="5"/>
        <v>0</v>
      </c>
      <c r="J24" s="15">
        <f t="shared" si="5"/>
        <v>0</v>
      </c>
      <c r="K24" s="15">
        <f t="shared" si="5"/>
        <v>0</v>
      </c>
      <c r="L24" s="15">
        <f t="shared" si="5"/>
        <v>0</v>
      </c>
      <c r="M24" s="15">
        <f t="shared" si="5"/>
        <v>0</v>
      </c>
      <c r="N24" s="15">
        <f t="shared" si="5"/>
        <v>0</v>
      </c>
      <c r="O24" s="15">
        <f t="shared" si="5"/>
        <v>0</v>
      </c>
      <c r="P24" s="15">
        <f t="shared" si="5"/>
        <v>0</v>
      </c>
      <c r="Q24" s="15">
        <f t="shared" si="5"/>
        <v>0</v>
      </c>
      <c r="R24" s="15">
        <f t="shared" si="5"/>
        <v>0</v>
      </c>
      <c r="S24" s="15">
        <f t="shared" si="5"/>
        <v>0</v>
      </c>
      <c r="T24" s="15">
        <f t="shared" si="5"/>
        <v>0</v>
      </c>
      <c r="U24" s="15">
        <f t="shared" si="5"/>
        <v>0</v>
      </c>
      <c r="V24" s="15">
        <f t="shared" si="5"/>
        <v>0</v>
      </c>
      <c r="W24" s="15">
        <f t="shared" si="5"/>
        <v>0</v>
      </c>
      <c r="X24" s="15">
        <f t="shared" si="5"/>
        <v>0</v>
      </c>
      <c r="Y24" s="15">
        <f t="shared" si="5"/>
        <v>0</v>
      </c>
      <c r="Z24" s="15">
        <f t="shared" si="5"/>
        <v>0</v>
      </c>
      <c r="AA24" s="15">
        <f t="shared" si="5"/>
        <v>0</v>
      </c>
      <c r="AB24" s="15">
        <f t="shared" si="5"/>
        <v>0</v>
      </c>
      <c r="AC24" s="15">
        <f t="shared" si="5"/>
        <v>0</v>
      </c>
      <c r="AD24" s="15">
        <f t="shared" si="5"/>
        <v>0</v>
      </c>
      <c r="AE24" s="15">
        <f t="shared" si="5"/>
        <v>0</v>
      </c>
      <c r="AF24" s="15">
        <f t="shared" si="5"/>
        <v>0</v>
      </c>
      <c r="AG24" s="15">
        <f t="shared" si="5"/>
        <v>0</v>
      </c>
    </row>
    <row r="25" spans="1:33">
      <c r="A25" t="s">
        <v>71</v>
      </c>
      <c r="C25" s="9">
        <f>D25+D25*C24</f>
        <v>2661.1520454071169</v>
      </c>
      <c r="D25" s="9">
        <f>G17</f>
        <v>2661.1520454071169</v>
      </c>
      <c r="E25" s="9">
        <f>D25-D25*E24</f>
        <v>2661.1520454071169</v>
      </c>
      <c r="F25" s="9">
        <f t="shared" ref="F25:AG25" si="6">E25-E25*F24</f>
        <v>2661.1520454071169</v>
      </c>
      <c r="G25" s="9">
        <f t="shared" si="6"/>
        <v>2661.1520454071169</v>
      </c>
      <c r="H25" s="9">
        <f t="shared" si="6"/>
        <v>2661.1520454071169</v>
      </c>
      <c r="I25" s="9">
        <f t="shared" si="6"/>
        <v>2661.1520454071169</v>
      </c>
      <c r="J25" s="9">
        <f t="shared" si="6"/>
        <v>2661.1520454071169</v>
      </c>
      <c r="K25" s="9">
        <f t="shared" si="6"/>
        <v>2661.1520454071169</v>
      </c>
      <c r="L25" s="9">
        <f t="shared" si="6"/>
        <v>2661.1520454071169</v>
      </c>
      <c r="M25" s="9">
        <f t="shared" si="6"/>
        <v>2661.1520454071169</v>
      </c>
      <c r="N25" s="9">
        <f t="shared" si="6"/>
        <v>2661.1520454071169</v>
      </c>
      <c r="O25" s="9">
        <f t="shared" si="6"/>
        <v>2661.1520454071169</v>
      </c>
      <c r="P25" s="9">
        <f t="shared" si="6"/>
        <v>2661.1520454071169</v>
      </c>
      <c r="Q25" s="9">
        <f t="shared" si="6"/>
        <v>2661.1520454071169</v>
      </c>
      <c r="R25" s="9">
        <f t="shared" si="6"/>
        <v>2661.1520454071169</v>
      </c>
      <c r="S25" s="9">
        <f t="shared" si="6"/>
        <v>2661.1520454071169</v>
      </c>
      <c r="T25" s="9">
        <f t="shared" si="6"/>
        <v>2661.1520454071169</v>
      </c>
      <c r="U25" s="9">
        <f t="shared" si="6"/>
        <v>2661.1520454071169</v>
      </c>
      <c r="V25" s="9">
        <f t="shared" si="6"/>
        <v>2661.1520454071169</v>
      </c>
      <c r="W25" s="9">
        <f t="shared" si="6"/>
        <v>2661.1520454071169</v>
      </c>
      <c r="X25" s="9">
        <f t="shared" si="6"/>
        <v>2661.1520454071169</v>
      </c>
      <c r="Y25" s="9">
        <f t="shared" si="6"/>
        <v>2661.1520454071169</v>
      </c>
      <c r="Z25" s="9">
        <f t="shared" si="6"/>
        <v>2661.1520454071169</v>
      </c>
      <c r="AA25" s="9">
        <f t="shared" si="6"/>
        <v>2661.1520454071169</v>
      </c>
      <c r="AB25" s="9">
        <f t="shared" si="6"/>
        <v>2661.1520454071169</v>
      </c>
      <c r="AC25" s="9">
        <f t="shared" si="6"/>
        <v>2661.1520454071169</v>
      </c>
      <c r="AD25" s="9">
        <f t="shared" si="6"/>
        <v>2661.1520454071169</v>
      </c>
      <c r="AE25" s="9">
        <f t="shared" si="6"/>
        <v>2661.1520454071169</v>
      </c>
      <c r="AF25" s="9">
        <f t="shared" si="6"/>
        <v>2661.1520454071169</v>
      </c>
      <c r="AG25" s="9">
        <f t="shared" si="6"/>
        <v>2661.1520454071169</v>
      </c>
    </row>
  </sheetData>
  <mergeCells count="3">
    <mergeCell ref="A19:B20"/>
    <mergeCell ref="A1:C1"/>
    <mergeCell ref="E1:F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AG28"/>
  <sheetViews>
    <sheetView workbookViewId="0">
      <selection activeCell="A2" sqref="A2"/>
    </sheetView>
  </sheetViews>
  <sheetFormatPr defaultRowHeight="14.45"/>
  <cols>
    <col min="1" max="1" width="31.7109375" bestFit="1" customWidth="1"/>
    <col min="2" max="2" width="11.28515625" bestFit="1" customWidth="1"/>
    <col min="3" max="3" width="10.140625" customWidth="1"/>
    <col min="4" max="4" width="11" bestFit="1" customWidth="1"/>
    <col min="5" max="5" width="10.85546875" customWidth="1"/>
    <col min="6" max="6" width="10.28515625" customWidth="1"/>
    <col min="7" max="7" width="11.7109375" customWidth="1"/>
    <col min="8" max="8" width="10.5703125" customWidth="1"/>
    <col min="9" max="9" width="10.28515625" customWidth="1"/>
  </cols>
  <sheetData>
    <row r="1" spans="1:9">
      <c r="A1" s="132" t="s">
        <v>32</v>
      </c>
      <c r="B1" s="131"/>
      <c r="C1" s="131"/>
      <c r="E1" s="131" t="s">
        <v>33</v>
      </c>
      <c r="F1" s="131"/>
      <c r="G1" s="131"/>
      <c r="H1" s="131"/>
    </row>
    <row r="2" spans="1:9" ht="72">
      <c r="A2" s="1"/>
      <c r="B2" s="5" t="s">
        <v>34</v>
      </c>
      <c r="C2" s="7" t="s">
        <v>35</v>
      </c>
      <c r="D2" s="45" t="s">
        <v>217</v>
      </c>
      <c r="E2" s="47" t="s">
        <v>37</v>
      </c>
      <c r="F2" s="45" t="s">
        <v>38</v>
      </c>
      <c r="G2" s="47" t="s">
        <v>232</v>
      </c>
      <c r="H2" s="45" t="s">
        <v>40</v>
      </c>
      <c r="I2" s="18" t="s">
        <v>41</v>
      </c>
    </row>
    <row r="3" spans="1:9">
      <c r="A3" t="s">
        <v>43</v>
      </c>
      <c r="B3">
        <v>21.4</v>
      </c>
      <c r="D3" s="35"/>
      <c r="E3" s="48"/>
      <c r="F3" s="35"/>
      <c r="G3" s="48"/>
      <c r="H3" s="35"/>
    </row>
    <row r="4" spans="1:9">
      <c r="A4" s="28" t="s">
        <v>190</v>
      </c>
      <c r="B4" s="6" t="s">
        <v>191</v>
      </c>
      <c r="C4" s="10" t="s">
        <v>46</v>
      </c>
      <c r="D4" s="70" t="s">
        <v>45</v>
      </c>
      <c r="E4" s="73" t="s">
        <v>47</v>
      </c>
      <c r="F4" s="70" t="s">
        <v>45</v>
      </c>
      <c r="G4" s="73" t="s">
        <v>48</v>
      </c>
      <c r="H4" s="70" t="s">
        <v>45</v>
      </c>
      <c r="I4" s="71" t="s">
        <v>45</v>
      </c>
    </row>
    <row r="5" spans="1:9">
      <c r="A5" t="s">
        <v>192</v>
      </c>
      <c r="B5" s="24">
        <v>6861</v>
      </c>
      <c r="C5" s="8">
        <f t="shared" ref="C5:C19" si="0">B5/$B$20</f>
        <v>0.17716321945929198</v>
      </c>
      <c r="D5" s="91">
        <f>$B$26*C5</f>
        <v>296.08713193150896</v>
      </c>
      <c r="E5" s="41">
        <f t="shared" ref="E5:E14" si="1">inf</f>
        <v>2.5000000000000001E-2</v>
      </c>
      <c r="F5" s="36">
        <f>D5*(1+E5)</f>
        <v>303.48931022979667</v>
      </c>
      <c r="G5" s="42" t="s">
        <v>70</v>
      </c>
      <c r="H5" s="36">
        <f>F5</f>
        <v>303.48931022979667</v>
      </c>
      <c r="I5" s="20">
        <f>H5</f>
        <v>303.48931022979667</v>
      </c>
    </row>
    <row r="6" spans="1:9">
      <c r="A6" t="s">
        <v>233</v>
      </c>
      <c r="B6" s="24">
        <v>11974</v>
      </c>
      <c r="C6" s="8">
        <f t="shared" si="0"/>
        <v>0.30918997082139077</v>
      </c>
      <c r="D6" s="91">
        <f t="shared" ref="D6:D20" si="2">$B$26*C6</f>
        <v>516.73915139890516</v>
      </c>
      <c r="E6" s="41">
        <f t="shared" si="1"/>
        <v>2.5000000000000001E-2</v>
      </c>
      <c r="F6" s="36">
        <f t="shared" ref="F6:F11" si="3">D6*(1+E6)</f>
        <v>529.6576301838777</v>
      </c>
      <c r="G6" s="42" t="s">
        <v>70</v>
      </c>
      <c r="H6" s="36">
        <f t="shared" ref="H6:H19" si="4">F6</f>
        <v>529.6576301838777</v>
      </c>
      <c r="I6" s="20">
        <f t="shared" ref="I6:I20" si="5">H6</f>
        <v>529.6576301838777</v>
      </c>
    </row>
    <row r="7" spans="1:9">
      <c r="A7" t="s">
        <v>234</v>
      </c>
      <c r="B7" s="24">
        <v>5521</v>
      </c>
      <c r="C7" s="8">
        <f t="shared" si="0"/>
        <v>0.14256203682185556</v>
      </c>
      <c r="D7" s="91">
        <f t="shared" si="2"/>
        <v>238.25929972217764</v>
      </c>
      <c r="E7" s="41">
        <f t="shared" si="1"/>
        <v>2.5000000000000001E-2</v>
      </c>
      <c r="F7" s="36">
        <f t="shared" si="3"/>
        <v>244.21578221523205</v>
      </c>
      <c r="G7" s="42" t="s">
        <v>70</v>
      </c>
      <c r="H7" s="36">
        <f t="shared" si="4"/>
        <v>244.21578221523205</v>
      </c>
      <c r="I7" s="20">
        <f t="shared" si="5"/>
        <v>244.21578221523205</v>
      </c>
    </row>
    <row r="8" spans="1:9">
      <c r="A8" t="s">
        <v>196</v>
      </c>
      <c r="B8" s="24">
        <v>17495</v>
      </c>
      <c r="C8" s="8">
        <f t="shared" si="0"/>
        <v>0.4517520076432463</v>
      </c>
      <c r="D8" s="91">
        <f t="shared" si="2"/>
        <v>754.99845112108267</v>
      </c>
      <c r="E8" s="41">
        <f t="shared" si="1"/>
        <v>2.5000000000000001E-2</v>
      </c>
      <c r="F8" s="36">
        <f t="shared" si="3"/>
        <v>773.87341239910961</v>
      </c>
      <c r="G8" s="42" t="s">
        <v>70</v>
      </c>
      <c r="H8" s="36">
        <f t="shared" si="4"/>
        <v>773.87341239910961</v>
      </c>
      <c r="I8" s="20">
        <f t="shared" si="5"/>
        <v>773.87341239910961</v>
      </c>
    </row>
    <row r="9" spans="1:9">
      <c r="A9" t="s">
        <v>197</v>
      </c>
      <c r="B9" s="24">
        <v>6668</v>
      </c>
      <c r="C9" s="8">
        <f t="shared" si="0"/>
        <v>0.17217961628837761</v>
      </c>
      <c r="D9" s="91">
        <f t="shared" si="2"/>
        <v>287.75819788941868</v>
      </c>
      <c r="E9" s="41">
        <f t="shared" si="1"/>
        <v>2.5000000000000001E-2</v>
      </c>
      <c r="F9" s="36">
        <f t="shared" si="3"/>
        <v>294.95215283665414</v>
      </c>
      <c r="G9" s="42" t="s">
        <v>70</v>
      </c>
      <c r="H9" s="36">
        <f>F9</f>
        <v>294.95215283665414</v>
      </c>
      <c r="I9" s="20">
        <f t="shared" si="5"/>
        <v>294.95215283665414</v>
      </c>
    </row>
    <row r="10" spans="1:9">
      <c r="A10" t="s">
        <v>198</v>
      </c>
      <c r="B10" s="24">
        <v>180</v>
      </c>
      <c r="C10" s="8">
        <f t="shared" si="0"/>
        <v>4.6479200557750407E-3</v>
      </c>
      <c r="D10" s="91">
        <f t="shared" si="2"/>
        <v>7.7679177594624118</v>
      </c>
      <c r="E10" s="41">
        <f t="shared" si="1"/>
        <v>2.5000000000000001E-2</v>
      </c>
      <c r="F10" s="36">
        <f t="shared" si="3"/>
        <v>7.9621157034489718</v>
      </c>
      <c r="G10" s="42" t="s">
        <v>70</v>
      </c>
      <c r="H10" s="36">
        <f t="shared" si="4"/>
        <v>7.9621157034489718</v>
      </c>
      <c r="I10" s="20">
        <f t="shared" si="5"/>
        <v>7.9621157034489718</v>
      </c>
    </row>
    <row r="11" spans="1:9">
      <c r="A11" t="s">
        <v>199</v>
      </c>
      <c r="B11" s="24">
        <v>1923</v>
      </c>
      <c r="C11" s="8">
        <f t="shared" si="0"/>
        <v>4.9655279262530015E-2</v>
      </c>
      <c r="D11" s="91">
        <f t="shared" si="2"/>
        <v>82.987254730256765</v>
      </c>
      <c r="E11" s="41">
        <f t="shared" si="1"/>
        <v>2.5000000000000001E-2</v>
      </c>
      <c r="F11" s="36">
        <f t="shared" si="3"/>
        <v>85.061936098513172</v>
      </c>
      <c r="G11" s="42" t="s">
        <v>70</v>
      </c>
      <c r="H11" s="36">
        <f t="shared" si="4"/>
        <v>85.061936098513172</v>
      </c>
      <c r="I11" s="20">
        <f t="shared" si="5"/>
        <v>85.061936098513172</v>
      </c>
    </row>
    <row r="12" spans="1:9">
      <c r="A12" s="6" t="s">
        <v>200</v>
      </c>
      <c r="B12" s="34">
        <f>B5+B8+B9+B10+B11</f>
        <v>33127</v>
      </c>
      <c r="C12" s="49">
        <f t="shared" si="0"/>
        <v>0.85539804270922093</v>
      </c>
      <c r="D12" s="90">
        <f t="shared" si="2"/>
        <v>1429.5989534317296</v>
      </c>
      <c r="E12" s="50">
        <f t="shared" si="1"/>
        <v>2.5000000000000001E-2</v>
      </c>
      <c r="F12" s="51">
        <f>F5+F8+F9+F10+F11</f>
        <v>1465.3389272675224</v>
      </c>
      <c r="G12" s="52" t="s">
        <v>70</v>
      </c>
      <c r="H12" s="51">
        <f>H5+H8+H9+H10+H11</f>
        <v>1465.3389272675224</v>
      </c>
      <c r="I12" s="67">
        <f t="shared" si="5"/>
        <v>1465.3389272675224</v>
      </c>
    </row>
    <row r="13" spans="1:9">
      <c r="A13" t="s">
        <v>201</v>
      </c>
      <c r="B13" s="37">
        <v>1586</v>
      </c>
      <c r="C13" s="8">
        <f t="shared" si="0"/>
        <v>4.0953340046995634E-2</v>
      </c>
      <c r="D13" s="91">
        <f t="shared" si="2"/>
        <v>68.443986480596578</v>
      </c>
      <c r="E13" s="41">
        <f t="shared" si="1"/>
        <v>2.5000000000000001E-2</v>
      </c>
      <c r="F13" s="36">
        <f>D13*(1+E13)</f>
        <v>70.155086142611481</v>
      </c>
      <c r="G13" s="42" t="s">
        <v>70</v>
      </c>
      <c r="H13" s="36">
        <f t="shared" si="4"/>
        <v>70.155086142611481</v>
      </c>
      <c r="I13" s="20">
        <f t="shared" si="5"/>
        <v>70.155086142611481</v>
      </c>
    </row>
    <row r="14" spans="1:9">
      <c r="A14" t="s">
        <v>97</v>
      </c>
      <c r="B14" s="37">
        <v>300</v>
      </c>
      <c r="C14" s="8">
        <f t="shared" si="0"/>
        <v>7.7465334262917344E-3</v>
      </c>
      <c r="D14" s="91">
        <f t="shared" si="2"/>
        <v>12.94652959910402</v>
      </c>
      <c r="E14" s="41">
        <f t="shared" si="1"/>
        <v>2.5000000000000001E-2</v>
      </c>
      <c r="F14" s="36">
        <f>D14*(1+E14)</f>
        <v>13.270192839081618</v>
      </c>
      <c r="G14" s="42" t="s">
        <v>70</v>
      </c>
      <c r="H14" s="36">
        <f t="shared" si="4"/>
        <v>13.270192839081618</v>
      </c>
      <c r="I14" s="20">
        <f t="shared" si="5"/>
        <v>13.270192839081618</v>
      </c>
    </row>
    <row r="15" spans="1:9">
      <c r="A15" t="s">
        <v>235</v>
      </c>
      <c r="B15" s="37"/>
      <c r="C15" s="37"/>
      <c r="D15" s="91">
        <f t="shared" si="2"/>
        <v>0</v>
      </c>
      <c r="E15" s="54"/>
      <c r="F15" s="30"/>
      <c r="G15" s="54"/>
      <c r="H15" s="30"/>
      <c r="I15" s="37"/>
    </row>
    <row r="16" spans="1:9">
      <c r="A16" t="s">
        <v>202</v>
      </c>
      <c r="B16" s="37">
        <v>720</v>
      </c>
      <c r="C16" s="8">
        <f t="shared" si="0"/>
        <v>1.8591680223100163E-2</v>
      </c>
      <c r="D16" s="91">
        <f t="shared" si="2"/>
        <v>31.071671037849647</v>
      </c>
      <c r="E16" s="41">
        <f>inf</f>
        <v>2.5000000000000001E-2</v>
      </c>
      <c r="F16" s="36">
        <f>D16*(1+E16)</f>
        <v>31.848462813795887</v>
      </c>
      <c r="G16" s="56">
        <f>F16*4</f>
        <v>127.39385125518355</v>
      </c>
      <c r="H16" s="36">
        <f>F16+G16</f>
        <v>159.24231406897943</v>
      </c>
      <c r="I16" s="20">
        <f t="shared" si="5"/>
        <v>159.24231406897943</v>
      </c>
    </row>
    <row r="17" spans="1:33">
      <c r="A17" t="s">
        <v>203</v>
      </c>
      <c r="B17" s="37">
        <v>125</v>
      </c>
      <c r="C17" s="8">
        <f t="shared" si="0"/>
        <v>3.2277222609548894E-3</v>
      </c>
      <c r="D17" s="91">
        <f t="shared" si="2"/>
        <v>5.3943873329600081</v>
      </c>
      <c r="E17" s="41">
        <f>inf</f>
        <v>2.5000000000000001E-2</v>
      </c>
      <c r="F17" s="36">
        <f t="shared" ref="F17:F19" si="6">D17*(1+E17)</f>
        <v>5.5292470162840077</v>
      </c>
      <c r="G17" s="42" t="s">
        <v>70</v>
      </c>
      <c r="H17" s="36">
        <f>F17</f>
        <v>5.5292470162840077</v>
      </c>
      <c r="I17" s="20">
        <f t="shared" si="5"/>
        <v>5.5292470162840077</v>
      </c>
    </row>
    <row r="18" spans="1:33">
      <c r="A18" t="s">
        <v>204</v>
      </c>
      <c r="B18" s="37">
        <v>14705</v>
      </c>
      <c r="C18" s="8">
        <f t="shared" si="0"/>
        <v>0.37970924677873319</v>
      </c>
      <c r="D18" s="91">
        <f t="shared" si="2"/>
        <v>634.59572584941532</v>
      </c>
      <c r="E18" s="41">
        <f>inf</f>
        <v>2.5000000000000001E-2</v>
      </c>
      <c r="F18" s="36">
        <f t="shared" si="6"/>
        <v>650.46061899565063</v>
      </c>
      <c r="G18" s="42" t="s">
        <v>70</v>
      </c>
      <c r="H18" s="36">
        <f t="shared" si="4"/>
        <v>650.46061899565063</v>
      </c>
      <c r="I18" s="20">
        <f t="shared" si="5"/>
        <v>650.46061899565063</v>
      </c>
    </row>
    <row r="19" spans="1:33">
      <c r="A19" s="6" t="s">
        <v>205</v>
      </c>
      <c r="B19" s="34">
        <v>2869</v>
      </c>
      <c r="C19" s="49">
        <f t="shared" si="0"/>
        <v>7.4082681333436623E-2</v>
      </c>
      <c r="D19" s="90">
        <f t="shared" si="2"/>
        <v>123.81197806609811</v>
      </c>
      <c r="E19" s="50">
        <f>inf</f>
        <v>2.5000000000000001E-2</v>
      </c>
      <c r="F19" s="51">
        <f t="shared" si="6"/>
        <v>126.90727751775054</v>
      </c>
      <c r="G19" s="52" t="s">
        <v>70</v>
      </c>
      <c r="H19" s="51">
        <f t="shared" si="4"/>
        <v>126.90727751775054</v>
      </c>
      <c r="I19" s="67">
        <f t="shared" si="5"/>
        <v>126.90727751775054</v>
      </c>
    </row>
    <row r="20" spans="1:33">
      <c r="A20" s="6" t="s">
        <v>66</v>
      </c>
      <c r="B20" s="34">
        <f>B12+B13+B14+B16+B19+B17</f>
        <v>38727</v>
      </c>
      <c r="C20" s="49">
        <f>B20/$B$20</f>
        <v>1</v>
      </c>
      <c r="D20" s="96">
        <f t="shared" si="2"/>
        <v>1671.2675059483379</v>
      </c>
      <c r="E20" s="50">
        <f>inf</f>
        <v>2.5000000000000001E-2</v>
      </c>
      <c r="F20" s="51">
        <f>F12+F13+F14+F16+F19+F17</f>
        <v>1713.0491935970458</v>
      </c>
      <c r="G20" s="52" t="s">
        <v>70</v>
      </c>
      <c r="H20" s="51">
        <f>H12+H13+H14+H16+H19+H17</f>
        <v>1840.4430448522294</v>
      </c>
      <c r="I20" s="67">
        <f t="shared" si="5"/>
        <v>1840.4430448522294</v>
      </c>
    </row>
    <row r="22" spans="1:33" ht="14.45" customHeight="1">
      <c r="A22" s="130" t="s">
        <v>67</v>
      </c>
      <c r="B22" s="130"/>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row>
    <row r="23" spans="1:33" ht="14.45" customHeight="1">
      <c r="A23" s="130"/>
      <c r="B23" s="130"/>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row>
    <row r="25" spans="1:33">
      <c r="A25" t="s">
        <v>12</v>
      </c>
      <c r="B25">
        <v>2019</v>
      </c>
      <c r="C25">
        <v>2020</v>
      </c>
      <c r="D25">
        <v>2021</v>
      </c>
      <c r="E25">
        <v>2022</v>
      </c>
      <c r="F25">
        <v>2023</v>
      </c>
      <c r="G25">
        <v>2024</v>
      </c>
      <c r="H25">
        <v>2025</v>
      </c>
      <c r="I25">
        <v>2026</v>
      </c>
      <c r="J25">
        <v>2027</v>
      </c>
      <c r="K25">
        <v>2028</v>
      </c>
      <c r="L25">
        <v>2029</v>
      </c>
      <c r="M25">
        <v>2030</v>
      </c>
      <c r="N25">
        <v>2031</v>
      </c>
      <c r="O25">
        <v>2032</v>
      </c>
      <c r="P25">
        <v>2033</v>
      </c>
      <c r="Q25">
        <v>2034</v>
      </c>
      <c r="R25">
        <v>2035</v>
      </c>
      <c r="S25">
        <v>2036</v>
      </c>
      <c r="T25">
        <v>2037</v>
      </c>
      <c r="U25">
        <v>2038</v>
      </c>
      <c r="V25">
        <v>2039</v>
      </c>
      <c r="W25">
        <v>2040</v>
      </c>
      <c r="X25">
        <v>2041</v>
      </c>
      <c r="Y25">
        <v>2042</v>
      </c>
      <c r="Z25">
        <v>2043</v>
      </c>
      <c r="AA25">
        <v>2044</v>
      </c>
      <c r="AB25">
        <v>2045</v>
      </c>
      <c r="AC25">
        <v>2046</v>
      </c>
      <c r="AD25">
        <v>2047</v>
      </c>
      <c r="AE25">
        <v>2048</v>
      </c>
      <c r="AF25">
        <v>2049</v>
      </c>
      <c r="AG25">
        <v>2050</v>
      </c>
    </row>
    <row r="26" spans="1:33">
      <c r="A26" t="s">
        <v>231</v>
      </c>
      <c r="B26" s="9">
        <v>1671.2675059483379</v>
      </c>
      <c r="C26" s="9">
        <v>1683.3252223523093</v>
      </c>
      <c r="D26" s="9">
        <v>1670.7682648279588</v>
      </c>
      <c r="E26" s="9">
        <v>1637.8358853517179</v>
      </c>
      <c r="F26" s="9">
        <v>1622.6007864675305</v>
      </c>
      <c r="G26" s="9">
        <v>1613.55046466764</v>
      </c>
      <c r="H26" s="9">
        <v>1604.5929829991478</v>
      </c>
      <c r="I26" s="9">
        <v>1595.5060388307318</v>
      </c>
      <c r="J26" s="9">
        <v>1588.5777972350913</v>
      </c>
      <c r="K26" s="9">
        <v>1578.4238977590824</v>
      </c>
      <c r="L26" s="9">
        <v>1572.7784504801646</v>
      </c>
      <c r="M26" s="9">
        <v>1567.6518633673463</v>
      </c>
      <c r="N26" s="9">
        <v>1560.4721636734414</v>
      </c>
      <c r="O26" s="9">
        <v>1554.9923834609549</v>
      </c>
      <c r="P26" s="9">
        <v>1549.969012493666</v>
      </c>
      <c r="Q26" s="9">
        <v>1543.9631901997475</v>
      </c>
      <c r="R26" s="9">
        <v>1538.037338398166</v>
      </c>
      <c r="S26" s="9">
        <v>1532.9563140011874</v>
      </c>
      <c r="T26" s="9">
        <v>1529.8743044845185</v>
      </c>
      <c r="U26" s="9">
        <v>1525.9767940446393</v>
      </c>
      <c r="V26" s="9">
        <v>1522.2711430145598</v>
      </c>
      <c r="W26" s="9">
        <v>1520.1344634602094</v>
      </c>
      <c r="X26" s="9">
        <v>1514.5698286495672</v>
      </c>
      <c r="Y26" s="9">
        <v>1513.2246378558636</v>
      </c>
      <c r="Z26" s="9">
        <v>1507.9839045709987</v>
      </c>
      <c r="AA26" s="9">
        <v>1506.3061237842851</v>
      </c>
      <c r="AB26" s="9">
        <v>1501.654299603204</v>
      </c>
      <c r="AC26" s="9">
        <v>1498.401201035173</v>
      </c>
      <c r="AD26" s="9">
        <v>1495.1240977430098</v>
      </c>
      <c r="AE26" s="9">
        <v>1491.7135575178163</v>
      </c>
      <c r="AF26" s="9">
        <v>1476.8319878868376</v>
      </c>
      <c r="AG26" s="9">
        <v>637.63005559579869</v>
      </c>
    </row>
    <row r="27" spans="1:33">
      <c r="A27" t="s">
        <v>69</v>
      </c>
      <c r="B27" s="16" t="s">
        <v>70</v>
      </c>
      <c r="C27" s="15">
        <f>1-(C26/B26)</f>
        <v>-7.2147135997413514E-3</v>
      </c>
      <c r="D27" s="15">
        <f t="shared" ref="D27:AG27" si="7">1-(D26/C26)</f>
        <v>7.4596146707783806E-3</v>
      </c>
      <c r="E27" s="15">
        <f t="shared" si="7"/>
        <v>1.9710919921998804E-2</v>
      </c>
      <c r="F27" s="15">
        <f t="shared" si="7"/>
        <v>9.301969153591827E-3</v>
      </c>
      <c r="G27" s="15">
        <f t="shared" si="7"/>
        <v>5.5776638809558188E-3</v>
      </c>
      <c r="H27" s="15">
        <f t="shared" si="7"/>
        <v>5.5514109193586236E-3</v>
      </c>
      <c r="I27" s="15">
        <f t="shared" si="7"/>
        <v>5.6630835761425358E-3</v>
      </c>
      <c r="J27" s="15">
        <f t="shared" si="7"/>
        <v>4.3423474603191403E-3</v>
      </c>
      <c r="K27" s="15">
        <f t="shared" si="7"/>
        <v>6.3918175702075697E-3</v>
      </c>
      <c r="L27" s="15">
        <f t="shared" si="7"/>
        <v>3.5766357104277668E-3</v>
      </c>
      <c r="M27" s="15">
        <f t="shared" si="7"/>
        <v>3.259573598082488E-3</v>
      </c>
      <c r="N27" s="15">
        <f t="shared" si="7"/>
        <v>4.5799069689380634E-3</v>
      </c>
      <c r="O27" s="15">
        <f t="shared" si="7"/>
        <v>3.5116167657786024E-3</v>
      </c>
      <c r="P27" s="15">
        <f t="shared" si="7"/>
        <v>3.2304794677567861E-3</v>
      </c>
      <c r="Q27" s="15">
        <f t="shared" si="7"/>
        <v>3.8748015253905477E-3</v>
      </c>
      <c r="R27" s="15">
        <f t="shared" si="7"/>
        <v>3.8380784200009455E-3</v>
      </c>
      <c r="S27" s="15">
        <f t="shared" si="7"/>
        <v>3.3035767533903249E-3</v>
      </c>
      <c r="T27" s="15">
        <f t="shared" si="7"/>
        <v>2.0105005527681907E-3</v>
      </c>
      <c r="U27" s="15">
        <f t="shared" si="7"/>
        <v>2.547601739864791E-3</v>
      </c>
      <c r="V27" s="15">
        <f t="shared" si="7"/>
        <v>2.428379674279002E-3</v>
      </c>
      <c r="W27" s="15">
        <f t="shared" si="7"/>
        <v>1.4036129924390739E-3</v>
      </c>
      <c r="X27" s="15">
        <f t="shared" si="7"/>
        <v>3.660620125653713E-3</v>
      </c>
      <c r="Y27" s="15">
        <f t="shared" si="7"/>
        <v>8.8816690274551302E-4</v>
      </c>
      <c r="Z27" s="15">
        <f t="shared" si="7"/>
        <v>3.4632883669477588E-3</v>
      </c>
      <c r="AA27" s="15">
        <f t="shared" si="7"/>
        <v>1.112598603756898E-3</v>
      </c>
      <c r="AB27" s="15">
        <f t="shared" si="7"/>
        <v>3.0882329346137993E-3</v>
      </c>
      <c r="AC27" s="15">
        <f t="shared" si="7"/>
        <v>2.1663431915658338E-3</v>
      </c>
      <c r="AD27" s="15">
        <f t="shared" si="7"/>
        <v>2.1870666480374723E-3</v>
      </c>
      <c r="AE27" s="15">
        <f t="shared" si="7"/>
        <v>2.2811084580482976E-3</v>
      </c>
      <c r="AF27" s="15">
        <f t="shared" si="7"/>
        <v>9.9761576584055378E-3</v>
      </c>
      <c r="AG27" s="15">
        <f t="shared" si="7"/>
        <v>0.56824468807168249</v>
      </c>
    </row>
    <row r="28" spans="1:33">
      <c r="A28" t="s">
        <v>71</v>
      </c>
      <c r="C28" s="9">
        <f>D28+D28*C27</f>
        <v>1827.1647753869847</v>
      </c>
      <c r="D28" s="9">
        <f>I20</f>
        <v>1840.4430448522294</v>
      </c>
      <c r="E28" s="9">
        <f>D28-D28*E27</f>
        <v>1804.1662193741474</v>
      </c>
      <c r="F28" s="9">
        <f t="shared" ref="F28:AG28" si="8">E28-E28*F27</f>
        <v>1787.3839208535767</v>
      </c>
      <c r="G28" s="9">
        <f t="shared" si="8"/>
        <v>1777.4144941168304</v>
      </c>
      <c r="H28" s="9">
        <f t="shared" si="8"/>
        <v>1767.547335885964</v>
      </c>
      <c r="I28" s="9">
        <f t="shared" si="8"/>
        <v>1757.5375675980538</v>
      </c>
      <c r="J28" s="9">
        <f t="shared" si="8"/>
        <v>1749.9057288049789</v>
      </c>
      <c r="K28" s="9">
        <f t="shared" si="8"/>
        <v>1738.7206506213963</v>
      </c>
      <c r="L28" s="9">
        <f t="shared" si="8"/>
        <v>1732.5018802519257</v>
      </c>
      <c r="M28" s="9">
        <f t="shared" si="8"/>
        <v>1726.8546628644283</v>
      </c>
      <c r="N28" s="9">
        <f t="shared" si="8"/>
        <v>1718.9458291596322</v>
      </c>
      <c r="O28" s="9">
        <f t="shared" si="8"/>
        <v>1712.9095501664901</v>
      </c>
      <c r="P28" s="9">
        <f t="shared" si="8"/>
        <v>1707.3760310345529</v>
      </c>
      <c r="Q28" s="9">
        <f t="shared" si="8"/>
        <v>1700.760287785085</v>
      </c>
      <c r="R28" s="9">
        <f t="shared" si="8"/>
        <v>1694.2326364269425</v>
      </c>
      <c r="S28" s="9">
        <f t="shared" si="8"/>
        <v>1688.6356088744071</v>
      </c>
      <c r="T28" s="9">
        <f t="shared" si="8"/>
        <v>1685.2406060493411</v>
      </c>
      <c r="U28" s="9">
        <f t="shared" si="8"/>
        <v>1680.9472841492791</v>
      </c>
      <c r="V28" s="9">
        <f t="shared" si="8"/>
        <v>1676.8653059309165</v>
      </c>
      <c r="W28" s="9">
        <f t="shared" si="8"/>
        <v>1674.5116360009415</v>
      </c>
      <c r="X28" s="9">
        <f t="shared" si="8"/>
        <v>1668.3818850055552</v>
      </c>
      <c r="Y28" s="9">
        <f t="shared" si="8"/>
        <v>1666.9000834341532</v>
      </c>
      <c r="Z28" s="9">
        <f t="shared" si="8"/>
        <v>1661.1271277663313</v>
      </c>
      <c r="AA28" s="9">
        <f t="shared" si="8"/>
        <v>1659.2789600433159</v>
      </c>
      <c r="AB28" s="9">
        <f t="shared" si="8"/>
        <v>1654.1547201111985</v>
      </c>
      <c r="AC28" s="9">
        <f t="shared" si="8"/>
        <v>1650.571253295489</v>
      </c>
      <c r="AD28" s="9">
        <f t="shared" si="8"/>
        <v>1646.961343957197</v>
      </c>
      <c r="AE28" s="9">
        <f t="shared" si="8"/>
        <v>1643.2044465054175</v>
      </c>
      <c r="AF28" s="9">
        <f t="shared" si="8"/>
        <v>1626.8115798820866</v>
      </c>
      <c r="AG28" s="9">
        <f t="shared" si="8"/>
        <v>702.38454112058935</v>
      </c>
    </row>
  </sheetData>
  <mergeCells count="3">
    <mergeCell ref="A22:B23"/>
    <mergeCell ref="A1:C1"/>
    <mergeCell ref="E1:H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sheetPr>
  <dimension ref="A1:J23"/>
  <sheetViews>
    <sheetView workbookViewId="0">
      <selection activeCell="A2" sqref="A2"/>
    </sheetView>
  </sheetViews>
  <sheetFormatPr defaultRowHeight="14.45"/>
  <cols>
    <col min="1" max="1" width="31.7109375" bestFit="1" customWidth="1"/>
    <col min="2" max="2" width="11.5703125" bestFit="1" customWidth="1"/>
    <col min="3" max="3" width="11.140625" customWidth="1"/>
    <col min="4" max="4" width="11.28515625" customWidth="1"/>
    <col min="5" max="5" width="10.85546875" customWidth="1"/>
    <col min="6" max="6" width="11" customWidth="1"/>
    <col min="7" max="7" width="10.42578125" customWidth="1"/>
    <col min="8" max="9" width="10.7109375" customWidth="1"/>
    <col min="10" max="10" width="10" customWidth="1"/>
  </cols>
  <sheetData>
    <row r="1" spans="1:10">
      <c r="A1" s="132" t="s">
        <v>32</v>
      </c>
      <c r="B1" s="131"/>
      <c r="C1" s="131"/>
      <c r="D1" s="131" t="s">
        <v>33</v>
      </c>
      <c r="E1" s="131"/>
      <c r="F1" s="131"/>
      <c r="G1" s="131"/>
      <c r="H1" s="131"/>
      <c r="I1" s="131"/>
    </row>
    <row r="2" spans="1:10" ht="72">
      <c r="A2" s="1"/>
      <c r="B2" s="5" t="s">
        <v>34</v>
      </c>
      <c r="C2" s="7" t="s">
        <v>35</v>
      </c>
      <c r="D2" s="47" t="s">
        <v>236</v>
      </c>
      <c r="E2" s="45" t="s">
        <v>38</v>
      </c>
      <c r="F2" s="47" t="s">
        <v>237</v>
      </c>
      <c r="G2" s="45" t="s">
        <v>40</v>
      </c>
      <c r="H2" s="47" t="s">
        <v>189</v>
      </c>
      <c r="I2" s="45" t="s">
        <v>118</v>
      </c>
      <c r="J2" s="18" t="s">
        <v>41</v>
      </c>
    </row>
    <row r="3" spans="1:10">
      <c r="A3" s="6" t="s">
        <v>43</v>
      </c>
      <c r="B3" s="6">
        <v>600</v>
      </c>
      <c r="C3" s="6"/>
      <c r="D3" s="63" t="s">
        <v>238</v>
      </c>
      <c r="E3" s="79" t="s">
        <v>45</v>
      </c>
      <c r="F3" s="63" t="s">
        <v>47</v>
      </c>
      <c r="G3" s="79" t="s">
        <v>45</v>
      </c>
      <c r="H3" s="63" t="s">
        <v>48</v>
      </c>
      <c r="I3" s="79" t="s">
        <v>45</v>
      </c>
      <c r="J3" s="28" t="s">
        <v>45</v>
      </c>
    </row>
    <row r="4" spans="1:10">
      <c r="A4" s="1" t="s">
        <v>192</v>
      </c>
      <c r="B4" s="21">
        <v>583524</v>
      </c>
      <c r="C4" s="8">
        <f t="shared" ref="C4:C18" si="0">B4/B$18</f>
        <v>0.15709153076452537</v>
      </c>
      <c r="D4" s="48">
        <f>B$3</f>
        <v>600</v>
      </c>
      <c r="E4" s="58">
        <f t="shared" ref="E4:E11" si="1">B4/D4</f>
        <v>972.54</v>
      </c>
      <c r="F4" s="41">
        <v>1.9699999999999999E-2</v>
      </c>
      <c r="G4" s="36">
        <f>E4*(1+F4)</f>
        <v>991.69903799999997</v>
      </c>
      <c r="H4" s="48" t="s">
        <v>70</v>
      </c>
      <c r="I4" s="36">
        <f>G4</f>
        <v>991.69903799999997</v>
      </c>
      <c r="J4" s="20">
        <f>I4</f>
        <v>991.69903799999997</v>
      </c>
    </row>
    <row r="5" spans="1:10">
      <c r="A5" s="1" t="s">
        <v>239</v>
      </c>
      <c r="B5" s="21">
        <v>648360</v>
      </c>
      <c r="C5" s="8">
        <f t="shared" si="0"/>
        <v>0.17454614529391707</v>
      </c>
      <c r="D5" s="48">
        <f t="shared" ref="D5:D18" si="2">B$3</f>
        <v>600</v>
      </c>
      <c r="E5" s="58">
        <f t="shared" si="1"/>
        <v>1080.5999999999999</v>
      </c>
      <c r="F5" s="41">
        <v>1.9699999999999999E-2</v>
      </c>
      <c r="G5" s="36">
        <f t="shared" ref="G5:G17" si="3">E5*(1+F5)</f>
        <v>1101.8878199999999</v>
      </c>
      <c r="H5" s="48" t="s">
        <v>70</v>
      </c>
      <c r="I5" s="36">
        <f t="shared" ref="I5:I17" si="4">G5</f>
        <v>1101.8878199999999</v>
      </c>
      <c r="J5" s="20">
        <f t="shared" ref="J5:J18" si="5">I5</f>
        <v>1101.8878199999999</v>
      </c>
    </row>
    <row r="6" spans="1:10">
      <c r="A6" s="1" t="s">
        <v>240</v>
      </c>
      <c r="B6" s="21">
        <v>421434</v>
      </c>
      <c r="C6" s="8">
        <f t="shared" si="0"/>
        <v>0.11345499444104611</v>
      </c>
      <c r="D6" s="48">
        <f t="shared" si="2"/>
        <v>600</v>
      </c>
      <c r="E6" s="58">
        <f t="shared" si="1"/>
        <v>702.39</v>
      </c>
      <c r="F6" s="41">
        <v>1.9699999999999999E-2</v>
      </c>
      <c r="G6" s="36">
        <f t="shared" si="3"/>
        <v>716.22708299999999</v>
      </c>
      <c r="H6" s="48" t="s">
        <v>70</v>
      </c>
      <c r="I6" s="36">
        <f t="shared" si="4"/>
        <v>716.22708299999999</v>
      </c>
      <c r="J6" s="20">
        <f t="shared" si="5"/>
        <v>716.22708299999999</v>
      </c>
    </row>
    <row r="7" spans="1:10">
      <c r="A7" s="1" t="s">
        <v>241</v>
      </c>
      <c r="B7" s="21">
        <v>389016</v>
      </c>
      <c r="C7" s="8">
        <f t="shared" si="0"/>
        <v>0.10472768717635024</v>
      </c>
      <c r="D7" s="48">
        <f t="shared" si="2"/>
        <v>600</v>
      </c>
      <c r="E7" s="58">
        <f t="shared" si="1"/>
        <v>648.36</v>
      </c>
      <c r="F7" s="41">
        <v>1.9699999999999999E-2</v>
      </c>
      <c r="G7" s="36">
        <f t="shared" si="3"/>
        <v>661.13269200000002</v>
      </c>
      <c r="H7" s="48" t="s">
        <v>70</v>
      </c>
      <c r="I7" s="36">
        <f t="shared" si="4"/>
        <v>661.13269200000002</v>
      </c>
      <c r="J7" s="20">
        <f t="shared" si="5"/>
        <v>661.13269200000002</v>
      </c>
    </row>
    <row r="8" spans="1:10">
      <c r="A8" s="1" t="s">
        <v>196</v>
      </c>
      <c r="B8" s="21">
        <v>1458810</v>
      </c>
      <c r="C8" s="8">
        <f t="shared" si="0"/>
        <v>0.39272882691131344</v>
      </c>
      <c r="D8" s="48">
        <f t="shared" si="2"/>
        <v>600</v>
      </c>
      <c r="E8" s="58">
        <f t="shared" si="1"/>
        <v>2431.35</v>
      </c>
      <c r="F8" s="41">
        <v>1.9699999999999999E-2</v>
      </c>
      <c r="G8" s="36">
        <f t="shared" si="3"/>
        <v>2479.2475949999998</v>
      </c>
      <c r="H8" s="48" t="s">
        <v>70</v>
      </c>
      <c r="I8" s="36">
        <f t="shared" si="4"/>
        <v>2479.2475949999998</v>
      </c>
      <c r="J8" s="20">
        <f t="shared" si="5"/>
        <v>2479.2475949999998</v>
      </c>
    </row>
    <row r="9" spans="1:10">
      <c r="A9" s="1" t="s">
        <v>197</v>
      </c>
      <c r="B9" s="21">
        <v>259344</v>
      </c>
      <c r="C9" s="8">
        <f t="shared" si="0"/>
        <v>6.9818458117566831E-2</v>
      </c>
      <c r="D9" s="48">
        <f t="shared" si="2"/>
        <v>600</v>
      </c>
      <c r="E9" s="58">
        <f t="shared" si="1"/>
        <v>432.24</v>
      </c>
      <c r="F9" s="41">
        <v>1.9699999999999999E-2</v>
      </c>
      <c r="G9" s="36">
        <f t="shared" si="3"/>
        <v>440.75512800000001</v>
      </c>
      <c r="H9" s="48" t="s">
        <v>70</v>
      </c>
      <c r="I9" s="36">
        <f t="shared" si="4"/>
        <v>440.75512800000001</v>
      </c>
      <c r="J9" s="20">
        <f t="shared" si="5"/>
        <v>440.75512800000001</v>
      </c>
    </row>
    <row r="10" spans="1:10">
      <c r="A10" s="1" t="s">
        <v>198</v>
      </c>
      <c r="B10" s="21">
        <v>551000</v>
      </c>
      <c r="C10" s="8">
        <f t="shared" si="0"/>
        <v>0.14833568705186673</v>
      </c>
      <c r="D10" s="48">
        <f t="shared" si="2"/>
        <v>600</v>
      </c>
      <c r="E10" s="58">
        <f t="shared" si="1"/>
        <v>918.33333333333337</v>
      </c>
      <c r="F10" s="41">
        <v>1.9699999999999999E-2</v>
      </c>
      <c r="G10" s="36">
        <f t="shared" si="3"/>
        <v>936.42450000000008</v>
      </c>
      <c r="H10" s="48"/>
      <c r="I10" s="36">
        <f t="shared" si="4"/>
        <v>936.42450000000008</v>
      </c>
      <c r="J10" s="20">
        <f t="shared" si="5"/>
        <v>936.42450000000008</v>
      </c>
    </row>
    <row r="11" spans="1:10">
      <c r="A11" s="3" t="s">
        <v>199</v>
      </c>
      <c r="B11" s="84">
        <v>285267.8</v>
      </c>
      <c r="C11" s="49">
        <f t="shared" si="0"/>
        <v>7.6797450284527238E-2</v>
      </c>
      <c r="D11" s="63">
        <f t="shared" si="2"/>
        <v>600</v>
      </c>
      <c r="E11" s="74">
        <f t="shared" si="1"/>
        <v>475.44633333333331</v>
      </c>
      <c r="F11" s="50">
        <v>1.9699999999999999E-2</v>
      </c>
      <c r="G11" s="51">
        <f t="shared" si="3"/>
        <v>484.81262609999999</v>
      </c>
      <c r="H11" s="63" t="s">
        <v>70</v>
      </c>
      <c r="I11" s="51">
        <f t="shared" si="4"/>
        <v>484.81262609999999</v>
      </c>
      <c r="J11" s="67">
        <f t="shared" si="5"/>
        <v>484.81262609999999</v>
      </c>
    </row>
    <row r="12" spans="1:10">
      <c r="A12" s="1" t="s">
        <v>200</v>
      </c>
      <c r="B12" s="85">
        <f>B4+B8+B9+B10+B11</f>
        <v>3137945.8</v>
      </c>
      <c r="C12" s="8">
        <f t="shared" si="0"/>
        <v>0.84477195312979958</v>
      </c>
      <c r="D12" s="48">
        <f t="shared" si="2"/>
        <v>600</v>
      </c>
      <c r="E12" s="58">
        <f>E4+E8+E9+E10+E11</f>
        <v>5229.9096666666665</v>
      </c>
      <c r="F12" s="41">
        <v>1.9699999999999999E-2</v>
      </c>
      <c r="G12" s="36">
        <f>G4+G8+G9+G10+G11</f>
        <v>5332.9388870999992</v>
      </c>
      <c r="H12" s="48" t="s">
        <v>70</v>
      </c>
      <c r="I12" s="36">
        <f>I4+I8+I9+I10+I11</f>
        <v>5332.9388870999992</v>
      </c>
      <c r="J12" s="20">
        <f t="shared" si="5"/>
        <v>5332.9388870999992</v>
      </c>
    </row>
    <row r="13" spans="1:10">
      <c r="A13" s="1" t="s">
        <v>201</v>
      </c>
      <c r="B13" s="39">
        <v>235346</v>
      </c>
      <c r="C13" s="8">
        <f t="shared" si="0"/>
        <v>6.3357913983500228E-2</v>
      </c>
      <c r="D13" s="48">
        <f t="shared" si="2"/>
        <v>600</v>
      </c>
      <c r="E13" s="58">
        <f>B13/D13</f>
        <v>392.24333333333334</v>
      </c>
      <c r="F13" s="41">
        <v>1.9699999999999999E-2</v>
      </c>
      <c r="G13" s="36">
        <f t="shared" si="3"/>
        <v>399.970527</v>
      </c>
      <c r="H13" s="48"/>
      <c r="I13" s="36">
        <f>G13</f>
        <v>399.970527</v>
      </c>
      <c r="J13" s="20">
        <f t="shared" si="5"/>
        <v>399.970527</v>
      </c>
    </row>
    <row r="14" spans="1:10">
      <c r="A14" s="1" t="s">
        <v>97</v>
      </c>
      <c r="B14" s="39">
        <v>1050</v>
      </c>
      <c r="C14" s="8">
        <f t="shared" si="0"/>
        <v>2.8267236189557181E-4</v>
      </c>
      <c r="D14" s="48">
        <f t="shared" si="2"/>
        <v>600</v>
      </c>
      <c r="E14" s="58">
        <f>B14/D14</f>
        <v>1.75</v>
      </c>
      <c r="F14" s="41">
        <v>1.9699999999999999E-2</v>
      </c>
      <c r="G14" s="36">
        <f t="shared" si="3"/>
        <v>1.784475</v>
      </c>
      <c r="H14" s="48" t="s">
        <v>70</v>
      </c>
      <c r="I14" s="36">
        <f t="shared" si="4"/>
        <v>1.784475</v>
      </c>
      <c r="J14" s="20">
        <f t="shared" si="5"/>
        <v>1.784475</v>
      </c>
    </row>
    <row r="15" spans="1:10">
      <c r="A15" s="3" t="s">
        <v>202</v>
      </c>
      <c r="B15" s="40">
        <v>2520</v>
      </c>
      <c r="C15" s="49">
        <f t="shared" si="0"/>
        <v>6.7841366854937233E-4</v>
      </c>
      <c r="D15" s="63">
        <f t="shared" si="2"/>
        <v>600</v>
      </c>
      <c r="E15" s="74">
        <f>B15/D15</f>
        <v>4.2</v>
      </c>
      <c r="F15" s="50">
        <v>1.9699999999999999E-2</v>
      </c>
      <c r="G15" s="51">
        <f t="shared" si="3"/>
        <v>4.2827400000000004</v>
      </c>
      <c r="H15" s="63">
        <f>B15/(B3)*4</f>
        <v>16.8</v>
      </c>
      <c r="I15" s="51">
        <f>G15+H15</f>
        <v>21.082740000000001</v>
      </c>
      <c r="J15" s="67">
        <f t="shared" si="5"/>
        <v>21.082740000000001</v>
      </c>
    </row>
    <row r="16" spans="1:10">
      <c r="A16" s="1" t="s">
        <v>204</v>
      </c>
      <c r="B16" s="39">
        <f>SUM(B13:B15)</f>
        <v>238916</v>
      </c>
      <c r="C16" s="8">
        <f t="shared" si="0"/>
        <v>6.431900001394518E-2</v>
      </c>
      <c r="D16" s="48">
        <f t="shared" si="2"/>
        <v>600</v>
      </c>
      <c r="E16" s="58">
        <f>SUM(E13:E15)</f>
        <v>398.19333333333333</v>
      </c>
      <c r="F16" s="41">
        <v>1.9699999999999999E-2</v>
      </c>
      <c r="G16" s="36">
        <f>SUM(G13:G15)</f>
        <v>406.03774199999998</v>
      </c>
      <c r="H16" s="48" t="s">
        <v>70</v>
      </c>
      <c r="I16" s="36">
        <f>SUM(I13:I15)</f>
        <v>422.83774199999999</v>
      </c>
      <c r="J16" s="20">
        <f t="shared" si="5"/>
        <v>422.83774199999999</v>
      </c>
    </row>
    <row r="17" spans="1:10">
      <c r="A17" s="1" t="s">
        <v>205</v>
      </c>
      <c r="B17" s="39">
        <v>337686</v>
      </c>
      <c r="C17" s="8">
        <f t="shared" si="0"/>
        <v>9.0909046856255296E-2</v>
      </c>
      <c r="D17" s="48">
        <f t="shared" si="2"/>
        <v>600</v>
      </c>
      <c r="E17" s="58">
        <f>B17/D17</f>
        <v>562.80999999999995</v>
      </c>
      <c r="F17" s="41">
        <v>1.9699999999999999E-2</v>
      </c>
      <c r="G17" s="36">
        <f t="shared" si="3"/>
        <v>573.89735699999994</v>
      </c>
      <c r="H17" s="48"/>
      <c r="I17" s="36">
        <f t="shared" si="4"/>
        <v>573.89735699999994</v>
      </c>
      <c r="J17" s="20">
        <f t="shared" si="5"/>
        <v>573.89735699999994</v>
      </c>
    </row>
    <row r="18" spans="1:10">
      <c r="A18" s="3" t="s">
        <v>66</v>
      </c>
      <c r="B18" s="86">
        <f>B12+B16+B17</f>
        <v>3714547.8</v>
      </c>
      <c r="C18" s="49">
        <f t="shared" si="0"/>
        <v>1</v>
      </c>
      <c r="D18" s="63">
        <f t="shared" si="2"/>
        <v>600</v>
      </c>
      <c r="E18" s="74">
        <f>E12+E16+E17</f>
        <v>6190.9130000000005</v>
      </c>
      <c r="F18" s="50">
        <v>1.9699999999999999E-2</v>
      </c>
      <c r="G18" s="51">
        <f>G12+G16+G17</f>
        <v>6312.8739860999995</v>
      </c>
      <c r="H18" s="63"/>
      <c r="I18" s="51">
        <f>I12+I16+I17</f>
        <v>6329.6739860999987</v>
      </c>
      <c r="J18" s="67">
        <f t="shared" si="5"/>
        <v>6329.6739860999987</v>
      </c>
    </row>
    <row r="22" spans="1:10" ht="14.45" customHeight="1">
      <c r="A22" s="137" t="s">
        <v>242</v>
      </c>
      <c r="B22" s="137"/>
      <c r="C22" s="137"/>
      <c r="D22" s="137"/>
      <c r="E22" s="137"/>
      <c r="F22" s="137"/>
      <c r="G22" s="137"/>
      <c r="H22" s="137"/>
      <c r="I22" s="137"/>
      <c r="J22" s="137"/>
    </row>
    <row r="23" spans="1:10" ht="14.45" customHeight="1">
      <c r="A23" s="137"/>
      <c r="B23" s="137"/>
      <c r="C23" s="137"/>
      <c r="D23" s="137"/>
      <c r="E23" s="137"/>
      <c r="F23" s="137"/>
      <c r="G23" s="137"/>
      <c r="H23" s="137"/>
      <c r="I23" s="137"/>
      <c r="J23" s="137"/>
    </row>
  </sheetData>
  <mergeCells count="3">
    <mergeCell ref="D1:I1"/>
    <mergeCell ref="A1:C1"/>
    <mergeCell ref="A22:J2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sheetPr>
  <dimension ref="A1"/>
  <sheetViews>
    <sheetView topLeftCell="A7" workbookViewId="0">
      <selection activeCell="A2" sqref="A2"/>
    </sheetView>
  </sheetViews>
  <sheetFormatPr defaultRowHeight="14.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2"/>
  <sheetViews>
    <sheetView workbookViewId="0">
      <selection activeCell="F6" sqref="F6"/>
    </sheetView>
  </sheetViews>
  <sheetFormatPr defaultRowHeight="14.45"/>
  <cols>
    <col min="1" max="1" width="23.42578125" customWidth="1"/>
    <col min="2" max="33" width="9.5703125" bestFit="1" customWidth="1"/>
  </cols>
  <sheetData>
    <row r="1" spans="1:33" ht="21">
      <c r="A1" s="87" t="s">
        <v>11</v>
      </c>
    </row>
    <row r="4" spans="1:33">
      <c r="A4" s="125" t="s">
        <v>12</v>
      </c>
      <c r="B4" s="19">
        <v>2019</v>
      </c>
      <c r="C4" s="19">
        <v>2020</v>
      </c>
      <c r="D4" s="19">
        <v>2021</v>
      </c>
      <c r="E4" s="19">
        <v>2022</v>
      </c>
      <c r="F4" s="19">
        <v>2023</v>
      </c>
      <c r="G4" s="19">
        <v>2024</v>
      </c>
      <c r="H4" s="19">
        <v>2025</v>
      </c>
      <c r="I4" s="19">
        <v>2026</v>
      </c>
      <c r="J4" s="19">
        <v>2027</v>
      </c>
      <c r="K4" s="19">
        <v>2028</v>
      </c>
      <c r="L4" s="19">
        <v>2029</v>
      </c>
      <c r="M4" s="19">
        <v>2030</v>
      </c>
      <c r="N4" s="19">
        <v>2031</v>
      </c>
      <c r="O4" s="19">
        <v>2032</v>
      </c>
      <c r="P4" s="19">
        <v>2033</v>
      </c>
      <c r="Q4" s="19">
        <v>2034</v>
      </c>
      <c r="R4" s="19">
        <v>2035</v>
      </c>
      <c r="S4" s="19">
        <v>2036</v>
      </c>
      <c r="T4" s="19">
        <v>2037</v>
      </c>
      <c r="U4" s="19">
        <v>2038</v>
      </c>
      <c r="V4" s="19">
        <v>2039</v>
      </c>
      <c r="W4" s="19">
        <v>2040</v>
      </c>
      <c r="X4" s="19">
        <v>2041</v>
      </c>
      <c r="Y4" s="19">
        <v>2042</v>
      </c>
      <c r="Z4" s="19">
        <v>2043</v>
      </c>
      <c r="AA4" s="19">
        <v>2044</v>
      </c>
      <c r="AB4" s="19">
        <v>2045</v>
      </c>
      <c r="AC4" s="19">
        <v>2046</v>
      </c>
      <c r="AD4" s="19">
        <v>2047</v>
      </c>
      <c r="AE4" s="19">
        <v>2048</v>
      </c>
      <c r="AF4" s="19">
        <v>2049</v>
      </c>
      <c r="AG4" s="19">
        <v>2050</v>
      </c>
    </row>
    <row r="5" spans="1:33">
      <c r="A5" s="19" t="s">
        <v>13</v>
      </c>
      <c r="B5" s="122">
        <f>'Offshore Wind'!B31</f>
        <v>5315.5952455555962</v>
      </c>
      <c r="C5" s="122">
        <f>'Offshore Wind'!C31</f>
        <v>4972.1452300795545</v>
      </c>
      <c r="D5" s="122">
        <f>'Offshore Wind'!D31</f>
        <v>4715.9174903088442</v>
      </c>
      <c r="E5" s="122">
        <f>'Offshore Wind'!E31</f>
        <v>4507.4826831358032</v>
      </c>
      <c r="F5" s="122">
        <f>'Offshore Wind'!F31</f>
        <v>4329.2779276934371</v>
      </c>
      <c r="G5" s="122">
        <f>'Offshore Wind'!G31</f>
        <v>4171.9346484726439</v>
      </c>
      <c r="H5" s="122">
        <f>'Offshore Wind'!H31</f>
        <v>4029.860640783374</v>
      </c>
      <c r="I5" s="122">
        <f>'Offshore Wind'!I31</f>
        <v>3899.448817938689</v>
      </c>
      <c r="J5" s="122">
        <f>'Offshore Wind'!J31</f>
        <v>3778.2362864709808</v>
      </c>
      <c r="K5" s="122">
        <f>'Offshore Wind'!K31</f>
        <v>3664.4663647123984</v>
      </c>
      <c r="L5" s="122">
        <f>'Offshore Wind'!L31</f>
        <v>3556.8419838892628</v>
      </c>
      <c r="M5" s="122">
        <f>'Offshore Wind'!M31</f>
        <v>3454.3781356759414</v>
      </c>
      <c r="N5" s="122">
        <f>'Offshore Wind'!N31</f>
        <v>3399.4987046684696</v>
      </c>
      <c r="O5" s="122">
        <f>'Offshore Wind'!O31</f>
        <v>3348.4071767162332</v>
      </c>
      <c r="P5" s="122">
        <f>'Offshore Wind'!P31</f>
        <v>3300.6142441185525</v>
      </c>
      <c r="Q5" s="122">
        <f>'Offshore Wind'!Q31</f>
        <v>3255.719684820293</v>
      </c>
      <c r="R5" s="122">
        <f>'Offshore Wind'!R31</f>
        <v>3213.3919684132197</v>
      </c>
      <c r="S5" s="122">
        <f>'Offshore Wind'!S31</f>
        <v>3173.353383450823</v>
      </c>
      <c r="T5" s="122">
        <f>'Offshore Wind'!T31</f>
        <v>3135.3689840848756</v>
      </c>
      <c r="U5" s="122">
        <f>'Offshore Wind'!U31</f>
        <v>3099.2382363317802</v>
      </c>
      <c r="V5" s="122">
        <f>'Offshore Wind'!V31</f>
        <v>3064.7886094656451</v>
      </c>
      <c r="W5" s="122">
        <f>'Offshore Wind'!W31</f>
        <v>3031.8705931406762</v>
      </c>
      <c r="X5" s="122">
        <f>'Offshore Wind'!X31</f>
        <v>3000.3537757818631</v>
      </c>
      <c r="Y5" s="122">
        <f>'Offshore Wind'!Y31</f>
        <v>2970.1237240511978</v>
      </c>
      <c r="Z5" s="122">
        <f>'Offshore Wind'!Z31</f>
        <v>2941.079474707894</v>
      </c>
      <c r="AA5" s="122">
        <f>'Offshore Wind'!AA31</f>
        <v>2913.1315000765308</v>
      </c>
      <c r="AB5" s="122">
        <f>'Offshore Wind'!AB31</f>
        <v>2886.2000437004226</v>
      </c>
      <c r="AC5" s="122">
        <f>'Offshore Wind'!AC31</f>
        <v>2860.2137481835375</v>
      </c>
      <c r="AD5" s="122">
        <f>'Offshore Wind'!AD31</f>
        <v>2835.1085157481853</v>
      </c>
      <c r="AE5" s="122">
        <f>'Offshore Wind'!AE31</f>
        <v>2810.8265556963188</v>
      </c>
      <c r="AF5" s="122">
        <f>'Offshore Wind'!AF31</f>
        <v>2787.3155831505051</v>
      </c>
      <c r="AG5" s="122">
        <f>'Offshore Wind'!AG31</f>
        <v>2764.5281411289557</v>
      </c>
    </row>
    <row r="6" spans="1:33">
      <c r="A6" s="19" t="s">
        <v>14</v>
      </c>
      <c r="B6" s="122">
        <f>'Onshore Wind'!B30</f>
        <v>1484.3999999999996</v>
      </c>
      <c r="C6" s="122">
        <f>'Onshore Wind'!C30</f>
        <v>1438.7290453279306</v>
      </c>
      <c r="D6" s="122">
        <f>'Onshore Wind'!D30</f>
        <v>1393.0580906558619</v>
      </c>
      <c r="E6" s="122">
        <f>'Onshore Wind'!E30</f>
        <v>1347.3871359837929</v>
      </c>
      <c r="F6" s="122">
        <f>'Onshore Wind'!F30</f>
        <v>1301.7161813117239</v>
      </c>
      <c r="G6" s="122">
        <f>'Onshore Wind'!G30</f>
        <v>1256.0452266396551</v>
      </c>
      <c r="H6" s="122">
        <f>'Onshore Wind'!H30</f>
        <v>1210.3742719675865</v>
      </c>
      <c r="I6" s="122">
        <f>'Onshore Wind'!I30</f>
        <v>1164.7033172955178</v>
      </c>
      <c r="J6" s="122">
        <f>'Onshore Wind'!J30</f>
        <v>1119.0323626234488</v>
      </c>
      <c r="K6" s="122">
        <f>'Onshore Wind'!K30</f>
        <v>1073.36140795138</v>
      </c>
      <c r="L6" s="122">
        <f>'Onshore Wind'!L30</f>
        <v>1027.6904532793112</v>
      </c>
      <c r="M6" s="122">
        <f>'Onshore Wind'!M30</f>
        <v>982.01949860724244</v>
      </c>
      <c r="N6" s="122">
        <f>'Onshore Wind'!N30</f>
        <v>972.19930362116997</v>
      </c>
      <c r="O6" s="122">
        <f>'Onshore Wind'!O30</f>
        <v>962.37910863509762</v>
      </c>
      <c r="P6" s="122">
        <f>'Onshore Wind'!P30</f>
        <v>952.55891364902516</v>
      </c>
      <c r="Q6" s="122">
        <f>'Onshore Wind'!Q30</f>
        <v>942.73871866295281</v>
      </c>
      <c r="R6" s="122">
        <f>'Onshore Wind'!R30</f>
        <v>932.91852367688045</v>
      </c>
      <c r="S6" s="122">
        <f>'Onshore Wind'!S30</f>
        <v>923.09832869080799</v>
      </c>
      <c r="T6" s="122">
        <f>'Onshore Wind'!T30</f>
        <v>913.27813370473564</v>
      </c>
      <c r="U6" s="122">
        <f>'Onshore Wind'!U30</f>
        <v>903.45793871866317</v>
      </c>
      <c r="V6" s="122">
        <f>'Onshore Wind'!V30</f>
        <v>893.63774373259071</v>
      </c>
      <c r="W6" s="122">
        <f>'Onshore Wind'!W30</f>
        <v>883.81754874651836</v>
      </c>
      <c r="X6" s="122">
        <f>'Onshore Wind'!X30</f>
        <v>873.997353760446</v>
      </c>
      <c r="Y6" s="122">
        <f>'Onshore Wind'!Y30</f>
        <v>864.17715877437354</v>
      </c>
      <c r="Z6" s="122">
        <f>'Onshore Wind'!Z30</f>
        <v>854.35696378830107</v>
      </c>
      <c r="AA6" s="122">
        <f>'Onshore Wind'!AA30</f>
        <v>844.53676880222861</v>
      </c>
      <c r="AB6" s="122">
        <f>'Onshore Wind'!AB30</f>
        <v>834.71657381615614</v>
      </c>
      <c r="AC6" s="122">
        <f>'Onshore Wind'!AC30</f>
        <v>824.89637883008379</v>
      </c>
      <c r="AD6" s="122">
        <f>'Onshore Wind'!AD30</f>
        <v>815.07618384401144</v>
      </c>
      <c r="AE6" s="122">
        <f>'Onshore Wind'!AE30</f>
        <v>805.25598885793897</v>
      </c>
      <c r="AF6" s="122">
        <f>'Onshore Wind'!AF30</f>
        <v>795.43579387186651</v>
      </c>
      <c r="AG6" s="122">
        <f>'Onshore Wind'!AG30</f>
        <v>785.61559888579404</v>
      </c>
    </row>
    <row r="7" spans="1:33">
      <c r="A7" s="19" t="s">
        <v>15</v>
      </c>
      <c r="B7" s="122">
        <f>Solar_Utility!B30</f>
        <v>1429.6695587475353</v>
      </c>
      <c r="C7" s="122">
        <f>Solar_Utility!C30</f>
        <v>1414.6457511539161</v>
      </c>
      <c r="D7" s="122">
        <f>Solar_Utility!D30</f>
        <v>1352.9201272695525</v>
      </c>
      <c r="E7" s="122">
        <f>Solar_Utility!E30</f>
        <v>1291.1945033851889</v>
      </c>
      <c r="F7" s="122">
        <f>Solar_Utility!F30</f>
        <v>1229.4688795008251</v>
      </c>
      <c r="G7" s="122">
        <f>Solar_Utility!G30</f>
        <v>1167.7432556164615</v>
      </c>
      <c r="H7" s="122">
        <f>Solar_Utility!H30</f>
        <v>1106.0176317320977</v>
      </c>
      <c r="I7" s="122">
        <f>Solar_Utility!I30</f>
        <v>1044.2920078477343</v>
      </c>
      <c r="J7" s="122">
        <f>Solar_Utility!J30</f>
        <v>982.56638396337087</v>
      </c>
      <c r="K7" s="122">
        <f>Solar_Utility!K30</f>
        <v>920.84076007900728</v>
      </c>
      <c r="L7" s="122">
        <f>Solar_Utility!L30</f>
        <v>859.1151361946437</v>
      </c>
      <c r="M7" s="122">
        <f>Solar_Utility!M30</f>
        <v>797.38951231028057</v>
      </c>
      <c r="N7" s="122">
        <f>Solar_Utility!N30</f>
        <v>790.28408906043967</v>
      </c>
      <c r="O7" s="122">
        <f>Solar_Utility!O30</f>
        <v>783.17866581059877</v>
      </c>
      <c r="P7" s="122">
        <f>Solar_Utility!P30</f>
        <v>776.07324256075788</v>
      </c>
      <c r="Q7" s="122">
        <f>Solar_Utility!Q30</f>
        <v>768.96781931091687</v>
      </c>
      <c r="R7" s="122">
        <f>Solar_Utility!R30</f>
        <v>761.86239606107597</v>
      </c>
      <c r="S7" s="122">
        <f>Solar_Utility!S30</f>
        <v>754.75697281123496</v>
      </c>
      <c r="T7" s="122">
        <f>Solar_Utility!T30</f>
        <v>747.65154956139406</v>
      </c>
      <c r="U7" s="122">
        <f>Solar_Utility!U30</f>
        <v>740.54612631155317</v>
      </c>
      <c r="V7" s="122">
        <f>Solar_Utility!V30</f>
        <v>733.44070306171227</v>
      </c>
      <c r="W7" s="122">
        <f>Solar_Utility!W30</f>
        <v>726.33527981187126</v>
      </c>
      <c r="X7" s="122">
        <f>Solar_Utility!X30</f>
        <v>719.22985656203036</v>
      </c>
      <c r="Y7" s="122">
        <f>Solar_Utility!Y30</f>
        <v>712.12443331218947</v>
      </c>
      <c r="Z7" s="122">
        <f>Solar_Utility!Z30</f>
        <v>705.01901006234846</v>
      </c>
      <c r="AA7" s="122">
        <f>Solar_Utility!AA30</f>
        <v>697.91358681250767</v>
      </c>
      <c r="AB7" s="122">
        <f>Solar_Utility!AB30</f>
        <v>690.80816356266666</v>
      </c>
      <c r="AC7" s="122">
        <f>Solar_Utility!AC30</f>
        <v>683.70274031282577</v>
      </c>
      <c r="AD7" s="122">
        <f>Solar_Utility!AD30</f>
        <v>676.59731706298476</v>
      </c>
      <c r="AE7" s="122">
        <f>Solar_Utility!AE30</f>
        <v>669.49189381314386</v>
      </c>
      <c r="AF7" s="122">
        <f>Solar_Utility!AF30</f>
        <v>662.38647056330296</v>
      </c>
      <c r="AG7" s="122">
        <f>Solar_Utility!AG30</f>
        <v>655.28104731346161</v>
      </c>
    </row>
    <row r="8" spans="1:33">
      <c r="A8" s="19" t="s">
        <v>16</v>
      </c>
      <c r="B8" s="122">
        <f>Solar_Residential!B25</f>
        <v>2842.6772127416543</v>
      </c>
      <c r="C8" s="122">
        <f>Solar_Residential!C25</f>
        <v>2777.8921562163482</v>
      </c>
      <c r="D8" s="122">
        <f>Solar_Residential!D25</f>
        <v>2603.0209820013797</v>
      </c>
      <c r="E8" s="122">
        <f>Solar_Residential!E25</f>
        <v>2428.1498077864107</v>
      </c>
      <c r="F8" s="122">
        <f>Solar_Residential!F25</f>
        <v>2253.2786335714422</v>
      </c>
      <c r="G8" s="122">
        <f>Solar_Residential!G25</f>
        <v>2078.4074593564733</v>
      </c>
      <c r="H8" s="122">
        <f>Solar_Residential!H25</f>
        <v>1903.5362851415039</v>
      </c>
      <c r="I8" s="122">
        <f>Solar_Residential!I25</f>
        <v>1728.6651109265349</v>
      </c>
      <c r="J8" s="122">
        <f>Solar_Residential!J25</f>
        <v>1553.7939367115659</v>
      </c>
      <c r="K8" s="122">
        <f>Solar_Residential!K25</f>
        <v>1378.922762496597</v>
      </c>
      <c r="L8" s="122">
        <f>Solar_Residential!L25</f>
        <v>1204.051588281628</v>
      </c>
      <c r="M8" s="122">
        <f>Solar_Residential!M25</f>
        <v>1029.1804140666591</v>
      </c>
      <c r="N8" s="122">
        <f>Solar_Residential!N25</f>
        <v>1017.771591131839</v>
      </c>
      <c r="O8" s="122">
        <f>Solar_Residential!O25</f>
        <v>1006.362768197014</v>
      </c>
      <c r="P8" s="122">
        <f>Solar_Residential!P25</f>
        <v>994.95394526218774</v>
      </c>
      <c r="Q8" s="122">
        <f>Solar_Residential!Q25</f>
        <v>983.54512232736158</v>
      </c>
      <c r="R8" s="122">
        <f>Solar_Residential!R25</f>
        <v>972.13629939253553</v>
      </c>
      <c r="S8" s="122">
        <f>Solar_Residential!S25</f>
        <v>960.72747645771028</v>
      </c>
      <c r="T8" s="122">
        <f>Solar_Residential!T25</f>
        <v>949.31865352288423</v>
      </c>
      <c r="U8" s="122">
        <f>Solar_Residential!U25</f>
        <v>937.90983058805796</v>
      </c>
      <c r="V8" s="122">
        <f>Solar_Residential!V25</f>
        <v>926.5010076532318</v>
      </c>
      <c r="W8" s="122">
        <f>Solar_Residential!W25</f>
        <v>915.09218471840666</v>
      </c>
      <c r="X8" s="122">
        <f>Solar_Residential!X25</f>
        <v>903.68336178358049</v>
      </c>
      <c r="Y8" s="122">
        <f>Solar_Residential!Y25</f>
        <v>892.27453884875433</v>
      </c>
      <c r="Z8" s="122">
        <f>Solar_Residential!Z25</f>
        <v>880.86571591392919</v>
      </c>
      <c r="AA8" s="122">
        <f>Solar_Residential!AA25</f>
        <v>869.45689297910315</v>
      </c>
      <c r="AB8" s="122">
        <f>Solar_Residential!AB25</f>
        <v>858.04807004427698</v>
      </c>
      <c r="AC8" s="122">
        <f>Solar_Residential!AC25</f>
        <v>846.63924710945093</v>
      </c>
      <c r="AD8" s="122">
        <f>Solar_Residential!AD25</f>
        <v>835.2304241746258</v>
      </c>
      <c r="AE8" s="122">
        <f>Solar_Residential!AE25</f>
        <v>823.82160123979963</v>
      </c>
      <c r="AF8" s="122">
        <f>Solar_Residential!AF25</f>
        <v>812.41277830497347</v>
      </c>
      <c r="AG8" s="122">
        <f>Solar_Residential!AG25</f>
        <v>801.00395537014742</v>
      </c>
    </row>
    <row r="9" spans="1:33">
      <c r="A9" s="19" t="s">
        <v>17</v>
      </c>
      <c r="B9" s="122">
        <f>Battery_Utility!B25</f>
        <v>986.32307895706458</v>
      </c>
      <c r="C9" s="122">
        <f>Battery_Utility!C25</f>
        <v>936.13855413438375</v>
      </c>
      <c r="D9" s="122">
        <f>Battery_Utility!D25</f>
        <v>882.23954252136673</v>
      </c>
      <c r="E9" s="122">
        <f>Battery_Utility!E25</f>
        <v>828.34053090835027</v>
      </c>
      <c r="F9" s="122">
        <f>Battery_Utility!F25</f>
        <v>774.44151929533325</v>
      </c>
      <c r="G9" s="122">
        <f>Battery_Utility!G25</f>
        <v>720.54250768231634</v>
      </c>
      <c r="H9" s="122">
        <f>Battery_Utility!H25</f>
        <v>666.64349606929932</v>
      </c>
      <c r="I9" s="122">
        <f>Battery_Utility!I25</f>
        <v>646.68957702622129</v>
      </c>
      <c r="J9" s="122">
        <f>Battery_Utility!J25</f>
        <v>626.73565798314348</v>
      </c>
      <c r="K9" s="122">
        <f>Battery_Utility!K25</f>
        <v>606.78173894006522</v>
      </c>
      <c r="L9" s="122">
        <f>Battery_Utility!L25</f>
        <v>586.82781989698731</v>
      </c>
      <c r="M9" s="122">
        <f>Battery_Utility!M25</f>
        <v>566.87390085390984</v>
      </c>
      <c r="N9" s="122">
        <f>Battery_Utility!N25</f>
        <v>560.76397148225817</v>
      </c>
      <c r="O9" s="122">
        <f>Battery_Utility!O25</f>
        <v>554.6540421106065</v>
      </c>
      <c r="P9" s="122">
        <f>Battery_Utility!P25</f>
        <v>548.54411273895528</v>
      </c>
      <c r="Q9" s="122">
        <f>Battery_Utility!Q25</f>
        <v>542.4341833673036</v>
      </c>
      <c r="R9" s="122">
        <f>Battery_Utility!R25</f>
        <v>536.32425399565216</v>
      </c>
      <c r="S9" s="122">
        <f>Battery_Utility!S25</f>
        <v>530.21432462400071</v>
      </c>
      <c r="T9" s="122">
        <f>Battery_Utility!T25</f>
        <v>524.10439525234904</v>
      </c>
      <c r="U9" s="122">
        <f>Battery_Utility!U25</f>
        <v>517.9944658806977</v>
      </c>
      <c r="V9" s="122">
        <f>Battery_Utility!V25</f>
        <v>511.88453650904609</v>
      </c>
      <c r="W9" s="122">
        <f>Battery_Utility!W25</f>
        <v>505.7746071373947</v>
      </c>
      <c r="X9" s="122">
        <f>Battery_Utility!X25</f>
        <v>499.66467776574325</v>
      </c>
      <c r="Y9" s="122">
        <f>Battery_Utility!Y25</f>
        <v>493.55474839409192</v>
      </c>
      <c r="Z9" s="122">
        <f>Battery_Utility!Z25</f>
        <v>487.44481902244041</v>
      </c>
      <c r="AA9" s="122">
        <f>Battery_Utility!AA25</f>
        <v>481.33488965078885</v>
      </c>
      <c r="AB9" s="122">
        <f>Battery_Utility!AB25</f>
        <v>475.22496027913763</v>
      </c>
      <c r="AC9" s="122">
        <f>Battery_Utility!AC25</f>
        <v>469.11503090748613</v>
      </c>
      <c r="AD9" s="122">
        <f>Battery_Utility!AD25</f>
        <v>463.0051015358348</v>
      </c>
      <c r="AE9" s="122">
        <f>Battery_Utility!AE25</f>
        <v>456.89517216418329</v>
      </c>
      <c r="AF9" s="122">
        <f>Battery_Utility!AF25</f>
        <v>450.78524279253173</v>
      </c>
      <c r="AG9" s="122">
        <f>Battery_Utility!AG25</f>
        <v>444.6753134208812</v>
      </c>
    </row>
    <row r="10" spans="1:33">
      <c r="A10" s="19" t="s">
        <v>18</v>
      </c>
      <c r="B10" s="122">
        <f>Battery_Utility!B32</f>
        <v>1633.9237938957388</v>
      </c>
      <c r="C10" s="122">
        <f>Battery_Utility!C32</f>
        <v>1553.0397489366246</v>
      </c>
      <c r="D10" s="122">
        <f>Battery_Utility!D32</f>
        <v>1460.2286085619257</v>
      </c>
      <c r="E10" s="122">
        <f>Battery_Utility!E32</f>
        <v>1367.4174681872273</v>
      </c>
      <c r="F10" s="122">
        <f>Battery_Utility!F32</f>
        <v>1274.6063278125287</v>
      </c>
      <c r="G10" s="122">
        <f>Battery_Utility!G32</f>
        <v>1181.7951874378302</v>
      </c>
      <c r="H10" s="122">
        <f>Battery_Utility!H32</f>
        <v>1088.9840470631311</v>
      </c>
      <c r="I10" s="122">
        <f>Battery_Utility!I32</f>
        <v>1049.8336037473546</v>
      </c>
      <c r="J10" s="122">
        <f>Battery_Utility!J32</f>
        <v>1010.6831604315782</v>
      </c>
      <c r="K10" s="122">
        <f>Battery_Utility!K32</f>
        <v>971.53271711580192</v>
      </c>
      <c r="L10" s="122">
        <f>Battery_Utility!L32</f>
        <v>932.38227380002547</v>
      </c>
      <c r="M10" s="122">
        <f>Battery_Utility!M32</f>
        <v>893.2318304842496</v>
      </c>
      <c r="N10" s="122">
        <f>Battery_Utility!N32</f>
        <v>882.06643260319618</v>
      </c>
      <c r="O10" s="122">
        <f>Battery_Utility!O32</f>
        <v>870.90103472214298</v>
      </c>
      <c r="P10" s="122">
        <f>Battery_Utility!P32</f>
        <v>859.73563684109001</v>
      </c>
      <c r="Q10" s="122">
        <f>Battery_Utility!Q32</f>
        <v>848.5702389600367</v>
      </c>
      <c r="R10" s="122">
        <f>Battery_Utility!R32</f>
        <v>837.40484107898351</v>
      </c>
      <c r="S10" s="122">
        <f>Battery_Utility!S32</f>
        <v>826.23944319793043</v>
      </c>
      <c r="T10" s="122">
        <f>Battery_Utility!T32</f>
        <v>815.074045316877</v>
      </c>
      <c r="U10" s="122">
        <f>Battery_Utility!U32</f>
        <v>803.90864743582392</v>
      </c>
      <c r="V10" s="122">
        <f>Battery_Utility!V32</f>
        <v>792.74324955477073</v>
      </c>
      <c r="W10" s="122">
        <f>Battery_Utility!W32</f>
        <v>781.57785167371753</v>
      </c>
      <c r="X10" s="122">
        <f>Battery_Utility!X32</f>
        <v>770.41245379266456</v>
      </c>
      <c r="Y10" s="122">
        <f>Battery_Utility!Y32</f>
        <v>759.24705591161148</v>
      </c>
      <c r="Z10" s="122">
        <f>Battery_Utility!Z32</f>
        <v>748.08165803055817</v>
      </c>
      <c r="AA10" s="122">
        <f>Battery_Utility!AA32</f>
        <v>736.91626014950509</v>
      </c>
      <c r="AB10" s="122">
        <f>Battery_Utility!AB32</f>
        <v>725.75086226845212</v>
      </c>
      <c r="AC10" s="122">
        <f>Battery_Utility!AC32</f>
        <v>714.58546438739893</v>
      </c>
      <c r="AD10" s="122">
        <f>Battery_Utility!AD32</f>
        <v>703.42006650634585</v>
      </c>
      <c r="AE10" s="122">
        <f>Battery_Utility!AE32</f>
        <v>692.25466862529277</v>
      </c>
      <c r="AF10" s="122">
        <f>Battery_Utility!AF32</f>
        <v>681.08927074423946</v>
      </c>
      <c r="AG10" s="122">
        <f>Battery_Utility!AG32</f>
        <v>669.92387286318717</v>
      </c>
    </row>
    <row r="11" spans="1:33">
      <c r="A11" s="19" t="s">
        <v>19</v>
      </c>
      <c r="B11" s="122">
        <f>Battery_Utility!B39</f>
        <v>2285.6073421801807</v>
      </c>
      <c r="C11" s="122">
        <f>Battery_Utility!C39</f>
        <v>2173.7964556276943</v>
      </c>
      <c r="D11" s="122">
        <f>Battery_Utility!D39</f>
        <v>2041.8807319390394</v>
      </c>
      <c r="E11" s="122">
        <f>Battery_Utility!E39</f>
        <v>1909.9650082503849</v>
      </c>
      <c r="F11" s="122">
        <f>Battery_Utility!F39</f>
        <v>1778.0492845617298</v>
      </c>
      <c r="G11" s="122">
        <f>Battery_Utility!G39</f>
        <v>1646.1335608730753</v>
      </c>
      <c r="H11" s="122">
        <f>Battery_Utility!H39</f>
        <v>1514.21783718442</v>
      </c>
      <c r="I11" s="122">
        <f>Battery_Utility!I39</f>
        <v>1455.8413111686298</v>
      </c>
      <c r="J11" s="122">
        <f>Battery_Utility!J39</f>
        <v>1397.4647851528396</v>
      </c>
      <c r="K11" s="122">
        <f>Battery_Utility!K39</f>
        <v>1339.0882591370491</v>
      </c>
      <c r="L11" s="122">
        <f>Battery_Utility!L39</f>
        <v>1280.7117331212589</v>
      </c>
      <c r="M11" s="122">
        <f>Battery_Utility!M39</f>
        <v>1222.3352071054694</v>
      </c>
      <c r="N11" s="122">
        <f>Battery_Utility!N39</f>
        <v>1206.0981321254119</v>
      </c>
      <c r="O11" s="122">
        <f>Battery_Utility!O39</f>
        <v>1189.8610571453539</v>
      </c>
      <c r="P11" s="122">
        <f>Battery_Utility!P39</f>
        <v>1173.6239821652964</v>
      </c>
      <c r="Q11" s="122">
        <f>Battery_Utility!Q39</f>
        <v>1157.3869071852384</v>
      </c>
      <c r="R11" s="122">
        <f>Battery_Utility!R39</f>
        <v>1141.1498322051807</v>
      </c>
      <c r="S11" s="122">
        <f>Battery_Utility!S39</f>
        <v>1124.9127572251232</v>
      </c>
      <c r="T11" s="122">
        <f>Battery_Utility!T39</f>
        <v>1108.6756822450654</v>
      </c>
      <c r="U11" s="122">
        <f>Battery_Utility!U39</f>
        <v>1092.4386072650079</v>
      </c>
      <c r="V11" s="122">
        <f>Battery_Utility!V39</f>
        <v>1076.2015322849502</v>
      </c>
      <c r="W11" s="122">
        <f>Battery_Utility!W39</f>
        <v>1059.9644573048924</v>
      </c>
      <c r="X11" s="122">
        <f>Battery_Utility!X39</f>
        <v>1043.7273823248349</v>
      </c>
      <c r="Y11" s="122">
        <f>Battery_Utility!Y39</f>
        <v>1027.4903073447774</v>
      </c>
      <c r="Z11" s="122">
        <f>Battery_Utility!Z39</f>
        <v>1011.2532323647197</v>
      </c>
      <c r="AA11" s="122">
        <f>Battery_Utility!AA39</f>
        <v>995.01615738466216</v>
      </c>
      <c r="AB11" s="122">
        <f>Battery_Utility!AB39</f>
        <v>978.77908240460465</v>
      </c>
      <c r="AC11" s="122">
        <f>Battery_Utility!AC39</f>
        <v>962.54200742454691</v>
      </c>
      <c r="AD11" s="122">
        <f>Battery_Utility!AD39</f>
        <v>946.30493244448928</v>
      </c>
      <c r="AE11" s="122">
        <f>Battery_Utility!AE39</f>
        <v>930.06785746443177</v>
      </c>
      <c r="AF11" s="122">
        <f>Battery_Utility!AF39</f>
        <v>913.83078248437403</v>
      </c>
      <c r="AG11" s="122">
        <f>Battery_Utility!AG39</f>
        <v>897.59370750431719</v>
      </c>
    </row>
    <row r="12" spans="1:33">
      <c r="A12" s="19" t="s">
        <v>20</v>
      </c>
      <c r="B12" s="122">
        <f>Battery_Residential!B25</f>
        <v>4578.7890705892196</v>
      </c>
      <c r="C12" s="122">
        <f>Battery_Residential!C25</f>
        <v>4318.575488839936</v>
      </c>
      <c r="D12" s="122">
        <f>Battery_Residential!D25</f>
        <v>4082.5909225541996</v>
      </c>
      <c r="E12" s="122">
        <f>Battery_Residential!E25</f>
        <v>3846.2093677623011</v>
      </c>
      <c r="F12" s="122">
        <f>Battery_Residential!F25</f>
        <v>3631.6262819813978</v>
      </c>
      <c r="G12" s="122">
        <f>Battery_Residential!G25</f>
        <v>3434.2593648257775</v>
      </c>
      <c r="H12" s="122">
        <f>Battery_Residential!H25</f>
        <v>3250.455882137036</v>
      </c>
      <c r="I12" s="122">
        <f>Battery_Residential!I25</f>
        <v>3147.141445820127</v>
      </c>
      <c r="J12" s="122">
        <f>Battery_Residential!J25</f>
        <v>3054.7966375035221</v>
      </c>
      <c r="K12" s="122">
        <f>Battery_Residential!K25</f>
        <v>2974.2049730133776</v>
      </c>
      <c r="L12" s="122">
        <f>Battery_Residential!L25</f>
        <v>2895.7063405395861</v>
      </c>
      <c r="M12" s="122">
        <f>Battery_Residential!M25</f>
        <v>2824.3924892669152</v>
      </c>
      <c r="N12" s="122">
        <f>Battery_Residential!N25</f>
        <v>2789.0875831510803</v>
      </c>
      <c r="O12" s="122">
        <f>Battery_Residential!O25</f>
        <v>2753.782677035244</v>
      </c>
      <c r="P12" s="122">
        <f>Battery_Residential!P25</f>
        <v>2718.4777709194068</v>
      </c>
      <c r="Q12" s="122">
        <f>Battery_Residential!Q25</f>
        <v>2683.1728648035701</v>
      </c>
      <c r="R12" s="122">
        <f>Battery_Residential!R25</f>
        <v>2647.8679586877324</v>
      </c>
      <c r="S12" s="122">
        <f>Battery_Residential!S25</f>
        <v>2612.5630525718971</v>
      </c>
      <c r="T12" s="122">
        <f>Battery_Residential!T25</f>
        <v>2577.2581464560603</v>
      </c>
      <c r="U12" s="122">
        <f>Battery_Residential!U25</f>
        <v>2541.9532403402241</v>
      </c>
      <c r="V12" s="122">
        <f>Battery_Residential!V25</f>
        <v>2506.6483342243882</v>
      </c>
      <c r="W12" s="122">
        <f>Battery_Residential!W25</f>
        <v>2471.343428108552</v>
      </c>
      <c r="X12" s="122">
        <f>Battery_Residential!X25</f>
        <v>2436.0385219927152</v>
      </c>
      <c r="Y12" s="122">
        <f>Battery_Residential!Y25</f>
        <v>2400.7336158768785</v>
      </c>
      <c r="Z12" s="122">
        <f>Battery_Residential!Z25</f>
        <v>2365.4287097610422</v>
      </c>
      <c r="AA12" s="122">
        <f>Battery_Residential!AA25</f>
        <v>2330.1238036452064</v>
      </c>
      <c r="AB12" s="122">
        <f>Battery_Residential!AB25</f>
        <v>2294.8188975293706</v>
      </c>
      <c r="AC12" s="122">
        <f>Battery_Residential!AC25</f>
        <v>2259.5139914135334</v>
      </c>
      <c r="AD12" s="122">
        <f>Battery_Residential!AD25</f>
        <v>2224.2090852976962</v>
      </c>
      <c r="AE12" s="122">
        <f>Battery_Residential!AE25</f>
        <v>2188.9041791818609</v>
      </c>
      <c r="AF12" s="122">
        <f>Battery_Residential!AF25</f>
        <v>2153.5992730660246</v>
      </c>
      <c r="AG12" s="122">
        <f>Battery_Residential!AG25</f>
        <v>2118.2943669501879</v>
      </c>
    </row>
    <row r="13" spans="1:33">
      <c r="A13" s="19" t="s">
        <v>21</v>
      </c>
      <c r="B13" s="122">
        <f>Hybrid!B66</f>
        <v>1354.8680012277498</v>
      </c>
      <c r="C13" s="122">
        <f>Hybrid!C66</f>
        <v>1320.878352573596</v>
      </c>
      <c r="D13" s="122">
        <f>Hybrid!D66</f>
        <v>1255.4793150615167</v>
      </c>
      <c r="E13" s="122">
        <f>Hybrid!E66</f>
        <v>1190.0802775494374</v>
      </c>
      <c r="F13" s="122">
        <f>Hybrid!F66</f>
        <v>1124.6812400373581</v>
      </c>
      <c r="G13" s="122">
        <f>Hybrid!G66</f>
        <v>1059.2822025252788</v>
      </c>
      <c r="H13" s="122">
        <f>Hybrid!H66</f>
        <v>993.88316501319912</v>
      </c>
      <c r="I13" s="122">
        <f>Hybrid!I66</f>
        <v>945.11946363108154</v>
      </c>
      <c r="J13" s="122">
        <f>Hybrid!J66</f>
        <v>896.35576224896397</v>
      </c>
      <c r="K13" s="122">
        <f>Hybrid!K66</f>
        <v>847.5920608668464</v>
      </c>
      <c r="L13" s="122">
        <f>Hybrid!L66</f>
        <v>798.82835948472871</v>
      </c>
      <c r="M13" s="122">
        <f>Hybrid!M66</f>
        <v>750.06465810261159</v>
      </c>
      <c r="N13" s="122">
        <f>Hybrid!N66</f>
        <v>742.38706812075054</v>
      </c>
      <c r="O13" s="122">
        <f>Hybrid!O66</f>
        <v>734.70947813888949</v>
      </c>
      <c r="P13" s="122">
        <f>Hybrid!P66</f>
        <v>727.03188815702867</v>
      </c>
      <c r="Q13" s="122">
        <f>Hybrid!Q66</f>
        <v>719.35429817516751</v>
      </c>
      <c r="R13" s="122">
        <f>Hybrid!R66</f>
        <v>711.67670819330647</v>
      </c>
      <c r="S13" s="122">
        <f>Hybrid!S66</f>
        <v>703.99911821144542</v>
      </c>
      <c r="T13" s="122">
        <f>Hybrid!T66</f>
        <v>696.32152822958437</v>
      </c>
      <c r="U13" s="122">
        <f>Hybrid!U66</f>
        <v>688.64393824772344</v>
      </c>
      <c r="V13" s="122">
        <f>Hybrid!V66</f>
        <v>680.96634826586251</v>
      </c>
      <c r="W13" s="122">
        <f>Hybrid!W66</f>
        <v>673.28875828400135</v>
      </c>
      <c r="X13" s="122">
        <f>Hybrid!X66</f>
        <v>665.61116830214041</v>
      </c>
      <c r="Y13" s="122">
        <f>Hybrid!Y66</f>
        <v>657.93357832027948</v>
      </c>
      <c r="Z13" s="122">
        <f>Hybrid!Z66</f>
        <v>650.25598833841832</v>
      </c>
      <c r="AA13" s="122">
        <f>Hybrid!AA66</f>
        <v>642.57839835655761</v>
      </c>
      <c r="AB13" s="122">
        <f>Hybrid!AB66</f>
        <v>634.90080837469668</v>
      </c>
      <c r="AC13" s="122">
        <f>Hybrid!AC66</f>
        <v>627.22321839283552</v>
      </c>
      <c r="AD13" s="122">
        <f>Hybrid!AD66</f>
        <v>619.54562841097459</v>
      </c>
      <c r="AE13" s="122">
        <f>Hybrid!AE66</f>
        <v>611.86803842911354</v>
      </c>
      <c r="AF13" s="122">
        <f>Hybrid!AF66</f>
        <v>604.19044844725249</v>
      </c>
      <c r="AG13" s="122">
        <f>Hybrid!AG66</f>
        <v>596.51285846539167</v>
      </c>
    </row>
    <row r="14" spans="1:33">
      <c r="A14" s="19" t="s">
        <v>22</v>
      </c>
      <c r="B14" s="122">
        <f>Hybrid!B67</f>
        <v>1408.2572109467155</v>
      </c>
      <c r="C14" s="122">
        <f>Hybrid!C67</f>
        <v>1355.4387450044683</v>
      </c>
      <c r="D14" s="122">
        <f>Hybrid!D67</f>
        <v>1298.9227638943789</v>
      </c>
      <c r="E14" s="122">
        <f>Hybrid!E67</f>
        <v>1242.4067827842894</v>
      </c>
      <c r="F14" s="122">
        <f>Hybrid!F67</f>
        <v>1185.8908016741996</v>
      </c>
      <c r="G14" s="122">
        <f>Hybrid!G67</f>
        <v>1129.3748205641102</v>
      </c>
      <c r="H14" s="122">
        <f>Hybrid!H67</f>
        <v>1072.8588394540207</v>
      </c>
      <c r="I14" s="122">
        <f>Hybrid!I67</f>
        <v>1032.9781944738927</v>
      </c>
      <c r="J14" s="122">
        <f>Hybrid!J67</f>
        <v>993.09754949376486</v>
      </c>
      <c r="K14" s="122">
        <f>Hybrid!K67</f>
        <v>953.21690451363679</v>
      </c>
      <c r="L14" s="122">
        <f>Hybrid!L67</f>
        <v>913.33625953350895</v>
      </c>
      <c r="M14" s="122">
        <f>Hybrid!M67</f>
        <v>873.45561455338122</v>
      </c>
      <c r="N14" s="122">
        <f>Hybrid!N67</f>
        <v>864.02878209778714</v>
      </c>
      <c r="O14" s="122">
        <f>Hybrid!O67</f>
        <v>854.60194964219295</v>
      </c>
      <c r="P14" s="122">
        <f>Hybrid!P67</f>
        <v>845.17511718659887</v>
      </c>
      <c r="Q14" s="122">
        <f>Hybrid!Q67</f>
        <v>835.74828473100467</v>
      </c>
      <c r="R14" s="122">
        <f>Hybrid!R67</f>
        <v>826.32145227541048</v>
      </c>
      <c r="S14" s="122">
        <f>Hybrid!S67</f>
        <v>816.89461981981628</v>
      </c>
      <c r="T14" s="122">
        <f>Hybrid!T67</f>
        <v>807.4677873642222</v>
      </c>
      <c r="U14" s="122">
        <f>Hybrid!U67</f>
        <v>798.0409549086279</v>
      </c>
      <c r="V14" s="122">
        <f>Hybrid!V67</f>
        <v>788.6141224530337</v>
      </c>
      <c r="W14" s="122">
        <f>Hybrid!W67</f>
        <v>779.18728999743962</v>
      </c>
      <c r="X14" s="122">
        <f>Hybrid!X67</f>
        <v>769.76045754184554</v>
      </c>
      <c r="Y14" s="122">
        <f>Hybrid!Y67</f>
        <v>760.33362508625146</v>
      </c>
      <c r="Z14" s="122">
        <f>Hybrid!Z67</f>
        <v>750.90679263065726</v>
      </c>
      <c r="AA14" s="122">
        <f>Hybrid!AA67</f>
        <v>741.47996017506318</v>
      </c>
      <c r="AB14" s="122">
        <f>Hybrid!AB67</f>
        <v>732.0531277194691</v>
      </c>
      <c r="AC14" s="122">
        <f>Hybrid!AC67</f>
        <v>722.62629526387468</v>
      </c>
      <c r="AD14" s="122">
        <f>Hybrid!AD67</f>
        <v>713.19946280828071</v>
      </c>
      <c r="AE14" s="122">
        <f>Hybrid!AE67</f>
        <v>703.77263035268652</v>
      </c>
      <c r="AF14" s="122">
        <f>Hybrid!AF67</f>
        <v>694.34579789709244</v>
      </c>
      <c r="AG14" s="122">
        <f>Hybrid!AG67</f>
        <v>684.91896544149847</v>
      </c>
    </row>
    <row r="15" spans="1:33">
      <c r="A15" s="19" t="s">
        <v>23</v>
      </c>
      <c r="B15" s="122">
        <f>Hybrid!B68</f>
        <v>1692.4447509208121</v>
      </c>
      <c r="C15" s="122">
        <f>Hybrid!C68</f>
        <v>1646.1447933299182</v>
      </c>
      <c r="D15" s="122">
        <f>Hybrid!D68</f>
        <v>1576.2877940955802</v>
      </c>
      <c r="E15" s="122">
        <f>Hybrid!E68</f>
        <v>1506.4307948612422</v>
      </c>
      <c r="F15" s="122">
        <f>Hybrid!F68</f>
        <v>1436.5737956269038</v>
      </c>
      <c r="G15" s="122">
        <f>Hybrid!G68</f>
        <v>1366.7167963925663</v>
      </c>
      <c r="H15" s="122">
        <f>Hybrid!H68</f>
        <v>1296.859797158228</v>
      </c>
      <c r="I15" s="122">
        <f>Hybrid!I68</f>
        <v>1239.4793000213615</v>
      </c>
      <c r="J15" s="122">
        <f>Hybrid!J68</f>
        <v>1182.0988028844947</v>
      </c>
      <c r="K15" s="122">
        <f>Hybrid!K68</f>
        <v>1124.7183057476277</v>
      </c>
      <c r="L15" s="122">
        <f>Hybrid!L68</f>
        <v>1067.3378086107612</v>
      </c>
      <c r="M15" s="122">
        <f>Hybrid!M68</f>
        <v>1009.9573114738946</v>
      </c>
      <c r="N15" s="122">
        <f>Hybrid!N68</f>
        <v>999.72503080852971</v>
      </c>
      <c r="O15" s="122">
        <f>Hybrid!O68</f>
        <v>989.49275014316447</v>
      </c>
      <c r="P15" s="122">
        <f>Hybrid!P68</f>
        <v>979.26046947779946</v>
      </c>
      <c r="Q15" s="122">
        <f>Hybrid!Q68</f>
        <v>969.02818881243422</v>
      </c>
      <c r="R15" s="122">
        <f>Hybrid!R68</f>
        <v>958.79590814706899</v>
      </c>
      <c r="S15" s="122">
        <f>Hybrid!S68</f>
        <v>948.56362748170386</v>
      </c>
      <c r="T15" s="122">
        <f>Hybrid!T68</f>
        <v>938.33134681633874</v>
      </c>
      <c r="U15" s="122">
        <f>Hybrid!U68</f>
        <v>928.09906615097361</v>
      </c>
      <c r="V15" s="122">
        <f>Hybrid!V68</f>
        <v>917.8667854856086</v>
      </c>
      <c r="W15" s="122">
        <f>Hybrid!W68</f>
        <v>907.63450482024348</v>
      </c>
      <c r="X15" s="122">
        <f>Hybrid!X68</f>
        <v>897.40222415487835</v>
      </c>
      <c r="Y15" s="122">
        <f>Hybrid!Y68</f>
        <v>887.16994348951323</v>
      </c>
      <c r="Z15" s="122">
        <f>Hybrid!Z68</f>
        <v>876.93766282414833</v>
      </c>
      <c r="AA15" s="122">
        <f>Hybrid!AA68</f>
        <v>866.70538215878321</v>
      </c>
      <c r="AB15" s="122">
        <f>Hybrid!AB68</f>
        <v>856.47310149341808</v>
      </c>
      <c r="AC15" s="122">
        <f>Hybrid!AC68</f>
        <v>846.24082082805296</v>
      </c>
      <c r="AD15" s="122">
        <f>Hybrid!AD68</f>
        <v>836.00854016268784</v>
      </c>
      <c r="AE15" s="122">
        <f>Hybrid!AE68</f>
        <v>825.77625949732271</v>
      </c>
      <c r="AF15" s="122">
        <f>Hybrid!AF68</f>
        <v>815.54397883195747</v>
      </c>
      <c r="AG15" s="122">
        <f>Hybrid!AG68</f>
        <v>805.31169816659258</v>
      </c>
    </row>
    <row r="16" spans="1:33">
      <c r="A16" s="19" t="s">
        <v>24</v>
      </c>
      <c r="B16" s="122">
        <f>CCCT!B33</f>
        <v>1083.7986588870713</v>
      </c>
      <c r="C16" s="122">
        <f>CCCT!C33</f>
        <v>1079.2875302340553</v>
      </c>
      <c r="D16" s="122">
        <f>CCCT!D33</f>
        <v>1073.6486194177853</v>
      </c>
      <c r="E16" s="122">
        <f>CCCT!E33</f>
        <v>1071.3930550912776</v>
      </c>
      <c r="F16" s="122">
        <f>CCCT!F33</f>
        <v>1058.9874512954839</v>
      </c>
      <c r="G16" s="122">
        <f>CCCT!G33</f>
        <v>1054.4763226424679</v>
      </c>
      <c r="H16" s="122">
        <f>CCCT!H33</f>
        <v>1054.4763226424679</v>
      </c>
      <c r="I16" s="122">
        <f>CCCT!I33</f>
        <v>1049.965193989452</v>
      </c>
      <c r="J16" s="122">
        <f>CCCT!J33</f>
        <v>1040.9429366834202</v>
      </c>
      <c r="K16" s="122">
        <f>CCCT!K33</f>
        <v>1036.4318080304042</v>
      </c>
      <c r="L16" s="122">
        <f>CCCT!L33</f>
        <v>1031.9206793773883</v>
      </c>
      <c r="M16" s="122">
        <f>CCCT!M33</f>
        <v>1027.4095507243724</v>
      </c>
      <c r="N16" s="122">
        <f>CCCT!N33</f>
        <v>1024.0262042346103</v>
      </c>
      <c r="O16" s="122">
        <f>CCCT!O33</f>
        <v>1019.5150755815945</v>
      </c>
      <c r="P16" s="122">
        <f>CCCT!P33</f>
        <v>1012.7483826020707</v>
      </c>
      <c r="Q16" s="122">
        <f>CCCT!Q33</f>
        <v>1009.3650361123089</v>
      </c>
      <c r="R16" s="122">
        <f>CCCT!R33</f>
        <v>1004.8539074592928</v>
      </c>
      <c r="S16" s="122">
        <f>CCCT!S33</f>
        <v>999.21499664302303</v>
      </c>
      <c r="T16" s="122">
        <f>CCCT!T33</f>
        <v>994.70386799000721</v>
      </c>
      <c r="U16" s="122">
        <f>CCCT!U33</f>
        <v>991.32052150024526</v>
      </c>
      <c r="V16" s="122">
        <f>CCCT!V33</f>
        <v>986.80939284722922</v>
      </c>
      <c r="W16" s="122">
        <f>CCCT!W33</f>
        <v>982.29826419421329</v>
      </c>
      <c r="X16" s="122">
        <f>CCCT!X33</f>
        <v>977.78713554119736</v>
      </c>
      <c r="Y16" s="122">
        <f>CCCT!Y33</f>
        <v>973.27600688818154</v>
      </c>
      <c r="Z16" s="122">
        <f>CCCT!Z33</f>
        <v>969.89266039841948</v>
      </c>
      <c r="AA16" s="122">
        <f>CCCT!AA33</f>
        <v>965.38153174540355</v>
      </c>
      <c r="AB16" s="122">
        <f>CCCT!AB33</f>
        <v>961.9981852556416</v>
      </c>
      <c r="AC16" s="122">
        <f>CCCT!AC33</f>
        <v>958.61483876587965</v>
      </c>
      <c r="AD16" s="122">
        <f>CCCT!AD33</f>
        <v>954.10371011286372</v>
      </c>
      <c r="AE16" s="122">
        <f>CCCT!AE33</f>
        <v>948.46479929659381</v>
      </c>
      <c r="AF16" s="122">
        <f>CCCT!AF33</f>
        <v>943.95367064357799</v>
      </c>
      <c r="AG16" s="122">
        <f>CCCT!AG33</f>
        <v>932.67584901103817</v>
      </c>
    </row>
    <row r="17" spans="1:33">
      <c r="A17" s="19" t="s">
        <v>25</v>
      </c>
      <c r="B17" s="122">
        <f>'Frame Peaker'!B27</f>
        <v>1035.4720742268912</v>
      </c>
      <c r="C17" s="122">
        <f>'Frame Peaker'!C27</f>
        <v>1025.7721016346018</v>
      </c>
      <c r="D17" s="122">
        <f>'Frame Peaker'!D27</f>
        <v>1016.0721290423123</v>
      </c>
      <c r="E17" s="122">
        <f>'Frame Peaker'!E27</f>
        <v>1011.2221427461676</v>
      </c>
      <c r="F17" s="122">
        <f>'Frame Peaker'!F27</f>
        <v>990.60970098755263</v>
      </c>
      <c r="G17" s="122">
        <f>'Frame Peaker'!G27</f>
        <v>979.69723182122709</v>
      </c>
      <c r="H17" s="122">
        <f>'Frame Peaker'!H27</f>
        <v>976.05974209911858</v>
      </c>
      <c r="I17" s="122">
        <f>'Frame Peaker'!I27</f>
        <v>968.78476265490167</v>
      </c>
      <c r="J17" s="122">
        <f>'Frame Peaker'!J27</f>
        <v>954.23480376646762</v>
      </c>
      <c r="K17" s="122">
        <f>'Frame Peaker'!K27</f>
        <v>946.9598243222506</v>
      </c>
      <c r="L17" s="122">
        <f>'Frame Peaker'!L27</f>
        <v>940.89734145206967</v>
      </c>
      <c r="M17" s="122">
        <f>'Frame Peaker'!M27</f>
        <v>936.04735515592495</v>
      </c>
      <c r="N17" s="122">
        <f>'Frame Peaker'!N27</f>
        <v>932.40986543381632</v>
      </c>
      <c r="O17" s="122">
        <f>'Frame Peaker'!O27</f>
        <v>926.34738256363551</v>
      </c>
      <c r="P17" s="122">
        <f>'Frame Peaker'!P27</f>
        <v>920.2848996934548</v>
      </c>
      <c r="Q17" s="122">
        <f>'Frame Peaker'!Q27</f>
        <v>915.43491339731008</v>
      </c>
      <c r="R17" s="122">
        <f>'Frame Peaker'!R27</f>
        <v>910.58492710116536</v>
      </c>
      <c r="S17" s="122">
        <f>'Frame Peaker'!S27</f>
        <v>904.52244423098443</v>
      </c>
      <c r="T17" s="122">
        <f>'Frame Peaker'!T27</f>
        <v>899.6724579348396</v>
      </c>
      <c r="U17" s="122">
        <f>'Frame Peaker'!U27</f>
        <v>894.82247163869488</v>
      </c>
      <c r="V17" s="122">
        <f>'Frame Peaker'!V27</f>
        <v>891.18498191658637</v>
      </c>
      <c r="W17" s="122">
        <f>'Frame Peaker'!W27</f>
        <v>885.12249904640555</v>
      </c>
      <c r="X17" s="122">
        <f>'Frame Peaker'!X27</f>
        <v>880.27251275026083</v>
      </c>
      <c r="Y17" s="122">
        <f>'Frame Peaker'!Y27</f>
        <v>875.42252645411622</v>
      </c>
      <c r="Z17" s="122">
        <f>'Frame Peaker'!Z27</f>
        <v>870.5725401579715</v>
      </c>
      <c r="AA17" s="122">
        <f>'Frame Peaker'!AA27</f>
        <v>865.7225538618269</v>
      </c>
      <c r="AB17" s="122">
        <f>'Frame Peaker'!AB27</f>
        <v>862.08506413971838</v>
      </c>
      <c r="AC17" s="122">
        <f>'Frame Peaker'!AC27</f>
        <v>857.23507784357355</v>
      </c>
      <c r="AD17" s="122">
        <f>'Frame Peaker'!AD27</f>
        <v>852.38509154742883</v>
      </c>
      <c r="AE17" s="122">
        <f>'Frame Peaker'!AE27</f>
        <v>847.53510525128411</v>
      </c>
      <c r="AF17" s="122">
        <f>'Frame Peaker'!AF27</f>
        <v>841.47262238110329</v>
      </c>
      <c r="AG17" s="122">
        <f>'Frame Peaker'!AG27</f>
        <v>831.77264978881396</v>
      </c>
    </row>
    <row r="18" spans="1:33">
      <c r="A18" s="19" t="s">
        <v>26</v>
      </c>
      <c r="B18" s="123">
        <f>Biomass!B25</f>
        <v>4504.599002888669</v>
      </c>
      <c r="C18" s="123">
        <f>Biomass!C25</f>
        <v>4490.8289583328442</v>
      </c>
      <c r="D18" s="123">
        <f>Biomass!D25</f>
        <v>4477.0589137770212</v>
      </c>
      <c r="E18" s="123">
        <f>Biomass!E25</f>
        <v>4463.068944825477</v>
      </c>
      <c r="F18" s="123">
        <f>Biomass!F25</f>
        <v>4433.6510512223776</v>
      </c>
      <c r="G18" s="123">
        <f>Biomass!G25</f>
        <v>4431.2171507949561</v>
      </c>
      <c r="H18" s="123">
        <f>Biomass!H25</f>
        <v>4431.1653592455395</v>
      </c>
      <c r="I18" s="123">
        <f>Biomass!I25</f>
        <v>4408.2086932132515</v>
      </c>
      <c r="J18" s="123">
        <f>Biomass!J25</f>
        <v>4386.2390274345717</v>
      </c>
      <c r="K18" s="123">
        <f>Biomass!K25</f>
        <v>4362.9149977403922</v>
      </c>
      <c r="L18" s="123">
        <f>Biomass!L25</f>
        <v>4337.5608394428364</v>
      </c>
      <c r="M18" s="123">
        <f>Biomass!M25</f>
        <v>4307.9980874557905</v>
      </c>
      <c r="N18" s="123">
        <f>Biomass!N25</f>
        <v>4283.3651306653492</v>
      </c>
      <c r="O18" s="123">
        <f>Biomass!O25</f>
        <v>4250.968304154504</v>
      </c>
      <c r="P18" s="123">
        <f>Biomass!P25</f>
        <v>4216.3393578991563</v>
      </c>
      <c r="Q18" s="123">
        <f>Biomass!Q25</f>
        <v>4187.4632235974241</v>
      </c>
      <c r="R18" s="123">
        <f>Biomass!R25</f>
        <v>4158.2030772819444</v>
      </c>
      <c r="S18" s="123">
        <f>Biomass!S25</f>
        <v>4126.4384107338128</v>
      </c>
      <c r="T18" s="123">
        <f>Biomass!T25</f>
        <v>4096.8014556136422</v>
      </c>
      <c r="U18" s="123">
        <f>Biomass!U25</f>
        <v>4068.6630238501361</v>
      </c>
      <c r="V18" s="123">
        <f>Biomass!V25</f>
        <v>4041.9443353980032</v>
      </c>
      <c r="W18" s="123">
        <f>Biomass!W25</f>
        <v>4012.5412392222124</v>
      </c>
      <c r="X18" s="123">
        <f>Biomass!X25</f>
        <v>3980.3344908102963</v>
      </c>
      <c r="Y18" s="123">
        <f>Biomass!Y25</f>
        <v>3952.7277606612079</v>
      </c>
      <c r="Z18" s="123">
        <f>Biomass!Z25</f>
        <v>3925.7505686086424</v>
      </c>
      <c r="AA18" s="123">
        <f>Biomass!AA25</f>
        <v>3898.484019782486</v>
      </c>
      <c r="AB18" s="123">
        <f>Biomass!AB25</f>
        <v>3874.3411049582037</v>
      </c>
      <c r="AC18" s="123">
        <f>Biomass!AC25</f>
        <v>3846.4455120584721</v>
      </c>
      <c r="AD18" s="123">
        <f>Biomass!AD25</f>
        <v>3816.1705418067304</v>
      </c>
      <c r="AE18" s="123">
        <f>Biomass!AE25</f>
        <v>3785.4205529817923</v>
      </c>
      <c r="AF18" s="123">
        <f>Biomass!AF25</f>
        <v>3755.8633127844223</v>
      </c>
      <c r="AG18" s="123">
        <f>Biomass!AG25</f>
        <v>3689.4729642985039</v>
      </c>
    </row>
    <row r="19" spans="1:33">
      <c r="A19" s="19" t="s">
        <v>27</v>
      </c>
      <c r="B19" s="124" t="s">
        <v>28</v>
      </c>
      <c r="C19" s="124" t="s">
        <v>28</v>
      </c>
      <c r="D19" s="124" t="s">
        <v>28</v>
      </c>
      <c r="E19" s="124" t="s">
        <v>28</v>
      </c>
      <c r="F19" s="124" t="s">
        <v>28</v>
      </c>
      <c r="G19" s="124" t="s">
        <v>28</v>
      </c>
      <c r="H19" s="124" t="s">
        <v>28</v>
      </c>
      <c r="I19" s="124" t="s">
        <v>28</v>
      </c>
      <c r="J19" s="124" t="s">
        <v>28</v>
      </c>
      <c r="K19" s="124" t="s">
        <v>28</v>
      </c>
      <c r="L19" s="124" t="s">
        <v>28</v>
      </c>
      <c r="M19" s="124" t="s">
        <v>28</v>
      </c>
      <c r="N19" s="124" t="s">
        <v>28</v>
      </c>
      <c r="O19" s="124" t="s">
        <v>28</v>
      </c>
      <c r="P19" s="124" t="s">
        <v>28</v>
      </c>
      <c r="Q19" s="124" t="s">
        <v>28</v>
      </c>
      <c r="R19" s="124" t="s">
        <v>28</v>
      </c>
      <c r="S19" s="124" t="s">
        <v>28</v>
      </c>
      <c r="T19" s="124" t="s">
        <v>28</v>
      </c>
      <c r="U19" s="124" t="s">
        <v>28</v>
      </c>
      <c r="V19" s="124" t="s">
        <v>28</v>
      </c>
      <c r="W19" s="124" t="s">
        <v>28</v>
      </c>
      <c r="X19" s="124" t="s">
        <v>28</v>
      </c>
      <c r="Y19" s="124" t="s">
        <v>28</v>
      </c>
      <c r="Z19" s="124" t="s">
        <v>28</v>
      </c>
      <c r="AA19" s="124" t="s">
        <v>28</v>
      </c>
      <c r="AB19" s="124" t="s">
        <v>28</v>
      </c>
      <c r="AC19" s="124" t="s">
        <v>28</v>
      </c>
      <c r="AD19" s="124" t="s">
        <v>28</v>
      </c>
      <c r="AE19" s="124" t="s">
        <v>28</v>
      </c>
      <c r="AF19" s="124" t="s">
        <v>28</v>
      </c>
      <c r="AG19" s="124" t="s">
        <v>28</v>
      </c>
    </row>
    <row r="20" spans="1:33">
      <c r="A20" s="19" t="s">
        <v>29</v>
      </c>
      <c r="B20" s="124" t="s">
        <v>28</v>
      </c>
      <c r="C20" s="124" t="s">
        <v>28</v>
      </c>
      <c r="D20" s="124" t="s">
        <v>28</v>
      </c>
      <c r="E20" s="124" t="s">
        <v>28</v>
      </c>
      <c r="F20" s="124" t="s">
        <v>28</v>
      </c>
      <c r="G20" s="124" t="s">
        <v>28</v>
      </c>
      <c r="H20" s="124" t="s">
        <v>28</v>
      </c>
      <c r="I20" s="124" t="s">
        <v>28</v>
      </c>
      <c r="J20" s="124" t="s">
        <v>28</v>
      </c>
      <c r="K20" s="124" t="s">
        <v>28</v>
      </c>
      <c r="L20" s="124" t="s">
        <v>28</v>
      </c>
      <c r="M20" s="124" t="s">
        <v>28</v>
      </c>
      <c r="N20" s="124" t="s">
        <v>28</v>
      </c>
      <c r="O20" s="124" t="s">
        <v>28</v>
      </c>
      <c r="P20" s="124" t="s">
        <v>28</v>
      </c>
      <c r="Q20" s="124" t="s">
        <v>28</v>
      </c>
      <c r="R20" s="124" t="s">
        <v>28</v>
      </c>
      <c r="S20" s="124" t="s">
        <v>28</v>
      </c>
      <c r="T20" s="124" t="s">
        <v>28</v>
      </c>
      <c r="U20" s="124" t="s">
        <v>28</v>
      </c>
      <c r="V20" s="124" t="s">
        <v>28</v>
      </c>
      <c r="W20" s="124" t="s">
        <v>28</v>
      </c>
      <c r="X20" s="124" t="s">
        <v>28</v>
      </c>
      <c r="Y20" s="124" t="s">
        <v>28</v>
      </c>
      <c r="Z20" s="124" t="s">
        <v>28</v>
      </c>
      <c r="AA20" s="124" t="s">
        <v>28</v>
      </c>
      <c r="AB20" s="124" t="s">
        <v>28</v>
      </c>
      <c r="AC20" s="124" t="s">
        <v>28</v>
      </c>
      <c r="AD20" s="124" t="s">
        <v>28</v>
      </c>
      <c r="AE20" s="124" t="s">
        <v>28</v>
      </c>
      <c r="AF20" s="124" t="s">
        <v>28</v>
      </c>
      <c r="AG20" s="124" t="s">
        <v>28</v>
      </c>
    </row>
    <row r="21" spans="1:33">
      <c r="A21" s="19" t="s">
        <v>30</v>
      </c>
      <c r="B21" s="124" t="s">
        <v>28</v>
      </c>
      <c r="C21" s="124" t="s">
        <v>28</v>
      </c>
      <c r="D21" s="124" t="s">
        <v>28</v>
      </c>
      <c r="E21" s="124" t="s">
        <v>28</v>
      </c>
      <c r="F21" s="124" t="s">
        <v>28</v>
      </c>
      <c r="G21" s="124" t="s">
        <v>28</v>
      </c>
      <c r="H21" s="124" t="s">
        <v>28</v>
      </c>
      <c r="I21" s="124" t="s">
        <v>28</v>
      </c>
      <c r="J21" s="124" t="s">
        <v>28</v>
      </c>
      <c r="K21" s="124" t="s">
        <v>28</v>
      </c>
      <c r="L21" s="124" t="s">
        <v>28</v>
      </c>
      <c r="M21" s="124" t="s">
        <v>28</v>
      </c>
      <c r="N21" s="124" t="s">
        <v>28</v>
      </c>
      <c r="O21" s="124" t="s">
        <v>28</v>
      </c>
      <c r="P21" s="124" t="s">
        <v>28</v>
      </c>
      <c r="Q21" s="124" t="s">
        <v>28</v>
      </c>
      <c r="R21" s="124" t="s">
        <v>28</v>
      </c>
      <c r="S21" s="124" t="s">
        <v>28</v>
      </c>
      <c r="T21" s="124" t="s">
        <v>28</v>
      </c>
      <c r="U21" s="124" t="s">
        <v>28</v>
      </c>
      <c r="V21" s="124" t="s">
        <v>28</v>
      </c>
      <c r="W21" s="124" t="s">
        <v>28</v>
      </c>
      <c r="X21" s="124" t="s">
        <v>28</v>
      </c>
      <c r="Y21" s="124" t="s">
        <v>28</v>
      </c>
      <c r="Z21" s="124" t="s">
        <v>28</v>
      </c>
      <c r="AA21" s="124" t="s">
        <v>28</v>
      </c>
      <c r="AB21" s="124" t="s">
        <v>28</v>
      </c>
      <c r="AC21" s="124" t="s">
        <v>28</v>
      </c>
      <c r="AD21" s="124" t="s">
        <v>28</v>
      </c>
      <c r="AE21" s="124" t="s">
        <v>28</v>
      </c>
      <c r="AF21" s="124" t="s">
        <v>28</v>
      </c>
      <c r="AG21" s="124" t="s">
        <v>28</v>
      </c>
    </row>
    <row r="22" spans="1:33">
      <c r="A22" s="19" t="s">
        <v>31</v>
      </c>
      <c r="B22" s="124" t="s">
        <v>28</v>
      </c>
      <c r="C22" s="124" t="s">
        <v>28</v>
      </c>
      <c r="D22" s="124" t="s">
        <v>28</v>
      </c>
      <c r="E22" s="124" t="s">
        <v>28</v>
      </c>
      <c r="F22" s="124" t="s">
        <v>28</v>
      </c>
      <c r="G22" s="124" t="s">
        <v>28</v>
      </c>
      <c r="H22" s="124" t="s">
        <v>28</v>
      </c>
      <c r="I22" s="124" t="s">
        <v>28</v>
      </c>
      <c r="J22" s="124" t="s">
        <v>28</v>
      </c>
      <c r="K22" s="124" t="s">
        <v>28</v>
      </c>
      <c r="L22" s="124" t="s">
        <v>28</v>
      </c>
      <c r="M22" s="124" t="s">
        <v>28</v>
      </c>
      <c r="N22" s="124" t="s">
        <v>28</v>
      </c>
      <c r="O22" s="124" t="s">
        <v>28</v>
      </c>
      <c r="P22" s="124" t="s">
        <v>28</v>
      </c>
      <c r="Q22" s="124" t="s">
        <v>28</v>
      </c>
      <c r="R22" s="124" t="s">
        <v>28</v>
      </c>
      <c r="S22" s="124" t="s">
        <v>28</v>
      </c>
      <c r="T22" s="124" t="s">
        <v>28</v>
      </c>
      <c r="U22" s="124" t="s">
        <v>28</v>
      </c>
      <c r="V22" s="124" t="s">
        <v>28</v>
      </c>
      <c r="W22" s="124" t="s">
        <v>28</v>
      </c>
      <c r="X22" s="124" t="s">
        <v>28</v>
      </c>
      <c r="Y22" s="124" t="s">
        <v>28</v>
      </c>
      <c r="Z22" s="124" t="s">
        <v>28</v>
      </c>
      <c r="AA22" s="124" t="s">
        <v>28</v>
      </c>
      <c r="AB22" s="124" t="s">
        <v>28</v>
      </c>
      <c r="AC22" s="124" t="s">
        <v>28</v>
      </c>
      <c r="AD22" s="124" t="s">
        <v>28</v>
      </c>
      <c r="AE22" s="124" t="s">
        <v>28</v>
      </c>
      <c r="AF22" s="124" t="s">
        <v>28</v>
      </c>
      <c r="AG22" s="124" t="s">
        <v>28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1"/>
  <sheetViews>
    <sheetView workbookViewId="0">
      <selection activeCell="D2" sqref="D2"/>
    </sheetView>
  </sheetViews>
  <sheetFormatPr defaultRowHeight="14.45"/>
  <cols>
    <col min="1" max="1" width="30.42578125" bestFit="1" customWidth="1"/>
    <col min="2" max="2" width="14.42578125" bestFit="1" customWidth="1"/>
    <col min="3" max="3" width="12.28515625" customWidth="1"/>
    <col min="4" max="4" width="13.42578125" customWidth="1"/>
    <col min="5" max="5" width="13.7109375" bestFit="1" customWidth="1"/>
    <col min="6" max="6" width="12" customWidth="1"/>
    <col min="7" max="7" width="13.140625" customWidth="1"/>
    <col min="8" max="8" width="12.7109375" bestFit="1" customWidth="1"/>
    <col min="9" max="33" width="10.5703125" bestFit="1" customWidth="1"/>
  </cols>
  <sheetData>
    <row r="1" spans="1:10">
      <c r="A1" s="132" t="s">
        <v>32</v>
      </c>
      <c r="B1" s="131"/>
      <c r="C1" s="131"/>
      <c r="E1" s="131" t="s">
        <v>33</v>
      </c>
      <c r="F1" s="131"/>
      <c r="G1" s="131"/>
      <c r="H1" s="131"/>
    </row>
    <row r="2" spans="1:10" ht="57.6" customHeight="1">
      <c r="A2" s="1"/>
      <c r="B2" s="5" t="s">
        <v>34</v>
      </c>
      <c r="C2" s="7" t="s">
        <v>35</v>
      </c>
      <c r="D2" s="45" t="s">
        <v>36</v>
      </c>
      <c r="E2" s="47" t="s">
        <v>37</v>
      </c>
      <c r="F2" s="45" t="s">
        <v>38</v>
      </c>
      <c r="G2" s="47" t="s">
        <v>39</v>
      </c>
      <c r="H2" s="45" t="s">
        <v>40</v>
      </c>
      <c r="I2" s="18" t="s">
        <v>41</v>
      </c>
      <c r="J2" s="19" t="s">
        <v>42</v>
      </c>
    </row>
    <row r="3" spans="1:10">
      <c r="A3" t="s">
        <v>43</v>
      </c>
      <c r="B3">
        <v>1005</v>
      </c>
      <c r="D3" s="35"/>
      <c r="E3" s="48"/>
      <c r="F3" s="35"/>
      <c r="G3" s="48"/>
      <c r="H3" s="35"/>
    </row>
    <row r="4" spans="1:10">
      <c r="A4" s="1" t="s">
        <v>44</v>
      </c>
      <c r="B4" s="5" t="s">
        <v>45</v>
      </c>
      <c r="C4" t="s">
        <v>46</v>
      </c>
      <c r="D4" s="46" t="s">
        <v>45</v>
      </c>
      <c r="E4" s="48" t="s">
        <v>47</v>
      </c>
      <c r="F4" s="46" t="s">
        <v>45</v>
      </c>
      <c r="G4" s="48" t="s">
        <v>48</v>
      </c>
      <c r="H4" s="46" t="s">
        <v>45</v>
      </c>
      <c r="I4" s="44" t="s">
        <v>45</v>
      </c>
    </row>
    <row r="5" spans="1:10">
      <c r="A5" s="1" t="s">
        <v>49</v>
      </c>
      <c r="D5" s="35"/>
      <c r="E5" s="48"/>
      <c r="F5" s="35"/>
      <c r="G5" s="48"/>
      <c r="H5" s="35"/>
    </row>
    <row r="6" spans="1:10">
      <c r="A6" s="3" t="s">
        <v>50</v>
      </c>
      <c r="B6" s="29">
        <v>1301</v>
      </c>
      <c r="C6" s="49">
        <f>B6/$B$23</f>
        <v>0.24418168168168169</v>
      </c>
      <c r="D6" s="90">
        <f>$B$29*C6</f>
        <v>1265.4830396147854</v>
      </c>
      <c r="E6" s="50">
        <f>inf</f>
        <v>2.5000000000000001E-2</v>
      </c>
      <c r="F6" s="90">
        <f>D6*(1+E6)</f>
        <v>1297.120115605155</v>
      </c>
      <c r="G6" s="52">
        <v>0</v>
      </c>
      <c r="H6" s="90">
        <f>F6+G6</f>
        <v>1297.120115605155</v>
      </c>
      <c r="I6" s="92">
        <f>H6</f>
        <v>1297.120115605155</v>
      </c>
    </row>
    <row r="7" spans="1:10">
      <c r="A7" s="1" t="s">
        <v>51</v>
      </c>
      <c r="B7" s="94"/>
      <c r="C7" s="8"/>
      <c r="D7" s="91"/>
      <c r="E7" s="41"/>
      <c r="F7" s="95"/>
      <c r="G7" s="42"/>
      <c r="H7" s="91"/>
      <c r="I7" s="93"/>
    </row>
    <row r="8" spans="1:10">
      <c r="A8" s="2" t="s">
        <v>52</v>
      </c>
      <c r="B8" s="94">
        <v>165</v>
      </c>
      <c r="C8" s="8">
        <f t="shared" ref="C8:C15" si="0">B8/$B$23</f>
        <v>3.0968468468468468E-2</v>
      </c>
      <c r="D8" s="91">
        <f t="shared" ref="D8:D23" si="1">$B$29*C8</f>
        <v>160.49554307182134</v>
      </c>
      <c r="E8" s="41">
        <f t="shared" ref="E8:E15" si="2">inf</f>
        <v>2.5000000000000001E-2</v>
      </c>
      <c r="F8" s="95">
        <f t="shared" ref="F8:F21" si="3">D8*(1+E8)</f>
        <v>164.50793164861688</v>
      </c>
      <c r="G8" s="42">
        <v>0</v>
      </c>
      <c r="H8" s="91">
        <f t="shared" ref="H8:H14" si="4">F8+G8</f>
        <v>164.50793164861688</v>
      </c>
      <c r="I8" s="93">
        <f t="shared" ref="I8:I15" si="5">H8</f>
        <v>164.50793164861688</v>
      </c>
    </row>
    <row r="9" spans="1:10">
      <c r="A9" s="2" t="s">
        <v>53</v>
      </c>
      <c r="B9" s="94">
        <v>85</v>
      </c>
      <c r="C9" s="8">
        <f t="shared" si="0"/>
        <v>1.5953453453453455E-2</v>
      </c>
      <c r="D9" s="91">
        <f t="shared" si="1"/>
        <v>82.679522188514028</v>
      </c>
      <c r="E9" s="41">
        <f t="shared" si="2"/>
        <v>2.5000000000000001E-2</v>
      </c>
      <c r="F9" s="95">
        <f t="shared" si="3"/>
        <v>84.746510243226865</v>
      </c>
      <c r="G9" s="42">
        <v>0</v>
      </c>
      <c r="H9" s="91">
        <f t="shared" si="4"/>
        <v>84.746510243226865</v>
      </c>
      <c r="I9" s="93">
        <f t="shared" si="5"/>
        <v>84.746510243226865</v>
      </c>
    </row>
    <row r="10" spans="1:10">
      <c r="A10" s="2" t="s">
        <v>54</v>
      </c>
      <c r="B10" s="94">
        <v>1438</v>
      </c>
      <c r="C10" s="8">
        <f t="shared" si="0"/>
        <v>0.26989489489489488</v>
      </c>
      <c r="D10" s="91">
        <f t="shared" si="1"/>
        <v>1398.7429753774491</v>
      </c>
      <c r="E10" s="41">
        <f t="shared" si="2"/>
        <v>2.5000000000000001E-2</v>
      </c>
      <c r="F10" s="95">
        <f t="shared" si="3"/>
        <v>1433.7115497618852</v>
      </c>
      <c r="G10" s="42">
        <v>0</v>
      </c>
      <c r="H10" s="91">
        <f t="shared" si="4"/>
        <v>1433.7115497618852</v>
      </c>
      <c r="I10" s="93">
        <f t="shared" si="5"/>
        <v>1433.7115497618852</v>
      </c>
    </row>
    <row r="11" spans="1:10">
      <c r="A11" s="2" t="s">
        <v>55</v>
      </c>
      <c r="B11" s="94">
        <v>44</v>
      </c>
      <c r="C11" s="8">
        <f t="shared" si="0"/>
        <v>8.2582582582582578E-3</v>
      </c>
      <c r="D11" s="91">
        <f t="shared" si="1"/>
        <v>42.798811485819023</v>
      </c>
      <c r="E11" s="41">
        <f t="shared" si="2"/>
        <v>2.5000000000000001E-2</v>
      </c>
      <c r="F11" s="95">
        <f t="shared" si="3"/>
        <v>43.868781772964496</v>
      </c>
      <c r="G11" s="42">
        <v>0</v>
      </c>
      <c r="H11" s="91">
        <f t="shared" si="4"/>
        <v>43.868781772964496</v>
      </c>
      <c r="I11" s="93">
        <f t="shared" si="5"/>
        <v>43.868781772964496</v>
      </c>
    </row>
    <row r="12" spans="1:10">
      <c r="A12" s="2" t="s">
        <v>56</v>
      </c>
      <c r="B12" s="94">
        <v>979</v>
      </c>
      <c r="C12" s="8">
        <f t="shared" si="0"/>
        <v>0.18374624624624625</v>
      </c>
      <c r="D12" s="91">
        <f t="shared" si="1"/>
        <v>952.27355555947338</v>
      </c>
      <c r="E12" s="41">
        <f t="shared" si="2"/>
        <v>2.5000000000000001E-2</v>
      </c>
      <c r="F12" s="95">
        <f t="shared" si="3"/>
        <v>976.08039444846008</v>
      </c>
      <c r="G12" s="102">
        <f>500000*5/(B3*1000)</f>
        <v>2.4875621890547261</v>
      </c>
      <c r="H12" s="91">
        <f t="shared" si="4"/>
        <v>978.56795663751484</v>
      </c>
      <c r="I12" s="93">
        <f t="shared" si="5"/>
        <v>978.56795663751484</v>
      </c>
      <c r="J12" t="s">
        <v>57</v>
      </c>
    </row>
    <row r="13" spans="1:10">
      <c r="A13" s="2" t="s">
        <v>58</v>
      </c>
      <c r="B13" s="94">
        <v>439</v>
      </c>
      <c r="C13" s="8">
        <f t="shared" si="0"/>
        <v>8.2394894894894891E-2</v>
      </c>
      <c r="D13" s="91">
        <f t="shared" si="1"/>
        <v>427.01541459714889</v>
      </c>
      <c r="E13" s="41">
        <f t="shared" si="2"/>
        <v>2.5000000000000001E-2</v>
      </c>
      <c r="F13" s="95">
        <f t="shared" si="3"/>
        <v>437.69079996207756</v>
      </c>
      <c r="G13" s="42">
        <v>0</v>
      </c>
      <c r="H13" s="91">
        <f t="shared" si="4"/>
        <v>437.69079996207756</v>
      </c>
      <c r="I13" s="93">
        <f t="shared" si="5"/>
        <v>437.69079996207756</v>
      </c>
    </row>
    <row r="14" spans="1:10">
      <c r="A14" s="13" t="s">
        <v>59</v>
      </c>
      <c r="B14" s="29">
        <v>88</v>
      </c>
      <c r="C14" s="49">
        <f t="shared" si="0"/>
        <v>1.6516516516516516E-2</v>
      </c>
      <c r="D14" s="90">
        <f t="shared" si="1"/>
        <v>85.597622971638046</v>
      </c>
      <c r="E14" s="50">
        <f t="shared" si="2"/>
        <v>2.5000000000000001E-2</v>
      </c>
      <c r="F14" s="90">
        <f t="shared" si="3"/>
        <v>87.737563545928992</v>
      </c>
      <c r="G14" s="52">
        <v>0</v>
      </c>
      <c r="H14" s="90">
        <f t="shared" si="4"/>
        <v>87.737563545928992</v>
      </c>
      <c r="I14" s="92">
        <f t="shared" si="5"/>
        <v>87.737563545928992</v>
      </c>
    </row>
    <row r="15" spans="1:10">
      <c r="A15" s="3" t="s">
        <v>50</v>
      </c>
      <c r="B15" s="94">
        <v>3237</v>
      </c>
      <c r="C15" s="8">
        <f t="shared" si="0"/>
        <v>0.60754504504504503</v>
      </c>
      <c r="D15" s="91">
        <f t="shared" si="1"/>
        <v>3148.6307449908222</v>
      </c>
      <c r="E15" s="41">
        <f t="shared" si="2"/>
        <v>2.5000000000000001E-2</v>
      </c>
      <c r="F15" s="91">
        <f>SUM(F8:F14)</f>
        <v>3228.3435313831596</v>
      </c>
      <c r="G15" s="42">
        <v>0</v>
      </c>
      <c r="H15" s="91">
        <f>SUM(H8:H14)</f>
        <v>3230.8310935722147</v>
      </c>
      <c r="I15" s="93">
        <f t="shared" si="5"/>
        <v>3230.8310935722147</v>
      </c>
    </row>
    <row r="16" spans="1:10">
      <c r="A16" s="1" t="s">
        <v>60</v>
      </c>
      <c r="B16" s="94"/>
      <c r="C16" s="8"/>
      <c r="D16" s="91"/>
      <c r="E16" s="41"/>
      <c r="F16" s="95"/>
      <c r="G16" s="42"/>
      <c r="H16" s="91"/>
      <c r="I16" s="93"/>
    </row>
    <row r="17" spans="1:33">
      <c r="A17" s="2" t="s">
        <v>61</v>
      </c>
      <c r="B17" s="94">
        <v>52</v>
      </c>
      <c r="C17" s="8">
        <f t="shared" ref="C17:C23" si="6">B17/$B$23</f>
        <v>9.7597597597597601E-3</v>
      </c>
      <c r="D17" s="91">
        <f t="shared" si="1"/>
        <v>50.580413574149759</v>
      </c>
      <c r="E17" s="41">
        <f t="shared" ref="E17:E23" si="7">inf</f>
        <v>2.5000000000000001E-2</v>
      </c>
      <c r="F17" s="95">
        <f t="shared" si="3"/>
        <v>51.8449239135035</v>
      </c>
      <c r="G17" s="42">
        <v>0</v>
      </c>
      <c r="H17" s="91">
        <f t="shared" ref="H17:H21" si="8">F17+G17</f>
        <v>51.8449239135035</v>
      </c>
      <c r="I17" s="93">
        <f t="shared" ref="I17:I22" si="9">H17</f>
        <v>51.8449239135035</v>
      </c>
    </row>
    <row r="18" spans="1:33">
      <c r="A18" s="2" t="s">
        <v>62</v>
      </c>
      <c r="B18" s="94">
        <v>76</v>
      </c>
      <c r="C18" s="8">
        <f t="shared" si="6"/>
        <v>1.4264264264264264E-2</v>
      </c>
      <c r="D18" s="91">
        <f t="shared" si="1"/>
        <v>73.925219839141945</v>
      </c>
      <c r="E18" s="41">
        <f t="shared" si="7"/>
        <v>2.5000000000000001E-2</v>
      </c>
      <c r="F18" s="95">
        <f t="shared" si="3"/>
        <v>75.773350335120483</v>
      </c>
      <c r="G18" s="42">
        <v>0</v>
      </c>
      <c r="H18" s="91">
        <f t="shared" si="8"/>
        <v>75.773350335120483</v>
      </c>
      <c r="I18" s="93">
        <f t="shared" si="9"/>
        <v>75.773350335120483</v>
      </c>
    </row>
    <row r="19" spans="1:33">
      <c r="A19" s="2" t="s">
        <v>63</v>
      </c>
      <c r="B19" s="94">
        <v>221</v>
      </c>
      <c r="C19" s="8">
        <f t="shared" si="6"/>
        <v>4.1478978978978981E-2</v>
      </c>
      <c r="D19" s="91">
        <f t="shared" si="1"/>
        <v>214.96675769013649</v>
      </c>
      <c r="E19" s="41">
        <f t="shared" si="7"/>
        <v>2.5000000000000001E-2</v>
      </c>
      <c r="F19" s="95">
        <f t="shared" si="3"/>
        <v>220.34092663238988</v>
      </c>
      <c r="G19" s="42">
        <v>0</v>
      </c>
      <c r="H19" s="91">
        <f t="shared" si="8"/>
        <v>220.34092663238988</v>
      </c>
      <c r="I19" s="93">
        <f t="shared" si="9"/>
        <v>220.34092663238988</v>
      </c>
    </row>
    <row r="20" spans="1:33">
      <c r="A20" s="2" t="s">
        <v>64</v>
      </c>
      <c r="B20" s="94">
        <v>389</v>
      </c>
      <c r="C20" s="8">
        <f t="shared" si="6"/>
        <v>7.301051051051051E-2</v>
      </c>
      <c r="D20" s="91">
        <f t="shared" si="1"/>
        <v>378.38040154508184</v>
      </c>
      <c r="E20" s="41">
        <f t="shared" si="7"/>
        <v>2.5000000000000001E-2</v>
      </c>
      <c r="F20" s="95">
        <f t="shared" si="3"/>
        <v>387.83991158370884</v>
      </c>
      <c r="G20" s="42">
        <v>0</v>
      </c>
      <c r="H20" s="91">
        <f t="shared" si="8"/>
        <v>387.83991158370884</v>
      </c>
      <c r="I20" s="93">
        <f t="shared" si="9"/>
        <v>387.83991158370884</v>
      </c>
    </row>
    <row r="21" spans="1:33">
      <c r="A21" s="13" t="s">
        <v>65</v>
      </c>
      <c r="B21" s="29">
        <v>52</v>
      </c>
      <c r="C21" s="49">
        <f t="shared" si="6"/>
        <v>9.7597597597597601E-3</v>
      </c>
      <c r="D21" s="90">
        <f t="shared" si="1"/>
        <v>50.580413574149759</v>
      </c>
      <c r="E21" s="50">
        <f t="shared" si="7"/>
        <v>2.5000000000000001E-2</v>
      </c>
      <c r="F21" s="90">
        <f t="shared" si="3"/>
        <v>51.8449239135035</v>
      </c>
      <c r="G21" s="52">
        <v>0</v>
      </c>
      <c r="H21" s="90">
        <f t="shared" si="8"/>
        <v>51.8449239135035</v>
      </c>
      <c r="I21" s="92">
        <f t="shared" si="9"/>
        <v>51.8449239135035</v>
      </c>
    </row>
    <row r="22" spans="1:33">
      <c r="A22" s="3" t="s">
        <v>50</v>
      </c>
      <c r="B22" s="94">
        <v>790</v>
      </c>
      <c r="C22" s="8">
        <f t="shared" si="6"/>
        <v>0.14827327327327328</v>
      </c>
      <c r="D22" s="91">
        <f t="shared" si="1"/>
        <v>768.43320622265981</v>
      </c>
      <c r="E22" s="41">
        <f t="shared" si="7"/>
        <v>2.5000000000000001E-2</v>
      </c>
      <c r="F22" s="95">
        <f>SUM(F17:F21)</f>
        <v>787.64403637822625</v>
      </c>
      <c r="G22" s="42">
        <v>0</v>
      </c>
      <c r="H22" s="95">
        <f>SUM(H17:H21)</f>
        <v>787.64403637822625</v>
      </c>
      <c r="I22" s="93">
        <f t="shared" si="9"/>
        <v>787.64403637822625</v>
      </c>
    </row>
    <row r="23" spans="1:33">
      <c r="A23" s="1" t="s">
        <v>66</v>
      </c>
      <c r="B23" s="94">
        <v>5328</v>
      </c>
      <c r="C23" s="8">
        <f t="shared" si="6"/>
        <v>1</v>
      </c>
      <c r="D23" s="91">
        <f t="shared" si="1"/>
        <v>5182.5469908282676</v>
      </c>
      <c r="E23" s="41">
        <f t="shared" si="7"/>
        <v>2.5000000000000001E-2</v>
      </c>
      <c r="F23" s="95">
        <f>SUM(F22,F15,F6)</f>
        <v>5313.1076833665411</v>
      </c>
      <c r="G23" s="42">
        <v>0</v>
      </c>
      <c r="H23" s="95">
        <f>SUM(H22,H15,H6)</f>
        <v>5315.5952455555962</v>
      </c>
      <c r="I23" s="93">
        <f>SUM(I22,I15,I6)</f>
        <v>5315.5952455555962</v>
      </c>
    </row>
    <row r="25" spans="1:33" ht="14.45" customHeight="1">
      <c r="A25" s="130" t="s">
        <v>67</v>
      </c>
      <c r="B25" s="130"/>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row>
    <row r="26" spans="1:33" ht="14.45" customHeight="1">
      <c r="A26" s="130"/>
      <c r="B26" s="130"/>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row>
    <row r="28" spans="1:33">
      <c r="A28" t="s">
        <v>12</v>
      </c>
      <c r="B28">
        <v>2019</v>
      </c>
      <c r="C28">
        <v>2020</v>
      </c>
      <c r="D28">
        <v>2021</v>
      </c>
      <c r="E28">
        <v>2022</v>
      </c>
      <c r="F28">
        <v>2023</v>
      </c>
      <c r="G28">
        <v>2024</v>
      </c>
      <c r="H28">
        <v>2025</v>
      </c>
      <c r="I28">
        <v>2026</v>
      </c>
      <c r="J28">
        <v>2027</v>
      </c>
      <c r="K28">
        <v>2028</v>
      </c>
      <c r="L28">
        <v>2029</v>
      </c>
      <c r="M28">
        <v>2030</v>
      </c>
      <c r="N28">
        <v>2031</v>
      </c>
      <c r="O28">
        <v>2032</v>
      </c>
      <c r="P28">
        <v>2033</v>
      </c>
      <c r="Q28">
        <v>2034</v>
      </c>
      <c r="R28">
        <v>2035</v>
      </c>
      <c r="S28">
        <v>2036</v>
      </c>
      <c r="T28">
        <v>2037</v>
      </c>
      <c r="U28">
        <v>2038</v>
      </c>
      <c r="V28">
        <v>2039</v>
      </c>
      <c r="W28">
        <v>2040</v>
      </c>
      <c r="X28">
        <v>2041</v>
      </c>
      <c r="Y28">
        <v>2042</v>
      </c>
      <c r="Z28">
        <v>2043</v>
      </c>
      <c r="AA28">
        <v>2044</v>
      </c>
      <c r="AB28">
        <v>2045</v>
      </c>
      <c r="AC28">
        <v>2046</v>
      </c>
      <c r="AD28">
        <v>2047</v>
      </c>
      <c r="AE28">
        <v>2048</v>
      </c>
      <c r="AF28">
        <v>2049</v>
      </c>
      <c r="AG28">
        <v>2050</v>
      </c>
    </row>
    <row r="29" spans="1:33">
      <c r="A29" t="s">
        <v>68</v>
      </c>
      <c r="B29" s="9">
        <v>5182.5469908282676</v>
      </c>
      <c r="C29" s="9">
        <v>4847.693458536939</v>
      </c>
      <c r="D29" s="9">
        <v>4597.8790463456235</v>
      </c>
      <c r="E29" s="9">
        <v>4394.6613194877154</v>
      </c>
      <c r="F29" s="9">
        <v>4220.9169923888248</v>
      </c>
      <c r="G29" s="9">
        <v>4067.5119830562262</v>
      </c>
      <c r="H29" s="9">
        <v>3928.9940585320505</v>
      </c>
      <c r="I29" s="9">
        <v>3801.8464167665779</v>
      </c>
      <c r="J29" s="9">
        <v>3683.6678100086833</v>
      </c>
      <c r="K29" s="9">
        <v>3572.7455259710318</v>
      </c>
      <c r="L29" s="9">
        <v>3467.8149612443344</v>
      </c>
      <c r="M29" s="9">
        <v>3367.9157620585752</v>
      </c>
      <c r="N29" s="9">
        <v>3314.4099519117358</v>
      </c>
      <c r="O29" s="9">
        <v>3264.5972343864373</v>
      </c>
      <c r="P29" s="9">
        <v>3218.0005490530193</v>
      </c>
      <c r="Q29" s="9">
        <v>3174.2296913319969</v>
      </c>
      <c r="R29" s="9">
        <v>3132.961428953005</v>
      </c>
      <c r="S29" s="9">
        <v>3093.9250015298703</v>
      </c>
      <c r="T29" s="9">
        <v>3056.8913438605805</v>
      </c>
      <c r="U29" s="9">
        <v>3021.664941285866</v>
      </c>
      <c r="V29" s="9">
        <v>2988.0775814883868</v>
      </c>
      <c r="W29" s="9">
        <v>2955.9834963355261</v>
      </c>
      <c r="X29" s="9">
        <v>2925.2555384271491</v>
      </c>
      <c r="Y29" s="9">
        <v>2895.7821386681412</v>
      </c>
      <c r="Z29" s="9">
        <v>2867.4648609068481</v>
      </c>
      <c r="AA29" s="9">
        <v>2840.2164183271352</v>
      </c>
      <c r="AB29" s="9">
        <v>2813.9590507600087</v>
      </c>
      <c r="AC29" s="9">
        <v>2788.6231868703703</v>
      </c>
      <c r="AD29" s="9">
        <v>2764.1463332347098</v>
      </c>
      <c r="AE29" s="9">
        <v>2740.4721456442549</v>
      </c>
      <c r="AF29" s="9">
        <v>2717.5496479012918</v>
      </c>
      <c r="AG29" s="9">
        <v>2695.3325708625171</v>
      </c>
    </row>
    <row r="30" spans="1:33">
      <c r="A30" t="s">
        <v>69</v>
      </c>
      <c r="B30" s="16" t="s">
        <v>70</v>
      </c>
      <c r="C30" s="15">
        <f>1-(C29/B29)</f>
        <v>6.4611769634492555E-2</v>
      </c>
      <c r="D30" s="15">
        <f t="shared" ref="D30:AG30" si="10">1-(D29/C29)</f>
        <v>5.1532633886200996E-2</v>
      </c>
      <c r="E30" s="15">
        <f t="shared" si="10"/>
        <v>4.4198145451308624E-2</v>
      </c>
      <c r="F30" s="15">
        <f t="shared" si="10"/>
        <v>3.9535316709944812E-2</v>
      </c>
      <c r="G30" s="15">
        <f t="shared" si="10"/>
        <v>3.634400051202602E-2</v>
      </c>
      <c r="H30" s="15">
        <f t="shared" si="10"/>
        <v>3.4054705948302288E-2</v>
      </c>
      <c r="I30" s="15">
        <f t="shared" si="10"/>
        <v>3.2361372878476069E-2</v>
      </c>
      <c r="J30" s="15">
        <f t="shared" si="10"/>
        <v>3.1084529410949746E-2</v>
      </c>
      <c r="K30" s="15">
        <f t="shared" si="10"/>
        <v>3.011191284302861E-2</v>
      </c>
      <c r="L30" s="15">
        <f t="shared" si="10"/>
        <v>2.9369728116356297E-2</v>
      </c>
      <c r="M30" s="15">
        <f t="shared" si="10"/>
        <v>2.8807534514446287E-2</v>
      </c>
      <c r="N30" s="15">
        <f t="shared" si="10"/>
        <v>1.5886920554727624E-2</v>
      </c>
      <c r="O30" s="15">
        <f t="shared" si="10"/>
        <v>1.5029135878790956E-2</v>
      </c>
      <c r="P30" s="15">
        <f t="shared" si="10"/>
        <v>1.4273333580819392E-2</v>
      </c>
      <c r="Q30" s="15">
        <f t="shared" si="10"/>
        <v>1.3601880128299881E-2</v>
      </c>
      <c r="R30" s="15">
        <f t="shared" si="10"/>
        <v>1.3001032184811634E-2</v>
      </c>
      <c r="S30" s="15">
        <f t="shared" si="10"/>
        <v>1.2459913187051308E-2</v>
      </c>
      <c r="T30" s="15">
        <f t="shared" si="10"/>
        <v>1.1969798120826325E-2</v>
      </c>
      <c r="U30" s="15">
        <f t="shared" si="10"/>
        <v>1.1523603102695401E-2</v>
      </c>
      <c r="V30" s="15">
        <f t="shared" si="10"/>
        <v>1.1115514277763028E-2</v>
      </c>
      <c r="W30" s="15">
        <f t="shared" si="10"/>
        <v>1.0740713478019637E-2</v>
      </c>
      <c r="X30" s="15">
        <f t="shared" si="10"/>
        <v>1.0395172350072257E-2</v>
      </c>
      <c r="Y30" s="15">
        <f t="shared" si="10"/>
        <v>1.0075495754758967E-2</v>
      </c>
      <c r="Z30" s="15">
        <f t="shared" si="10"/>
        <v>9.7788011684873943E-3</v>
      </c>
      <c r="AA30" s="15">
        <f t="shared" si="10"/>
        <v>9.5026247579178547E-3</v>
      </c>
      <c r="AB30" s="15">
        <f t="shared" si="10"/>
        <v>9.2448474692614635E-3</v>
      </c>
      <c r="AC30" s="15">
        <f t="shared" si="10"/>
        <v>9.003636311905705E-3</v>
      </c>
      <c r="AD30" s="15">
        <f t="shared" si="10"/>
        <v>8.7773973016163076E-3</v>
      </c>
      <c r="AE30" s="15">
        <f t="shared" si="10"/>
        <v>8.5647374402029186E-3</v>
      </c>
      <c r="AF30" s="15">
        <f t="shared" si="10"/>
        <v>8.3644337635018218E-3</v>
      </c>
      <c r="AG30" s="15">
        <f t="shared" si="10"/>
        <v>8.1754079657505585E-3</v>
      </c>
    </row>
    <row r="31" spans="1:33">
      <c r="A31" t="s">
        <v>71</v>
      </c>
      <c r="B31" s="104">
        <f>I23</f>
        <v>5315.5952455555962</v>
      </c>
      <c r="C31" s="9">
        <f>B31*(1-C30)</f>
        <v>4972.1452300795545</v>
      </c>
      <c r="D31" s="9">
        <f t="shared" ref="D31:AG31" si="11">C31*(1-D30)</f>
        <v>4715.9174903088442</v>
      </c>
      <c r="E31" s="9">
        <f t="shared" si="11"/>
        <v>4507.4826831358032</v>
      </c>
      <c r="F31" s="9">
        <f t="shared" si="11"/>
        <v>4329.2779276934371</v>
      </c>
      <c r="G31" s="9">
        <f t="shared" si="11"/>
        <v>4171.9346484726439</v>
      </c>
      <c r="H31" s="9">
        <f t="shared" si="11"/>
        <v>4029.860640783374</v>
      </c>
      <c r="I31" s="9">
        <f t="shared" si="11"/>
        <v>3899.448817938689</v>
      </c>
      <c r="J31" s="9">
        <f t="shared" si="11"/>
        <v>3778.2362864709808</v>
      </c>
      <c r="K31" s="9">
        <f t="shared" si="11"/>
        <v>3664.4663647123984</v>
      </c>
      <c r="L31" s="9">
        <f t="shared" si="11"/>
        <v>3556.8419838892628</v>
      </c>
      <c r="M31" s="9">
        <f t="shared" si="11"/>
        <v>3454.3781356759414</v>
      </c>
      <c r="N31" s="9">
        <f t="shared" si="11"/>
        <v>3399.4987046684696</v>
      </c>
      <c r="O31" s="9">
        <f t="shared" si="11"/>
        <v>3348.4071767162332</v>
      </c>
      <c r="P31" s="9">
        <f t="shared" si="11"/>
        <v>3300.6142441185525</v>
      </c>
      <c r="Q31" s="9">
        <f t="shared" si="11"/>
        <v>3255.719684820293</v>
      </c>
      <c r="R31" s="9">
        <f t="shared" si="11"/>
        <v>3213.3919684132197</v>
      </c>
      <c r="S31" s="9">
        <f t="shared" si="11"/>
        <v>3173.353383450823</v>
      </c>
      <c r="T31" s="9">
        <f t="shared" si="11"/>
        <v>3135.3689840848756</v>
      </c>
      <c r="U31" s="9">
        <f t="shared" si="11"/>
        <v>3099.2382363317802</v>
      </c>
      <c r="V31" s="9">
        <f t="shared" si="11"/>
        <v>3064.7886094656451</v>
      </c>
      <c r="W31" s="9">
        <f t="shared" si="11"/>
        <v>3031.8705931406762</v>
      </c>
      <c r="X31" s="9">
        <f t="shared" si="11"/>
        <v>3000.3537757818631</v>
      </c>
      <c r="Y31" s="9">
        <f t="shared" si="11"/>
        <v>2970.1237240511978</v>
      </c>
      <c r="Z31" s="9">
        <f t="shared" si="11"/>
        <v>2941.079474707894</v>
      </c>
      <c r="AA31" s="9">
        <f t="shared" si="11"/>
        <v>2913.1315000765308</v>
      </c>
      <c r="AB31" s="9">
        <f t="shared" si="11"/>
        <v>2886.2000437004226</v>
      </c>
      <c r="AC31" s="9">
        <f t="shared" si="11"/>
        <v>2860.2137481835375</v>
      </c>
      <c r="AD31" s="9">
        <f t="shared" si="11"/>
        <v>2835.1085157481853</v>
      </c>
      <c r="AE31" s="9">
        <f t="shared" si="11"/>
        <v>2810.8265556963188</v>
      </c>
      <c r="AF31" s="9">
        <f t="shared" si="11"/>
        <v>2787.3155831505051</v>
      </c>
      <c r="AG31" s="9">
        <f t="shared" si="11"/>
        <v>2764.5281411289557</v>
      </c>
    </row>
  </sheetData>
  <mergeCells count="3">
    <mergeCell ref="A25:B26"/>
    <mergeCell ref="E1:H1"/>
    <mergeCell ref="A1:C1"/>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30"/>
  <sheetViews>
    <sheetView workbookViewId="0">
      <selection activeCell="D2" sqref="D2"/>
    </sheetView>
  </sheetViews>
  <sheetFormatPr defaultRowHeight="14.45"/>
  <cols>
    <col min="1" max="1" width="24.85546875" bestFit="1" customWidth="1"/>
    <col min="3" max="3" width="10.5703125" customWidth="1"/>
    <col min="4" max="4" width="11" bestFit="1" customWidth="1"/>
    <col min="5" max="5" width="10.28515625" bestFit="1" customWidth="1"/>
    <col min="6" max="6" width="12.42578125" customWidth="1"/>
    <col min="7" max="7" width="10.28515625" customWidth="1"/>
    <col min="8" max="8" width="12" bestFit="1" customWidth="1"/>
    <col min="9" max="9" width="11.7109375" customWidth="1"/>
  </cols>
  <sheetData>
    <row r="1" spans="1:10">
      <c r="A1" s="132" t="s">
        <v>32</v>
      </c>
      <c r="B1" s="131"/>
      <c r="C1" s="131"/>
      <c r="E1" s="131" t="s">
        <v>33</v>
      </c>
      <c r="F1" s="131"/>
      <c r="G1" s="131"/>
      <c r="H1" s="131"/>
    </row>
    <row r="2" spans="1:10" ht="72">
      <c r="A2" s="1"/>
      <c r="B2" s="5" t="s">
        <v>34</v>
      </c>
      <c r="C2" s="7" t="s">
        <v>35</v>
      </c>
      <c r="D2" s="45" t="s">
        <v>36</v>
      </c>
      <c r="E2" s="47" t="s">
        <v>37</v>
      </c>
      <c r="F2" s="45" t="s">
        <v>38</v>
      </c>
      <c r="G2" s="47" t="s">
        <v>39</v>
      </c>
      <c r="H2" s="45" t="s">
        <v>40</v>
      </c>
      <c r="I2" s="18" t="s">
        <v>41</v>
      </c>
      <c r="J2" s="19" t="s">
        <v>42</v>
      </c>
    </row>
    <row r="3" spans="1:10">
      <c r="A3" t="s">
        <v>43</v>
      </c>
      <c r="B3">
        <v>200</v>
      </c>
      <c r="D3" s="35"/>
      <c r="E3" s="48"/>
      <c r="F3" s="35"/>
      <c r="G3" s="48"/>
      <c r="H3" s="35"/>
    </row>
    <row r="4" spans="1:10">
      <c r="A4" s="1" t="s">
        <v>44</v>
      </c>
      <c r="B4" s="5" t="s">
        <v>45</v>
      </c>
      <c r="C4" s="5" t="s">
        <v>46</v>
      </c>
      <c r="D4" s="46" t="s">
        <v>45</v>
      </c>
      <c r="E4" s="53" t="s">
        <v>47</v>
      </c>
      <c r="F4" s="46" t="s">
        <v>45</v>
      </c>
      <c r="G4" s="53" t="s">
        <v>48</v>
      </c>
      <c r="H4" s="46" t="s">
        <v>45</v>
      </c>
      <c r="I4" s="44" t="s">
        <v>45</v>
      </c>
    </row>
    <row r="5" spans="1:10">
      <c r="A5" s="3" t="s">
        <v>72</v>
      </c>
      <c r="B5" s="6"/>
      <c r="C5" s="6"/>
      <c r="D5" s="79"/>
      <c r="E5" s="63"/>
      <c r="F5" s="79"/>
      <c r="G5" s="63"/>
      <c r="H5" s="79"/>
      <c r="I5" s="6"/>
    </row>
    <row r="6" spans="1:10">
      <c r="A6" s="2" t="s">
        <v>73</v>
      </c>
      <c r="B6">
        <v>287</v>
      </c>
      <c r="C6" s="8">
        <f>B6/$B$22</f>
        <v>0.19986072423398329</v>
      </c>
      <c r="D6" s="30">
        <f>$B$28*C6</f>
        <v>287</v>
      </c>
      <c r="E6" s="41">
        <v>2.5000000000000001E-2</v>
      </c>
      <c r="F6" s="91">
        <f>D6*(1+E6)</f>
        <v>294.17499999999995</v>
      </c>
      <c r="G6" s="42">
        <v>0</v>
      </c>
      <c r="H6" s="91">
        <f>F6+G6</f>
        <v>294.17499999999995</v>
      </c>
      <c r="I6" s="93">
        <f>H6</f>
        <v>294.17499999999995</v>
      </c>
    </row>
    <row r="7" spans="1:10">
      <c r="A7" s="2" t="s">
        <v>74</v>
      </c>
      <c r="B7">
        <v>488</v>
      </c>
      <c r="C7" s="8">
        <f>B7/$B$22</f>
        <v>0.33983286908077992</v>
      </c>
      <c r="D7" s="30">
        <f t="shared" ref="D7:D22" si="0">$B$28*C7</f>
        <v>487.99999999999994</v>
      </c>
      <c r="E7" s="41">
        <v>2.5000000000000001E-2</v>
      </c>
      <c r="F7" s="91">
        <f t="shared" ref="F7:F21" si="1">D7*(1+E7)</f>
        <v>500.19999999999987</v>
      </c>
      <c r="G7" s="42">
        <v>0</v>
      </c>
      <c r="H7" s="91">
        <f t="shared" ref="H7:H8" si="2">F7+G7</f>
        <v>500.19999999999987</v>
      </c>
      <c r="I7" s="93">
        <f t="shared" ref="I7:I8" si="3">H7</f>
        <v>500.19999999999987</v>
      </c>
    </row>
    <row r="8" spans="1:10">
      <c r="A8" s="2" t="s">
        <v>75</v>
      </c>
      <c r="B8">
        <v>215</v>
      </c>
      <c r="C8" s="8">
        <f>B8/$B$22</f>
        <v>0.14972144846796656</v>
      </c>
      <c r="D8" s="30">
        <f t="shared" si="0"/>
        <v>214.99999999999997</v>
      </c>
      <c r="E8" s="41">
        <v>2.5000000000000001E-2</v>
      </c>
      <c r="F8" s="91">
        <f t="shared" si="1"/>
        <v>220.37499999999994</v>
      </c>
      <c r="G8" s="42">
        <v>0</v>
      </c>
      <c r="H8" s="91">
        <f t="shared" si="2"/>
        <v>220.37499999999994</v>
      </c>
      <c r="I8" s="93">
        <f t="shared" si="3"/>
        <v>220.37499999999994</v>
      </c>
    </row>
    <row r="9" spans="1:10">
      <c r="A9" s="2" t="s">
        <v>76</v>
      </c>
      <c r="B9">
        <v>991</v>
      </c>
      <c r="C9" s="49">
        <f>B9/$B$22</f>
        <v>0.69011142061281339</v>
      </c>
      <c r="D9" s="126">
        <f t="shared" si="0"/>
        <v>991</v>
      </c>
      <c r="E9" s="50">
        <v>2.5000000000000001E-2</v>
      </c>
      <c r="F9" s="90">
        <f t="shared" ref="F9:I9" si="4">SUM(F6:F8)</f>
        <v>1014.7499999999998</v>
      </c>
      <c r="G9" s="52">
        <v>0</v>
      </c>
      <c r="H9" s="90">
        <f t="shared" si="4"/>
        <v>1014.7499999999998</v>
      </c>
      <c r="I9" s="92">
        <f t="shared" si="4"/>
        <v>1014.7499999999998</v>
      </c>
    </row>
    <row r="10" spans="1:10">
      <c r="A10" s="11" t="s">
        <v>51</v>
      </c>
      <c r="B10" s="12"/>
      <c r="C10" s="8"/>
      <c r="D10" s="30"/>
      <c r="E10" s="41"/>
      <c r="F10" s="91"/>
      <c r="G10" s="42"/>
      <c r="H10" s="91"/>
      <c r="I10" s="93"/>
    </row>
    <row r="11" spans="1:10">
      <c r="A11" s="2" t="s">
        <v>77</v>
      </c>
      <c r="B11">
        <v>16</v>
      </c>
      <c r="C11" s="8">
        <f t="shared" ref="C11:C17" si="5">B11/$B$22</f>
        <v>1.1142061281337047E-2</v>
      </c>
      <c r="D11" s="30">
        <f t="shared" si="0"/>
        <v>16</v>
      </c>
      <c r="E11" s="41">
        <v>2.5000000000000001E-2</v>
      </c>
      <c r="F11" s="91">
        <f t="shared" si="1"/>
        <v>16.399999999999999</v>
      </c>
      <c r="G11" s="42">
        <v>0</v>
      </c>
      <c r="H11" s="91">
        <f t="shared" ref="H11:H16" si="6">F11+G11</f>
        <v>16.399999999999999</v>
      </c>
      <c r="I11" s="93">
        <f t="shared" ref="I11:I16" si="7">H11</f>
        <v>16.399999999999999</v>
      </c>
    </row>
    <row r="12" spans="1:10">
      <c r="A12" s="2" t="s">
        <v>53</v>
      </c>
      <c r="B12">
        <v>18</v>
      </c>
      <c r="C12" s="8">
        <f t="shared" si="5"/>
        <v>1.2534818941504178E-2</v>
      </c>
      <c r="D12" s="30">
        <f t="shared" si="0"/>
        <v>18</v>
      </c>
      <c r="E12" s="41">
        <v>2.5000000000000001E-2</v>
      </c>
      <c r="F12" s="91">
        <f t="shared" si="1"/>
        <v>18.45</v>
      </c>
      <c r="G12" s="42">
        <v>0</v>
      </c>
      <c r="H12" s="91">
        <f t="shared" si="6"/>
        <v>18.45</v>
      </c>
      <c r="I12" s="93">
        <f t="shared" si="7"/>
        <v>18.45</v>
      </c>
    </row>
    <row r="13" spans="1:10">
      <c r="A13" s="2" t="s">
        <v>78</v>
      </c>
      <c r="B13">
        <v>59</v>
      </c>
      <c r="C13" s="8">
        <f t="shared" si="5"/>
        <v>4.1086350974930359E-2</v>
      </c>
      <c r="D13" s="30">
        <f t="shared" si="0"/>
        <v>58.999999999999993</v>
      </c>
      <c r="E13" s="41">
        <v>2.5000000000000001E-2</v>
      </c>
      <c r="F13" s="91">
        <f t="shared" si="1"/>
        <v>60.474999999999987</v>
      </c>
      <c r="G13" s="42">
        <v>0</v>
      </c>
      <c r="H13" s="91">
        <f t="shared" si="6"/>
        <v>60.474999999999987</v>
      </c>
      <c r="I13" s="93">
        <f t="shared" si="7"/>
        <v>60.474999999999987</v>
      </c>
    </row>
    <row r="14" spans="1:10">
      <c r="A14" s="2" t="s">
        <v>79</v>
      </c>
      <c r="B14">
        <v>44</v>
      </c>
      <c r="C14" s="8">
        <f t="shared" si="5"/>
        <v>3.0640668523676879E-2</v>
      </c>
      <c r="D14" s="30">
        <f t="shared" si="0"/>
        <v>44</v>
      </c>
      <c r="E14" s="41">
        <v>2.5000000000000001E-2</v>
      </c>
      <c r="F14" s="91">
        <f t="shared" si="1"/>
        <v>45.099999999999994</v>
      </c>
      <c r="G14" s="42">
        <v>0</v>
      </c>
      <c r="H14" s="91">
        <f t="shared" si="6"/>
        <v>45.099999999999994</v>
      </c>
      <c r="I14" s="93">
        <f t="shared" si="7"/>
        <v>45.099999999999994</v>
      </c>
    </row>
    <row r="15" spans="1:10">
      <c r="A15" s="2" t="s">
        <v>58</v>
      </c>
      <c r="B15">
        <v>44</v>
      </c>
      <c r="C15" s="8">
        <f t="shared" si="5"/>
        <v>3.0640668523676879E-2</v>
      </c>
      <c r="D15" s="30">
        <f t="shared" si="0"/>
        <v>44</v>
      </c>
      <c r="E15" s="41">
        <v>2.5000000000000001E-2</v>
      </c>
      <c r="F15" s="91">
        <f t="shared" si="1"/>
        <v>45.099999999999994</v>
      </c>
      <c r="G15" s="42">
        <v>0</v>
      </c>
      <c r="H15" s="91">
        <f t="shared" si="6"/>
        <v>45.099999999999994</v>
      </c>
      <c r="I15" s="93">
        <f t="shared" si="7"/>
        <v>45.099999999999994</v>
      </c>
    </row>
    <row r="16" spans="1:10">
      <c r="A16" s="2" t="s">
        <v>56</v>
      </c>
      <c r="B16">
        <v>145</v>
      </c>
      <c r="C16" s="8">
        <f t="shared" si="5"/>
        <v>0.10097493036211699</v>
      </c>
      <c r="D16" s="30">
        <f t="shared" si="0"/>
        <v>145</v>
      </c>
      <c r="E16" s="41">
        <v>2.5000000000000001E-2</v>
      </c>
      <c r="F16" s="91">
        <f t="shared" si="1"/>
        <v>148.625</v>
      </c>
      <c r="G16" s="103">
        <f>2500000/(B3*1000)</f>
        <v>12.5</v>
      </c>
      <c r="H16" s="91">
        <f t="shared" si="6"/>
        <v>161.125</v>
      </c>
      <c r="I16" s="93">
        <f t="shared" si="7"/>
        <v>161.125</v>
      </c>
      <c r="J16" t="s">
        <v>57</v>
      </c>
    </row>
    <row r="17" spans="1:33">
      <c r="A17" s="13" t="s">
        <v>80</v>
      </c>
      <c r="B17" s="6">
        <v>326</v>
      </c>
      <c r="C17" s="49">
        <f t="shared" si="5"/>
        <v>0.22701949860724233</v>
      </c>
      <c r="D17" s="126">
        <f t="shared" si="0"/>
        <v>326</v>
      </c>
      <c r="E17" s="50">
        <v>2.5000000000000001E-2</v>
      </c>
      <c r="F17" s="90">
        <f>SUM(F11:F16)</f>
        <v>334.15</v>
      </c>
      <c r="G17" s="52">
        <v>0</v>
      </c>
      <c r="H17" s="90">
        <f>SUM(H11:H16)</f>
        <v>346.65</v>
      </c>
      <c r="I17" s="92">
        <f>SUM(I11:I16)</f>
        <v>346.65</v>
      </c>
    </row>
    <row r="18" spans="1:33">
      <c r="A18" s="1" t="s">
        <v>81</v>
      </c>
      <c r="C18" s="8"/>
      <c r="D18" s="30"/>
      <c r="E18" s="41"/>
      <c r="F18" s="91"/>
      <c r="G18" s="42"/>
      <c r="H18" s="91"/>
      <c r="I18" s="93"/>
    </row>
    <row r="19" spans="1:33">
      <c r="A19" s="2" t="s">
        <v>82</v>
      </c>
      <c r="B19">
        <v>34</v>
      </c>
      <c r="C19" s="8">
        <f>B19/$B$22</f>
        <v>2.3676880222841225E-2</v>
      </c>
      <c r="D19" s="30">
        <f t="shared" si="0"/>
        <v>34</v>
      </c>
      <c r="E19" s="41">
        <v>2.5000000000000001E-2</v>
      </c>
      <c r="F19" s="91">
        <f t="shared" si="1"/>
        <v>34.849999999999994</v>
      </c>
      <c r="G19" s="42">
        <v>0</v>
      </c>
      <c r="H19" s="91">
        <f t="shared" ref="H19:H21" si="8">F19+G19</f>
        <v>34.849999999999994</v>
      </c>
      <c r="I19" s="93">
        <f t="shared" ref="I19:I21" si="9">H19</f>
        <v>34.849999999999994</v>
      </c>
    </row>
    <row r="20" spans="1:33">
      <c r="A20" s="2" t="s">
        <v>83</v>
      </c>
      <c r="B20">
        <v>86</v>
      </c>
      <c r="C20" s="8">
        <f>B20/$B$22</f>
        <v>5.9888579387186627E-2</v>
      </c>
      <c r="D20" s="30">
        <f t="shared" si="0"/>
        <v>86</v>
      </c>
      <c r="E20" s="41">
        <v>2.5000000000000001E-2</v>
      </c>
      <c r="F20" s="91">
        <f t="shared" si="1"/>
        <v>88.149999999999991</v>
      </c>
      <c r="G20" s="42">
        <v>0</v>
      </c>
      <c r="H20" s="91">
        <f t="shared" si="8"/>
        <v>88.149999999999991</v>
      </c>
      <c r="I20" s="93">
        <f t="shared" si="9"/>
        <v>88.149999999999991</v>
      </c>
    </row>
    <row r="21" spans="1:33">
      <c r="A21" s="2" t="s">
        <v>80</v>
      </c>
      <c r="B21">
        <v>120</v>
      </c>
      <c r="C21" s="8">
        <f>B21/$B$22</f>
        <v>8.3565459610027856E-2</v>
      </c>
      <c r="D21" s="30">
        <f t="shared" si="0"/>
        <v>120</v>
      </c>
      <c r="E21" s="41">
        <v>2.5000000000000001E-2</v>
      </c>
      <c r="F21" s="91">
        <f t="shared" si="1"/>
        <v>122.99999999999999</v>
      </c>
      <c r="G21" s="42">
        <v>0</v>
      </c>
      <c r="H21" s="91">
        <f t="shared" si="8"/>
        <v>122.99999999999999</v>
      </c>
      <c r="I21" s="93">
        <f t="shared" si="9"/>
        <v>122.99999999999999</v>
      </c>
    </row>
    <row r="22" spans="1:33">
      <c r="A22" s="3" t="s">
        <v>66</v>
      </c>
      <c r="B22" s="14">
        <v>1436</v>
      </c>
      <c r="C22" s="49">
        <f>B22/$B$22</f>
        <v>1</v>
      </c>
      <c r="D22" s="126">
        <f t="shared" si="0"/>
        <v>1436</v>
      </c>
      <c r="E22" s="50">
        <v>2.5000000000000001E-2</v>
      </c>
      <c r="F22" s="90">
        <f t="shared" ref="F22:I22" si="10">F9+F17+F21</f>
        <v>1471.8999999999996</v>
      </c>
      <c r="G22" s="52">
        <v>0</v>
      </c>
      <c r="H22" s="90">
        <f t="shared" si="10"/>
        <v>1484.3999999999996</v>
      </c>
      <c r="I22" s="92">
        <f t="shared" si="10"/>
        <v>1484.3999999999996</v>
      </c>
    </row>
    <row r="24" spans="1:33" ht="14.45" customHeight="1">
      <c r="A24" s="130" t="s">
        <v>67</v>
      </c>
      <c r="B24" s="130"/>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row>
    <row r="25" spans="1:33" ht="14.45" customHeight="1">
      <c r="A25" s="130"/>
      <c r="B25" s="130"/>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row>
    <row r="27" spans="1:33">
      <c r="A27" t="s">
        <v>12</v>
      </c>
      <c r="B27">
        <v>2019</v>
      </c>
      <c r="C27">
        <v>2020</v>
      </c>
      <c r="D27">
        <v>2021</v>
      </c>
      <c r="E27">
        <v>2022</v>
      </c>
      <c r="F27">
        <v>2023</v>
      </c>
      <c r="G27">
        <v>2024</v>
      </c>
      <c r="H27">
        <v>2025</v>
      </c>
      <c r="I27">
        <v>2026</v>
      </c>
      <c r="J27">
        <v>2027</v>
      </c>
      <c r="K27">
        <v>2028</v>
      </c>
      <c r="L27">
        <v>2029</v>
      </c>
      <c r="M27">
        <v>2030</v>
      </c>
      <c r="N27">
        <v>2031</v>
      </c>
      <c r="O27">
        <v>2032</v>
      </c>
      <c r="P27">
        <v>2033</v>
      </c>
      <c r="Q27">
        <v>2034</v>
      </c>
      <c r="R27">
        <v>2035</v>
      </c>
      <c r="S27">
        <v>2036</v>
      </c>
      <c r="T27">
        <v>2037</v>
      </c>
      <c r="U27">
        <v>2038</v>
      </c>
      <c r="V27">
        <v>2039</v>
      </c>
      <c r="W27">
        <v>2040</v>
      </c>
      <c r="X27">
        <v>2041</v>
      </c>
      <c r="Y27">
        <v>2042</v>
      </c>
      <c r="Z27">
        <v>2043</v>
      </c>
      <c r="AA27">
        <v>2044</v>
      </c>
      <c r="AB27">
        <v>2045</v>
      </c>
      <c r="AC27">
        <v>2046</v>
      </c>
      <c r="AD27">
        <v>2047</v>
      </c>
      <c r="AE27">
        <v>2048</v>
      </c>
      <c r="AF27">
        <v>2049</v>
      </c>
      <c r="AG27">
        <v>2050</v>
      </c>
    </row>
    <row r="28" spans="1:33">
      <c r="A28" t="s">
        <v>84</v>
      </c>
      <c r="B28" s="9">
        <v>1436</v>
      </c>
      <c r="C28" s="9">
        <v>1391.8181818181818</v>
      </c>
      <c r="D28" s="9">
        <v>1347.6363636363637</v>
      </c>
      <c r="E28" s="9">
        <v>1303.4545454545455</v>
      </c>
      <c r="F28" s="9">
        <v>1259.2727272727273</v>
      </c>
      <c r="G28" s="9">
        <v>1215.090909090909</v>
      </c>
      <c r="H28" s="9">
        <v>1170.909090909091</v>
      </c>
      <c r="I28" s="9">
        <v>1126.7272727272727</v>
      </c>
      <c r="J28" s="9">
        <v>1082.5454545454545</v>
      </c>
      <c r="K28" s="9">
        <v>1038.3636363636363</v>
      </c>
      <c r="L28" s="9">
        <v>994.18181818181813</v>
      </c>
      <c r="M28" s="9">
        <v>950</v>
      </c>
      <c r="N28" s="9">
        <v>940.5</v>
      </c>
      <c r="O28" s="9">
        <v>931</v>
      </c>
      <c r="P28" s="9">
        <v>921.5</v>
      </c>
      <c r="Q28" s="9">
        <v>912</v>
      </c>
      <c r="R28" s="9">
        <v>902.5</v>
      </c>
      <c r="S28" s="9">
        <v>893</v>
      </c>
      <c r="T28" s="9">
        <v>883.5</v>
      </c>
      <c r="U28" s="9">
        <v>874</v>
      </c>
      <c r="V28" s="9">
        <v>864.5</v>
      </c>
      <c r="W28" s="9">
        <v>855</v>
      </c>
      <c r="X28" s="9">
        <v>845.5</v>
      </c>
      <c r="Y28" s="9">
        <v>836</v>
      </c>
      <c r="Z28" s="9">
        <v>826.5</v>
      </c>
      <c r="AA28" s="9">
        <v>817</v>
      </c>
      <c r="AB28" s="9">
        <v>807.5</v>
      </c>
      <c r="AC28" s="9">
        <v>798</v>
      </c>
      <c r="AD28" s="9">
        <v>788.5</v>
      </c>
      <c r="AE28" s="9">
        <v>779</v>
      </c>
      <c r="AF28" s="9">
        <v>769.5</v>
      </c>
      <c r="AG28" s="9">
        <v>760</v>
      </c>
    </row>
    <row r="29" spans="1:33">
      <c r="A29" t="s">
        <v>69</v>
      </c>
      <c r="B29" s="16" t="s">
        <v>70</v>
      </c>
      <c r="C29" s="15">
        <f>1-(C28/B28)</f>
        <v>3.0767282856419387E-2</v>
      </c>
      <c r="D29" s="15">
        <f t="shared" ref="D29:AG29" si="11">1-(D28/C28)</f>
        <v>3.1743958197256616E-2</v>
      </c>
      <c r="E29" s="15">
        <f t="shared" si="11"/>
        <v>3.278467350242853E-2</v>
      </c>
      <c r="F29" s="15">
        <f t="shared" si="11"/>
        <v>3.3895940856465412E-2</v>
      </c>
      <c r="G29" s="15">
        <f t="shared" si="11"/>
        <v>3.508518625469248E-2</v>
      </c>
      <c r="H29" s="15">
        <f t="shared" si="11"/>
        <v>3.6360915756396661E-2</v>
      </c>
      <c r="I29" s="15">
        <f t="shared" si="11"/>
        <v>3.7732919254658381E-2</v>
      </c>
      <c r="J29" s="15">
        <f t="shared" si="11"/>
        <v>3.921252218815563E-2</v>
      </c>
      <c r="K29" s="15">
        <f t="shared" si="11"/>
        <v>4.0812898891501526E-2</v>
      </c>
      <c r="L29" s="15">
        <f t="shared" si="11"/>
        <v>4.2549465942917086E-2</v>
      </c>
      <c r="M29" s="15">
        <f t="shared" si="11"/>
        <v>4.4440380395025514E-2</v>
      </c>
      <c r="N29" s="15">
        <f t="shared" si="11"/>
        <v>1.0000000000000009E-2</v>
      </c>
      <c r="O29" s="15">
        <f t="shared" si="11"/>
        <v>1.0101010101010055E-2</v>
      </c>
      <c r="P29" s="15">
        <f t="shared" si="11"/>
        <v>1.0204081632653073E-2</v>
      </c>
      <c r="Q29" s="15">
        <f t="shared" si="11"/>
        <v>1.0309278350515427E-2</v>
      </c>
      <c r="R29" s="15">
        <f t="shared" si="11"/>
        <v>1.041666666666663E-2</v>
      </c>
      <c r="S29" s="15">
        <f t="shared" si="11"/>
        <v>1.0526315789473717E-2</v>
      </c>
      <c r="T29" s="15">
        <f t="shared" si="11"/>
        <v>1.0638297872340385E-2</v>
      </c>
      <c r="U29" s="15">
        <f t="shared" si="11"/>
        <v>1.0752688172043001E-2</v>
      </c>
      <c r="V29" s="15">
        <f t="shared" si="11"/>
        <v>1.0869565217391353E-2</v>
      </c>
      <c r="W29" s="15">
        <f t="shared" si="11"/>
        <v>1.098901098901095E-2</v>
      </c>
      <c r="X29" s="15">
        <f t="shared" si="11"/>
        <v>1.1111111111111072E-2</v>
      </c>
      <c r="Y29" s="15">
        <f t="shared" si="11"/>
        <v>1.1235955056179803E-2</v>
      </c>
      <c r="Z29" s="15">
        <f t="shared" si="11"/>
        <v>1.1363636363636354E-2</v>
      </c>
      <c r="AA29" s="15">
        <f t="shared" si="11"/>
        <v>1.1494252873563204E-2</v>
      </c>
      <c r="AB29" s="15">
        <f t="shared" si="11"/>
        <v>1.1627906976744207E-2</v>
      </c>
      <c r="AC29" s="15">
        <f t="shared" si="11"/>
        <v>1.1764705882352899E-2</v>
      </c>
      <c r="AD29" s="15">
        <f t="shared" si="11"/>
        <v>1.1904761904761862E-2</v>
      </c>
      <c r="AE29" s="15">
        <f t="shared" si="11"/>
        <v>1.2048192771084376E-2</v>
      </c>
      <c r="AF29" s="15">
        <f t="shared" si="11"/>
        <v>1.2195121951219523E-2</v>
      </c>
      <c r="AG29" s="15">
        <f t="shared" si="11"/>
        <v>1.2345679012345734E-2</v>
      </c>
    </row>
    <row r="30" spans="1:33">
      <c r="A30" t="s">
        <v>71</v>
      </c>
      <c r="B30" s="9">
        <f>I22</f>
        <v>1484.3999999999996</v>
      </c>
      <c r="C30" s="9">
        <f>B30*(1-C29)</f>
        <v>1438.7290453279306</v>
      </c>
      <c r="D30" s="9">
        <f t="shared" ref="D30:AG30" si="12">C30*(1-D29)</f>
        <v>1393.0580906558619</v>
      </c>
      <c r="E30" s="9">
        <f t="shared" si="12"/>
        <v>1347.3871359837929</v>
      </c>
      <c r="F30" s="9">
        <f t="shared" si="12"/>
        <v>1301.7161813117239</v>
      </c>
      <c r="G30" s="9">
        <f t="shared" si="12"/>
        <v>1256.0452266396551</v>
      </c>
      <c r="H30" s="9">
        <f t="shared" si="12"/>
        <v>1210.3742719675865</v>
      </c>
      <c r="I30" s="9">
        <f t="shared" si="12"/>
        <v>1164.7033172955178</v>
      </c>
      <c r="J30" s="9">
        <f t="shared" si="12"/>
        <v>1119.0323626234488</v>
      </c>
      <c r="K30" s="9">
        <f t="shared" si="12"/>
        <v>1073.36140795138</v>
      </c>
      <c r="L30" s="9">
        <f t="shared" si="12"/>
        <v>1027.6904532793112</v>
      </c>
      <c r="M30" s="9">
        <f t="shared" si="12"/>
        <v>982.01949860724244</v>
      </c>
      <c r="N30" s="9">
        <f t="shared" si="12"/>
        <v>972.19930362116997</v>
      </c>
      <c r="O30" s="9">
        <f t="shared" si="12"/>
        <v>962.37910863509762</v>
      </c>
      <c r="P30" s="9">
        <f t="shared" si="12"/>
        <v>952.55891364902516</v>
      </c>
      <c r="Q30" s="9">
        <f t="shared" si="12"/>
        <v>942.73871866295281</v>
      </c>
      <c r="R30" s="9">
        <f t="shared" si="12"/>
        <v>932.91852367688045</v>
      </c>
      <c r="S30" s="9">
        <f t="shared" si="12"/>
        <v>923.09832869080799</v>
      </c>
      <c r="T30" s="9">
        <f t="shared" si="12"/>
        <v>913.27813370473564</v>
      </c>
      <c r="U30" s="9">
        <f t="shared" si="12"/>
        <v>903.45793871866317</v>
      </c>
      <c r="V30" s="9">
        <f t="shared" si="12"/>
        <v>893.63774373259071</v>
      </c>
      <c r="W30" s="9">
        <f t="shared" si="12"/>
        <v>883.81754874651836</v>
      </c>
      <c r="X30" s="9">
        <f t="shared" si="12"/>
        <v>873.997353760446</v>
      </c>
      <c r="Y30" s="9">
        <f t="shared" si="12"/>
        <v>864.17715877437354</v>
      </c>
      <c r="Z30" s="9">
        <f t="shared" si="12"/>
        <v>854.35696378830107</v>
      </c>
      <c r="AA30" s="9">
        <f t="shared" si="12"/>
        <v>844.53676880222861</v>
      </c>
      <c r="AB30" s="9">
        <f t="shared" si="12"/>
        <v>834.71657381615614</v>
      </c>
      <c r="AC30" s="9">
        <f t="shared" si="12"/>
        <v>824.89637883008379</v>
      </c>
      <c r="AD30" s="9">
        <f t="shared" si="12"/>
        <v>815.07618384401144</v>
      </c>
      <c r="AE30" s="9">
        <f t="shared" si="12"/>
        <v>805.25598885793897</v>
      </c>
      <c r="AF30" s="9">
        <f t="shared" si="12"/>
        <v>795.43579387186651</v>
      </c>
      <c r="AG30" s="9">
        <f t="shared" si="12"/>
        <v>785.61559888579404</v>
      </c>
    </row>
  </sheetData>
  <mergeCells count="3">
    <mergeCell ref="A24:B25"/>
    <mergeCell ref="A1:C1"/>
    <mergeCell ref="E1:H1"/>
  </mergeCell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0"/>
  <sheetViews>
    <sheetView workbookViewId="0">
      <selection activeCell="L4" sqref="L4"/>
    </sheetView>
  </sheetViews>
  <sheetFormatPr defaultRowHeight="14.45"/>
  <cols>
    <col min="1" max="1" width="21.7109375" bestFit="1" customWidth="1"/>
    <col min="2" max="2" width="13.7109375" bestFit="1" customWidth="1"/>
    <col min="3" max="3" width="12.140625" bestFit="1" customWidth="1"/>
    <col min="4" max="4" width="11.140625" bestFit="1" customWidth="1"/>
    <col min="5" max="5" width="10.28515625" customWidth="1"/>
    <col min="6" max="7" width="12.140625" bestFit="1" customWidth="1"/>
    <col min="8" max="8" width="10.5703125" customWidth="1"/>
    <col min="9" max="33" width="9.5703125" bestFit="1" customWidth="1"/>
  </cols>
  <sheetData>
    <row r="1" spans="1:13">
      <c r="A1" s="132" t="s">
        <v>32</v>
      </c>
      <c r="B1" s="131"/>
      <c r="C1" s="131"/>
      <c r="E1" s="131" t="s">
        <v>33</v>
      </c>
      <c r="F1" s="131"/>
    </row>
    <row r="2" spans="1:13" ht="72">
      <c r="A2" s="1"/>
      <c r="B2" s="5" t="s">
        <v>34</v>
      </c>
      <c r="C2" s="7" t="s">
        <v>35</v>
      </c>
      <c r="D2" s="45" t="s">
        <v>36</v>
      </c>
      <c r="E2" s="47" t="s">
        <v>37</v>
      </c>
      <c r="F2" s="45" t="s">
        <v>38</v>
      </c>
      <c r="G2" s="47" t="s">
        <v>39</v>
      </c>
      <c r="H2" s="45" t="s">
        <v>40</v>
      </c>
      <c r="I2" s="18" t="s">
        <v>41</v>
      </c>
    </row>
    <row r="3" spans="1:13">
      <c r="A3" t="s">
        <v>43</v>
      </c>
      <c r="B3">
        <v>134</v>
      </c>
      <c r="C3" t="s">
        <v>46</v>
      </c>
      <c r="D3" s="46" t="s">
        <v>45</v>
      </c>
      <c r="E3" s="48" t="s">
        <v>47</v>
      </c>
      <c r="F3" s="46" t="s">
        <v>45</v>
      </c>
      <c r="G3" s="48" t="s">
        <v>85</v>
      </c>
      <c r="H3" s="46" t="s">
        <v>45</v>
      </c>
      <c r="I3" s="44" t="s">
        <v>45</v>
      </c>
    </row>
    <row r="4" spans="1:13">
      <c r="A4" s="3" t="s">
        <v>86</v>
      </c>
      <c r="B4" s="6" t="s">
        <v>87</v>
      </c>
      <c r="C4" s="6"/>
      <c r="D4" s="79"/>
      <c r="E4" s="63"/>
      <c r="F4" s="79"/>
      <c r="G4" s="63"/>
      <c r="H4" s="79"/>
      <c r="I4" s="6"/>
    </row>
    <row r="5" spans="1:13">
      <c r="A5" s="1" t="s">
        <v>88</v>
      </c>
      <c r="B5" s="94">
        <v>41000000</v>
      </c>
      <c r="C5" s="64">
        <f t="shared" ref="C5:C13" si="0">B5/$B$22</f>
        <v>0.40594059405940597</v>
      </c>
      <c r="D5" s="91">
        <f>$B$28*C5</f>
        <v>564.72800612433787</v>
      </c>
      <c r="E5" s="41">
        <f t="shared" ref="E5:E13" si="1">inf</f>
        <v>2.5000000000000001E-2</v>
      </c>
      <c r="F5" s="91">
        <f>D5*(1+E5)</f>
        <v>578.8462062774463</v>
      </c>
      <c r="G5" s="105">
        <v>0</v>
      </c>
      <c r="H5" s="91">
        <f>F5+G5</f>
        <v>578.8462062774463</v>
      </c>
      <c r="I5" s="93">
        <f>H5</f>
        <v>578.8462062774463</v>
      </c>
      <c r="M5" s="5"/>
    </row>
    <row r="6" spans="1:13">
      <c r="A6" s="1" t="s">
        <v>89</v>
      </c>
      <c r="B6" s="94">
        <v>5000000</v>
      </c>
      <c r="C6" s="64">
        <f t="shared" si="0"/>
        <v>4.9504950495049507E-2</v>
      </c>
      <c r="D6" s="91">
        <f t="shared" ref="D6:D22" si="2">$B$28*C6</f>
        <v>68.869269039553402</v>
      </c>
      <c r="E6" s="41">
        <f t="shared" si="1"/>
        <v>2.5000000000000001E-2</v>
      </c>
      <c r="F6" s="91">
        <f t="shared" ref="F6:F8" si="3">D6*(1+E6)</f>
        <v>70.591000765542233</v>
      </c>
      <c r="G6" s="105">
        <v>0</v>
      </c>
      <c r="H6" s="91">
        <f t="shared" ref="H6:H12" si="4">F6+G6</f>
        <v>70.591000765542233</v>
      </c>
      <c r="I6" s="93">
        <f t="shared" ref="I6:I12" si="5">H6</f>
        <v>70.591000765542233</v>
      </c>
    </row>
    <row r="7" spans="1:13">
      <c r="A7" s="1" t="s">
        <v>90</v>
      </c>
      <c r="B7" s="94">
        <v>12000000</v>
      </c>
      <c r="C7" s="64">
        <f t="shared" si="0"/>
        <v>0.11881188118811881</v>
      </c>
      <c r="D7" s="91">
        <f t="shared" si="2"/>
        <v>165.28624569492814</v>
      </c>
      <c r="E7" s="41">
        <f t="shared" si="1"/>
        <v>2.5000000000000001E-2</v>
      </c>
      <c r="F7" s="91">
        <f t="shared" si="3"/>
        <v>169.41840183730133</v>
      </c>
      <c r="G7" s="105">
        <v>0</v>
      </c>
      <c r="H7" s="91">
        <f t="shared" si="4"/>
        <v>169.41840183730133</v>
      </c>
      <c r="I7" s="93">
        <f t="shared" si="5"/>
        <v>169.41840183730133</v>
      </c>
    </row>
    <row r="8" spans="1:13">
      <c r="A8" s="1" t="s">
        <v>91</v>
      </c>
      <c r="B8" s="94">
        <v>7000000</v>
      </c>
      <c r="C8" s="64">
        <f t="shared" si="0"/>
        <v>6.9306930693069313E-2</v>
      </c>
      <c r="D8" s="91">
        <f t="shared" si="2"/>
        <v>96.416976655374768</v>
      </c>
      <c r="E8" s="41">
        <f t="shared" si="1"/>
        <v>2.5000000000000001E-2</v>
      </c>
      <c r="F8" s="91">
        <f t="shared" si="3"/>
        <v>98.827401071759127</v>
      </c>
      <c r="G8" s="105">
        <v>0</v>
      </c>
      <c r="H8" s="91">
        <f t="shared" si="4"/>
        <v>98.827401071759127</v>
      </c>
      <c r="I8" s="93">
        <f t="shared" si="5"/>
        <v>98.827401071759127</v>
      </c>
    </row>
    <row r="9" spans="1:13">
      <c r="A9" s="1" t="s">
        <v>92</v>
      </c>
      <c r="B9" s="31">
        <f>B7+B8</f>
        <v>19000000</v>
      </c>
      <c r="C9" s="64">
        <f t="shared" si="0"/>
        <v>0.18811881188118812</v>
      </c>
      <c r="D9" s="91">
        <f t="shared" si="2"/>
        <v>261.70322235030289</v>
      </c>
      <c r="E9" s="41">
        <f t="shared" si="1"/>
        <v>2.5000000000000001E-2</v>
      </c>
      <c r="F9" s="91">
        <f>F7+F8</f>
        <v>268.24580290906044</v>
      </c>
      <c r="G9" s="105">
        <v>0</v>
      </c>
      <c r="H9" s="91">
        <f>H7+H8</f>
        <v>268.24580290906044</v>
      </c>
      <c r="I9" s="93">
        <f t="shared" si="5"/>
        <v>268.24580290906044</v>
      </c>
    </row>
    <row r="10" spans="1:13">
      <c r="A10" s="1" t="s">
        <v>93</v>
      </c>
      <c r="B10" s="31">
        <v>11000000</v>
      </c>
      <c r="C10" s="64">
        <f t="shared" si="0"/>
        <v>0.10891089108910891</v>
      </c>
      <c r="D10" s="91">
        <f t="shared" si="2"/>
        <v>151.51239188701749</v>
      </c>
      <c r="E10" s="41">
        <f t="shared" si="1"/>
        <v>2.5000000000000001E-2</v>
      </c>
      <c r="F10" s="91">
        <f>D10*(1+E10)</f>
        <v>155.3002016841929</v>
      </c>
      <c r="G10" s="105">
        <v>0</v>
      </c>
      <c r="H10" s="91">
        <f t="shared" si="4"/>
        <v>155.3002016841929</v>
      </c>
      <c r="I10" s="93">
        <f t="shared" si="5"/>
        <v>155.3002016841929</v>
      </c>
    </row>
    <row r="11" spans="1:13">
      <c r="A11" s="1" t="s">
        <v>94</v>
      </c>
      <c r="B11" s="31">
        <v>6000000</v>
      </c>
      <c r="C11" s="64">
        <f t="shared" si="0"/>
        <v>5.9405940594059403E-2</v>
      </c>
      <c r="D11" s="91">
        <f t="shared" si="2"/>
        <v>82.64312284746407</v>
      </c>
      <c r="E11" s="41">
        <f t="shared" si="1"/>
        <v>2.5000000000000001E-2</v>
      </c>
      <c r="F11" s="91">
        <f t="shared" ref="F11:F12" si="6">D11*(1+E11)</f>
        <v>84.709200918650666</v>
      </c>
      <c r="G11" s="105">
        <v>0</v>
      </c>
      <c r="H11" s="91">
        <f t="shared" si="4"/>
        <v>84.709200918650666</v>
      </c>
      <c r="I11" s="93">
        <f t="shared" si="5"/>
        <v>84.709200918650666</v>
      </c>
    </row>
    <row r="12" spans="1:13">
      <c r="A12" s="1" t="s">
        <v>95</v>
      </c>
      <c r="B12" s="31">
        <v>4000000</v>
      </c>
      <c r="C12" s="64">
        <f t="shared" si="0"/>
        <v>3.9603960396039604E-2</v>
      </c>
      <c r="D12" s="91">
        <f t="shared" si="2"/>
        <v>55.095415231642718</v>
      </c>
      <c r="E12" s="41">
        <f t="shared" si="1"/>
        <v>2.5000000000000001E-2</v>
      </c>
      <c r="F12" s="91">
        <f t="shared" si="6"/>
        <v>56.47280061243378</v>
      </c>
      <c r="G12" s="105">
        <v>0</v>
      </c>
      <c r="H12" s="91">
        <f t="shared" si="4"/>
        <v>56.47280061243378</v>
      </c>
      <c r="I12" s="93">
        <f t="shared" si="5"/>
        <v>56.47280061243378</v>
      </c>
    </row>
    <row r="13" spans="1:13">
      <c r="A13" s="1" t="s">
        <v>96</v>
      </c>
      <c r="B13" s="31">
        <f>SUM(B5:B8,B10:B12)</f>
        <v>86000000</v>
      </c>
      <c r="C13" s="64">
        <f t="shared" si="0"/>
        <v>0.85148514851485146</v>
      </c>
      <c r="D13" s="91">
        <f t="shared" si="2"/>
        <v>1184.5514274803184</v>
      </c>
      <c r="E13" s="41">
        <f t="shared" si="1"/>
        <v>2.5000000000000001E-2</v>
      </c>
      <c r="F13" s="91">
        <f>SUM(F5:F8,F10:F12)</f>
        <v>1214.1652131673263</v>
      </c>
      <c r="G13" s="105">
        <v>0</v>
      </c>
      <c r="H13" s="91">
        <f>SUM(H5:H8,H10:H12)</f>
        <v>1214.1652131673263</v>
      </c>
      <c r="I13" s="93">
        <f>SUM(I5:I8,I10:I12)</f>
        <v>1214.1652131673263</v>
      </c>
    </row>
    <row r="14" spans="1:13">
      <c r="A14" s="1" t="s">
        <v>97</v>
      </c>
      <c r="B14" s="31"/>
      <c r="C14" s="64"/>
      <c r="D14" s="91"/>
      <c r="E14" s="41"/>
      <c r="F14" s="91"/>
      <c r="G14" s="105"/>
      <c r="H14" s="91"/>
      <c r="I14" s="93"/>
    </row>
    <row r="15" spans="1:13">
      <c r="A15" s="1" t="s">
        <v>98</v>
      </c>
      <c r="B15" s="31"/>
      <c r="C15" s="64"/>
      <c r="D15" s="91"/>
      <c r="E15" s="41"/>
      <c r="F15" s="91"/>
      <c r="G15" s="105"/>
      <c r="H15" s="91"/>
      <c r="I15" s="93"/>
    </row>
    <row r="16" spans="1:13">
      <c r="A16" s="1" t="s">
        <v>99</v>
      </c>
      <c r="B16" s="31">
        <v>3000000</v>
      </c>
      <c r="C16" s="64">
        <f t="shared" ref="C16:C22" si="7">B16/$B$22</f>
        <v>2.9702970297029702E-2</v>
      </c>
      <c r="D16" s="91">
        <f t="shared" si="2"/>
        <v>41.321561423732035</v>
      </c>
      <c r="E16" s="41">
        <f t="shared" ref="E16:E22" si="8">inf</f>
        <v>2.5000000000000001E-2</v>
      </c>
      <c r="F16" s="91">
        <f>D16*(1+E16)</f>
        <v>42.354600459325333</v>
      </c>
      <c r="G16" s="105">
        <v>0</v>
      </c>
      <c r="H16" s="91">
        <f t="shared" ref="H16:H20" si="9">F16+G16</f>
        <v>42.354600459325333</v>
      </c>
      <c r="I16" s="93">
        <f t="shared" ref="I16:I20" si="10">H16</f>
        <v>42.354600459325333</v>
      </c>
    </row>
    <row r="17" spans="1:33">
      <c r="A17" s="1" t="s">
        <v>100</v>
      </c>
      <c r="B17" s="31">
        <v>2000000</v>
      </c>
      <c r="C17" s="64">
        <f t="shared" si="7"/>
        <v>1.9801980198019802E-2</v>
      </c>
      <c r="D17" s="91">
        <f t="shared" si="2"/>
        <v>27.547707615821359</v>
      </c>
      <c r="E17" s="41">
        <f t="shared" si="8"/>
        <v>2.5000000000000001E-2</v>
      </c>
      <c r="F17" s="91">
        <f t="shared" ref="F17:F20" si="11">D17*(1+E17)</f>
        <v>28.23640030621689</v>
      </c>
      <c r="G17" s="105">
        <f>(500000*5-B17)/(B3*1000)</f>
        <v>3.7313432835820897</v>
      </c>
      <c r="H17" s="91">
        <f t="shared" si="9"/>
        <v>31.967743589798978</v>
      </c>
      <c r="I17" s="93">
        <f t="shared" si="10"/>
        <v>31.967743589798978</v>
      </c>
      <c r="J17" t="s">
        <v>101</v>
      </c>
    </row>
    <row r="18" spans="1:33">
      <c r="A18" s="1" t="s">
        <v>102</v>
      </c>
      <c r="B18" s="31">
        <v>2000000</v>
      </c>
      <c r="C18" s="64">
        <f t="shared" si="7"/>
        <v>1.9801980198019802E-2</v>
      </c>
      <c r="D18" s="91">
        <f t="shared" si="2"/>
        <v>27.547707615821359</v>
      </c>
      <c r="E18" s="41">
        <f t="shared" si="8"/>
        <v>2.5000000000000001E-2</v>
      </c>
      <c r="F18" s="91">
        <f t="shared" si="11"/>
        <v>28.23640030621689</v>
      </c>
      <c r="G18" s="105">
        <v>0</v>
      </c>
      <c r="H18" s="91">
        <f t="shared" si="9"/>
        <v>28.23640030621689</v>
      </c>
      <c r="I18" s="93">
        <f t="shared" si="10"/>
        <v>28.23640030621689</v>
      </c>
    </row>
    <row r="19" spans="1:33">
      <c r="A19" s="1" t="s">
        <v>103</v>
      </c>
      <c r="B19" s="31">
        <v>3000000</v>
      </c>
      <c r="C19" s="64">
        <f t="shared" si="7"/>
        <v>2.9702970297029702E-2</v>
      </c>
      <c r="D19" s="91">
        <f t="shared" si="2"/>
        <v>41.321561423732035</v>
      </c>
      <c r="E19" s="41">
        <f t="shared" si="8"/>
        <v>2.5000000000000001E-2</v>
      </c>
      <c r="F19" s="91">
        <f t="shared" si="11"/>
        <v>42.354600459325333</v>
      </c>
      <c r="G19" s="105">
        <v>0</v>
      </c>
      <c r="H19" s="91">
        <f t="shared" si="9"/>
        <v>42.354600459325333</v>
      </c>
      <c r="I19" s="93">
        <f t="shared" si="10"/>
        <v>42.354600459325333</v>
      </c>
    </row>
    <row r="20" spans="1:33">
      <c r="A20" s="1" t="s">
        <v>104</v>
      </c>
      <c r="B20" s="31">
        <v>5000000</v>
      </c>
      <c r="C20" s="49">
        <f t="shared" si="7"/>
        <v>4.9504950495049507E-2</v>
      </c>
      <c r="D20" s="90">
        <f t="shared" si="2"/>
        <v>68.869269039553402</v>
      </c>
      <c r="E20" s="50">
        <f t="shared" si="8"/>
        <v>2.5000000000000001E-2</v>
      </c>
      <c r="F20" s="90">
        <f t="shared" si="11"/>
        <v>70.591000765542233</v>
      </c>
      <c r="G20" s="106">
        <v>0</v>
      </c>
      <c r="H20" s="90">
        <f t="shared" si="9"/>
        <v>70.591000765542233</v>
      </c>
      <c r="I20" s="92">
        <f t="shared" si="10"/>
        <v>70.591000765542233</v>
      </c>
    </row>
    <row r="21" spans="1:33">
      <c r="A21" s="22" t="s">
        <v>105</v>
      </c>
      <c r="B21" s="99">
        <f>SUM(B15:B20)</f>
        <v>15000000</v>
      </c>
      <c r="C21" s="69">
        <f t="shared" si="7"/>
        <v>0.14851485148514851</v>
      </c>
      <c r="D21" s="96">
        <f t="shared" si="2"/>
        <v>206.60780711866019</v>
      </c>
      <c r="E21" s="75">
        <f t="shared" si="8"/>
        <v>2.5000000000000001E-2</v>
      </c>
      <c r="F21" s="96">
        <f>SUM(F15:F20)</f>
        <v>211.77300229662666</v>
      </c>
      <c r="G21" s="107">
        <v>0</v>
      </c>
      <c r="H21" s="96">
        <f>SUM(H15:H20)</f>
        <v>215.50434558020879</v>
      </c>
      <c r="I21" s="98">
        <f>SUM(I15:I20)</f>
        <v>215.50434558020879</v>
      </c>
    </row>
    <row r="22" spans="1:33">
      <c r="A22" s="3" t="s">
        <v>80</v>
      </c>
      <c r="B22" s="34">
        <f>SUM(B5:B8,B10:B12,B14:B20)</f>
        <v>101000000</v>
      </c>
      <c r="C22" s="69">
        <f t="shared" si="7"/>
        <v>1</v>
      </c>
      <c r="D22" s="96">
        <f t="shared" si="2"/>
        <v>1391.1592345989786</v>
      </c>
      <c r="E22" s="75">
        <f t="shared" si="8"/>
        <v>2.5000000000000001E-2</v>
      </c>
      <c r="F22" s="96">
        <f>SUM(F5:F8,F10:F12,F14:F20)</f>
        <v>1425.9382154639532</v>
      </c>
      <c r="G22" s="107">
        <v>0</v>
      </c>
      <c r="H22" s="96">
        <f>SUM(H5:H8,H10:H12,H14:H20)</f>
        <v>1429.6695587475353</v>
      </c>
      <c r="I22" s="98">
        <f>SUM(I5:I8,I10:I12,I14:I20)</f>
        <v>1429.6695587475353</v>
      </c>
    </row>
    <row r="24" spans="1:33" ht="14.45" customHeight="1">
      <c r="A24" s="130" t="s">
        <v>67</v>
      </c>
      <c r="B24" s="130"/>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row>
    <row r="25" spans="1:33" ht="14.45" customHeight="1">
      <c r="A25" s="130"/>
      <c r="B25" s="130"/>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row>
    <row r="27" spans="1:33">
      <c r="A27" t="s">
        <v>12</v>
      </c>
      <c r="B27">
        <v>2019</v>
      </c>
      <c r="C27">
        <v>2020</v>
      </c>
      <c r="D27">
        <v>2021</v>
      </c>
      <c r="E27">
        <v>2022</v>
      </c>
      <c r="F27">
        <v>2023</v>
      </c>
      <c r="G27">
        <v>2024</v>
      </c>
      <c r="H27">
        <v>2025</v>
      </c>
      <c r="I27">
        <v>2026</v>
      </c>
      <c r="J27">
        <v>2027</v>
      </c>
      <c r="K27">
        <v>2028</v>
      </c>
      <c r="L27">
        <v>2029</v>
      </c>
      <c r="M27">
        <v>2030</v>
      </c>
      <c r="N27">
        <v>2031</v>
      </c>
      <c r="O27">
        <v>2032</v>
      </c>
      <c r="P27">
        <v>2033</v>
      </c>
      <c r="Q27">
        <v>2034</v>
      </c>
      <c r="R27">
        <v>2035</v>
      </c>
      <c r="S27">
        <v>2036</v>
      </c>
      <c r="T27">
        <v>2037</v>
      </c>
      <c r="U27">
        <v>2038</v>
      </c>
      <c r="V27">
        <v>2039</v>
      </c>
      <c r="W27">
        <v>2040</v>
      </c>
      <c r="X27">
        <v>2041</v>
      </c>
      <c r="Y27">
        <v>2042</v>
      </c>
      <c r="Z27">
        <v>2043</v>
      </c>
      <c r="AA27">
        <v>2044</v>
      </c>
      <c r="AB27">
        <v>2045</v>
      </c>
      <c r="AC27">
        <v>2046</v>
      </c>
      <c r="AD27">
        <v>2047</v>
      </c>
      <c r="AE27">
        <v>2048</v>
      </c>
      <c r="AF27">
        <v>2049</v>
      </c>
      <c r="AG27">
        <v>2050</v>
      </c>
    </row>
    <row r="28" spans="1:33">
      <c r="A28" t="s">
        <v>106</v>
      </c>
      <c r="B28" s="9">
        <v>1391.1592345989786</v>
      </c>
      <c r="C28" s="9">
        <v>1376.5401161146963</v>
      </c>
      <c r="D28" s="9">
        <v>1316.4771657967624</v>
      </c>
      <c r="E28" s="9">
        <v>1256.4142154788285</v>
      </c>
      <c r="F28" s="9">
        <v>1196.3512651608944</v>
      </c>
      <c r="G28" s="9">
        <v>1136.2883148429605</v>
      </c>
      <c r="H28" s="9">
        <v>1076.2253645250264</v>
      </c>
      <c r="I28" s="9">
        <v>1016.1624142070926</v>
      </c>
      <c r="J28" s="9">
        <v>956.09946388915887</v>
      </c>
      <c r="K28" s="9">
        <v>896.03651357122499</v>
      </c>
      <c r="L28" s="9">
        <v>835.9735632532911</v>
      </c>
      <c r="M28" s="9">
        <v>775.91061293535768</v>
      </c>
      <c r="N28" s="9">
        <v>768.99658506837977</v>
      </c>
      <c r="O28" s="9">
        <v>762.08255720140187</v>
      </c>
      <c r="P28" s="9">
        <v>755.16852933442397</v>
      </c>
      <c r="Q28" s="9">
        <v>748.25450146744595</v>
      </c>
      <c r="R28" s="9">
        <v>741.34047360046804</v>
      </c>
      <c r="S28" s="9">
        <v>734.42644573349003</v>
      </c>
      <c r="T28" s="9">
        <v>727.51241786651212</v>
      </c>
      <c r="U28" s="9">
        <v>720.59838999953422</v>
      </c>
      <c r="V28" s="9">
        <v>713.68436213255632</v>
      </c>
      <c r="W28" s="9">
        <v>706.7703342655783</v>
      </c>
      <c r="X28" s="9">
        <v>699.8563063986004</v>
      </c>
      <c r="Y28" s="9">
        <v>692.94227853162249</v>
      </c>
      <c r="Z28" s="9">
        <v>686.02825066464447</v>
      </c>
      <c r="AA28" s="9">
        <v>679.11422279766668</v>
      </c>
      <c r="AB28" s="9">
        <v>672.20019493068867</v>
      </c>
      <c r="AC28" s="9">
        <v>665.28616706371076</v>
      </c>
      <c r="AD28" s="9">
        <v>658.37213919673275</v>
      </c>
      <c r="AE28" s="9">
        <v>651.45811132975484</v>
      </c>
      <c r="AF28" s="9">
        <v>644.54408346277694</v>
      </c>
      <c r="AG28" s="9">
        <v>637.63005559579869</v>
      </c>
    </row>
    <row r="29" spans="1:33">
      <c r="A29" t="s">
        <v>69</v>
      </c>
      <c r="B29" s="16" t="s">
        <v>70</v>
      </c>
      <c r="C29" s="15">
        <f>1-(C28/B28)</f>
        <v>1.050858745763672E-2</v>
      </c>
      <c r="D29" s="15">
        <f t="shared" ref="D29:AG29" si="12">1-(D28/C28)</f>
        <v>4.3633272735605022E-2</v>
      </c>
      <c r="E29" s="15">
        <f t="shared" si="12"/>
        <v>4.5623997041819075E-2</v>
      </c>
      <c r="F29" s="15">
        <f t="shared" si="12"/>
        <v>4.7805054716802631E-2</v>
      </c>
      <c r="G29" s="15">
        <f t="shared" si="12"/>
        <v>5.0205112885349901E-2</v>
      </c>
      <c r="H29" s="15">
        <f t="shared" si="12"/>
        <v>5.2858899922978653E-2</v>
      </c>
      <c r="I29" s="15">
        <f t="shared" si="12"/>
        <v>5.5808896814508291E-2</v>
      </c>
      <c r="J29" s="15">
        <f t="shared" si="12"/>
        <v>5.9107628345809848E-2</v>
      </c>
      <c r="K29" s="15">
        <f t="shared" si="12"/>
        <v>6.2820817902787818E-2</v>
      </c>
      <c r="L29" s="15">
        <f t="shared" si="12"/>
        <v>6.7031811101701866E-2</v>
      </c>
      <c r="M29" s="15">
        <f t="shared" si="12"/>
        <v>7.1847906390952399E-2</v>
      </c>
      <c r="N29" s="15">
        <f t="shared" si="12"/>
        <v>8.9108561626981553E-3</v>
      </c>
      <c r="O29" s="15">
        <f t="shared" si="12"/>
        <v>8.9909734337286773E-3</v>
      </c>
      <c r="P29" s="15">
        <f t="shared" si="12"/>
        <v>9.0725444397629085E-3</v>
      </c>
      <c r="Q29" s="15">
        <f t="shared" si="12"/>
        <v>9.1556091102893422E-3</v>
      </c>
      <c r="R29" s="15">
        <f t="shared" si="12"/>
        <v>9.240208850622933E-3</v>
      </c>
      <c r="S29" s="15">
        <f t="shared" si="12"/>
        <v>9.3263866107278215E-3</v>
      </c>
      <c r="T29" s="15">
        <f t="shared" si="12"/>
        <v>9.4141869579229542E-3</v>
      </c>
      <c r="U29" s="15">
        <f t="shared" si="12"/>
        <v>9.5036561537380493E-3</v>
      </c>
      <c r="V29" s="15">
        <f t="shared" si="12"/>
        <v>9.5948422351905815E-3</v>
      </c>
      <c r="W29" s="15">
        <f t="shared" si="12"/>
        <v>9.6877951007897645E-3</v>
      </c>
      <c r="X29" s="15">
        <f t="shared" si="12"/>
        <v>9.7825666015856072E-3</v>
      </c>
      <c r="Y29" s="15">
        <f t="shared" si="12"/>
        <v>9.8792106376192068E-3</v>
      </c>
      <c r="Z29" s="15">
        <f t="shared" si="12"/>
        <v>9.9777832601427585E-3</v>
      </c>
      <c r="AA29" s="15">
        <f t="shared" si="12"/>
        <v>1.0078342780022953E-2</v>
      </c>
      <c r="AB29" s="15">
        <f t="shared" si="12"/>
        <v>1.0180949882768076E-2</v>
      </c>
      <c r="AC29" s="15">
        <f t="shared" si="12"/>
        <v>1.0285667750647987E-2</v>
      </c>
      <c r="AD29" s="15">
        <f t="shared" si="12"/>
        <v>1.039256219243756E-2</v>
      </c>
      <c r="AE29" s="15">
        <f t="shared" si="12"/>
        <v>1.0501701781326256E-2</v>
      </c>
      <c r="AF29" s="15">
        <f t="shared" si="12"/>
        <v>1.0613158001617329E-2</v>
      </c>
      <c r="AG29" s="15">
        <f t="shared" si="12"/>
        <v>1.0727005404863932E-2</v>
      </c>
    </row>
    <row r="30" spans="1:33">
      <c r="A30" t="s">
        <v>71</v>
      </c>
      <c r="B30" s="9">
        <f>I22</f>
        <v>1429.6695587475353</v>
      </c>
      <c r="C30" s="9">
        <f>B30*(1-C29)</f>
        <v>1414.6457511539161</v>
      </c>
      <c r="D30" s="9">
        <f t="shared" ref="D30:AG30" si="13">C30*(1-D29)</f>
        <v>1352.9201272695525</v>
      </c>
      <c r="E30" s="9">
        <f t="shared" si="13"/>
        <v>1291.1945033851889</v>
      </c>
      <c r="F30" s="9">
        <f t="shared" si="13"/>
        <v>1229.4688795008251</v>
      </c>
      <c r="G30" s="9">
        <f t="shared" si="13"/>
        <v>1167.7432556164615</v>
      </c>
      <c r="H30" s="9">
        <f t="shared" si="13"/>
        <v>1106.0176317320977</v>
      </c>
      <c r="I30" s="9">
        <f t="shared" si="13"/>
        <v>1044.2920078477343</v>
      </c>
      <c r="J30" s="9">
        <f t="shared" si="13"/>
        <v>982.56638396337087</v>
      </c>
      <c r="K30" s="9">
        <f t="shared" si="13"/>
        <v>920.84076007900728</v>
      </c>
      <c r="L30" s="9">
        <f t="shared" si="13"/>
        <v>859.1151361946437</v>
      </c>
      <c r="M30" s="9">
        <f t="shared" si="13"/>
        <v>797.38951231028057</v>
      </c>
      <c r="N30" s="9">
        <f t="shared" si="13"/>
        <v>790.28408906043967</v>
      </c>
      <c r="O30" s="9">
        <f t="shared" si="13"/>
        <v>783.17866581059877</v>
      </c>
      <c r="P30" s="9">
        <f t="shared" si="13"/>
        <v>776.07324256075788</v>
      </c>
      <c r="Q30" s="9">
        <f t="shared" si="13"/>
        <v>768.96781931091687</v>
      </c>
      <c r="R30" s="9">
        <f t="shared" si="13"/>
        <v>761.86239606107597</v>
      </c>
      <c r="S30" s="9">
        <f t="shared" si="13"/>
        <v>754.75697281123496</v>
      </c>
      <c r="T30" s="9">
        <f t="shared" si="13"/>
        <v>747.65154956139406</v>
      </c>
      <c r="U30" s="9">
        <f t="shared" si="13"/>
        <v>740.54612631155317</v>
      </c>
      <c r="V30" s="9">
        <f t="shared" si="13"/>
        <v>733.44070306171227</v>
      </c>
      <c r="W30" s="9">
        <f t="shared" si="13"/>
        <v>726.33527981187126</v>
      </c>
      <c r="X30" s="9">
        <f t="shared" si="13"/>
        <v>719.22985656203036</v>
      </c>
      <c r="Y30" s="9">
        <f t="shared" si="13"/>
        <v>712.12443331218947</v>
      </c>
      <c r="Z30" s="9">
        <f t="shared" si="13"/>
        <v>705.01901006234846</v>
      </c>
      <c r="AA30" s="9">
        <f t="shared" si="13"/>
        <v>697.91358681250767</v>
      </c>
      <c r="AB30" s="9">
        <f t="shared" si="13"/>
        <v>690.80816356266666</v>
      </c>
      <c r="AC30" s="9">
        <f t="shared" si="13"/>
        <v>683.70274031282577</v>
      </c>
      <c r="AD30" s="9">
        <f t="shared" si="13"/>
        <v>676.59731706298476</v>
      </c>
      <c r="AE30" s="9">
        <f t="shared" si="13"/>
        <v>669.49189381314386</v>
      </c>
      <c r="AF30" s="9">
        <f t="shared" si="13"/>
        <v>662.38647056330296</v>
      </c>
      <c r="AG30" s="9">
        <f t="shared" si="13"/>
        <v>655.28104731346161</v>
      </c>
    </row>
  </sheetData>
  <mergeCells count="3">
    <mergeCell ref="A24:B25"/>
    <mergeCell ref="A1:C1"/>
    <mergeCell ref="E1:F1"/>
  </mergeCells>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5"/>
  <sheetViews>
    <sheetView workbookViewId="0">
      <selection activeCell="D5" sqref="D5:D17"/>
    </sheetView>
  </sheetViews>
  <sheetFormatPr defaultRowHeight="14.45"/>
  <cols>
    <col min="1" max="1" width="21.7109375" bestFit="1" customWidth="1"/>
    <col min="2" max="2" width="13.7109375" bestFit="1" customWidth="1"/>
    <col min="3" max="3" width="12.140625" bestFit="1" customWidth="1"/>
    <col min="4" max="4" width="11.140625" bestFit="1" customWidth="1"/>
    <col min="5" max="5" width="10.28515625" customWidth="1"/>
    <col min="6" max="7" width="12.140625" bestFit="1" customWidth="1"/>
    <col min="8" max="8" width="10.5703125" customWidth="1"/>
    <col min="9" max="9" width="10.28515625" customWidth="1"/>
    <col min="10" max="33" width="9.5703125" bestFit="1" customWidth="1"/>
  </cols>
  <sheetData>
    <row r="1" spans="1:11">
      <c r="A1" s="132" t="s">
        <v>32</v>
      </c>
      <c r="B1" s="131"/>
      <c r="C1" s="131"/>
      <c r="E1" s="131" t="s">
        <v>33</v>
      </c>
      <c r="F1" s="131"/>
    </row>
    <row r="2" spans="1:11" ht="72">
      <c r="A2" s="1"/>
      <c r="B2" s="5" t="s">
        <v>34</v>
      </c>
      <c r="C2" s="7" t="s">
        <v>35</v>
      </c>
      <c r="D2" s="45" t="s">
        <v>36</v>
      </c>
      <c r="E2" s="47" t="s">
        <v>37</v>
      </c>
      <c r="F2" s="45" t="s">
        <v>38</v>
      </c>
      <c r="G2" s="18" t="s">
        <v>41</v>
      </c>
    </row>
    <row r="3" spans="1:11">
      <c r="A3" t="s">
        <v>43</v>
      </c>
      <c r="B3">
        <v>134</v>
      </c>
      <c r="C3" t="s">
        <v>46</v>
      </c>
      <c r="D3" s="46" t="s">
        <v>45</v>
      </c>
      <c r="E3" s="48" t="s">
        <v>47</v>
      </c>
      <c r="F3" s="46" t="s">
        <v>45</v>
      </c>
      <c r="G3" s="44" t="s">
        <v>45</v>
      </c>
    </row>
    <row r="4" spans="1:11">
      <c r="A4" s="3" t="s">
        <v>86</v>
      </c>
      <c r="B4" s="6" t="s">
        <v>87</v>
      </c>
      <c r="C4" s="6"/>
      <c r="D4" s="79"/>
      <c r="E4" s="63"/>
      <c r="F4" s="79"/>
      <c r="G4" s="6"/>
    </row>
    <row r="5" spans="1:11">
      <c r="A5" s="1" t="s">
        <v>107</v>
      </c>
      <c r="B5" s="94">
        <v>2844</v>
      </c>
      <c r="C5" s="64">
        <f>B5/$B$17</f>
        <v>0.16660808435852373</v>
      </c>
      <c r="D5" s="91">
        <f t="shared" ref="D5:D13" si="0">$B$23*C5</f>
        <v>462.06146816050216</v>
      </c>
      <c r="E5" s="41">
        <f t="shared" ref="E5:E15" si="1">inf</f>
        <v>2.5000000000000001E-2</v>
      </c>
      <c r="F5" s="91">
        <f>D5*(1+E5)</f>
        <v>473.61300486451466</v>
      </c>
      <c r="G5" s="93">
        <f>F5</f>
        <v>473.61300486451466</v>
      </c>
      <c r="K5" s="5"/>
    </row>
    <row r="6" spans="1:11">
      <c r="A6" s="1" t="s">
        <v>108</v>
      </c>
      <c r="B6" s="94">
        <v>0</v>
      </c>
      <c r="C6" s="64">
        <f t="shared" ref="C6:C17" si="2">B6/$B$17</f>
        <v>0</v>
      </c>
      <c r="D6" s="91">
        <f t="shared" si="0"/>
        <v>0</v>
      </c>
      <c r="E6" s="41">
        <f t="shared" si="1"/>
        <v>2.5000000000000001E-2</v>
      </c>
      <c r="F6" s="91">
        <f t="shared" ref="F6:F17" si="3">D6*(1+E6)</f>
        <v>0</v>
      </c>
      <c r="G6" s="93">
        <f t="shared" ref="G6:G15" si="4">F6</f>
        <v>0</v>
      </c>
    </row>
    <row r="7" spans="1:11">
      <c r="A7" s="1" t="s">
        <v>109</v>
      </c>
      <c r="B7" s="94">
        <v>1754</v>
      </c>
      <c r="C7" s="64">
        <f t="shared" si="2"/>
        <v>0.10275336848271822</v>
      </c>
      <c r="D7" s="91">
        <f t="shared" si="0"/>
        <v>284.97039913977522</v>
      </c>
      <c r="E7" s="41">
        <f t="shared" si="1"/>
        <v>2.5000000000000001E-2</v>
      </c>
      <c r="F7" s="91">
        <f t="shared" si="3"/>
        <v>292.09465911826959</v>
      </c>
      <c r="G7" s="93">
        <f t="shared" si="4"/>
        <v>292.09465911826959</v>
      </c>
    </row>
    <row r="8" spans="1:11">
      <c r="A8" s="1" t="s">
        <v>110</v>
      </c>
      <c r="B8" s="94">
        <v>0</v>
      </c>
      <c r="C8" s="64">
        <f t="shared" si="2"/>
        <v>0</v>
      </c>
      <c r="D8" s="91">
        <f t="shared" si="0"/>
        <v>0</v>
      </c>
      <c r="E8" s="41">
        <f t="shared" si="1"/>
        <v>2.5000000000000001E-2</v>
      </c>
      <c r="F8" s="91">
        <f t="shared" si="3"/>
        <v>0</v>
      </c>
      <c r="G8" s="93">
        <f t="shared" si="4"/>
        <v>0</v>
      </c>
    </row>
    <row r="9" spans="1:11">
      <c r="A9" s="1" t="s">
        <v>90</v>
      </c>
      <c r="B9" s="31">
        <v>589</v>
      </c>
      <c r="C9" s="64">
        <f t="shared" si="2"/>
        <v>3.4504979496192148E-2</v>
      </c>
      <c r="D9" s="91">
        <f t="shared" si="0"/>
        <v>95.694164819457015</v>
      </c>
      <c r="E9" s="41">
        <f t="shared" si="1"/>
        <v>2.5000000000000001E-2</v>
      </c>
      <c r="F9" s="91">
        <f t="shared" si="3"/>
        <v>98.086518939943431</v>
      </c>
      <c r="G9" s="93">
        <f t="shared" si="4"/>
        <v>98.086518939943431</v>
      </c>
    </row>
    <row r="10" spans="1:11">
      <c r="A10" s="1" t="s">
        <v>91</v>
      </c>
      <c r="B10" s="31">
        <v>1600</v>
      </c>
      <c r="C10" s="64">
        <f t="shared" si="2"/>
        <v>9.3731693028705335E-2</v>
      </c>
      <c r="D10" s="91">
        <f t="shared" si="0"/>
        <v>259.95019305794779</v>
      </c>
      <c r="E10" s="41">
        <f t="shared" si="1"/>
        <v>2.5000000000000001E-2</v>
      </c>
      <c r="F10" s="91">
        <f t="shared" si="3"/>
        <v>266.44894788439643</v>
      </c>
      <c r="G10" s="93">
        <f t="shared" si="4"/>
        <v>266.44894788439643</v>
      </c>
    </row>
    <row r="11" spans="1:11">
      <c r="A11" s="1" t="s">
        <v>111</v>
      </c>
      <c r="B11" s="31">
        <v>1825</v>
      </c>
      <c r="C11" s="64">
        <f t="shared" si="2"/>
        <v>0.10691271236086702</v>
      </c>
      <c r="D11" s="91">
        <f t="shared" si="0"/>
        <v>296.50568895672166</v>
      </c>
      <c r="E11" s="41">
        <f t="shared" si="1"/>
        <v>2.5000000000000001E-2</v>
      </c>
      <c r="F11" s="91">
        <f t="shared" si="3"/>
        <v>303.91833118063965</v>
      </c>
      <c r="G11" s="93">
        <f t="shared" si="4"/>
        <v>303.91833118063965</v>
      </c>
    </row>
    <row r="12" spans="1:11">
      <c r="A12" s="1" t="s">
        <v>95</v>
      </c>
      <c r="B12" s="31">
        <v>440</v>
      </c>
      <c r="C12" s="64">
        <f t="shared" si="2"/>
        <v>2.5776215582893967E-2</v>
      </c>
      <c r="D12" s="91">
        <f t="shared" si="0"/>
        <v>71.486303090935635</v>
      </c>
      <c r="E12" s="41">
        <f t="shared" si="1"/>
        <v>2.5000000000000001E-2</v>
      </c>
      <c r="F12" s="91">
        <f t="shared" si="3"/>
        <v>73.273460668209026</v>
      </c>
      <c r="G12" s="93">
        <f t="shared" si="4"/>
        <v>73.273460668209026</v>
      </c>
    </row>
    <row r="13" spans="1:11">
      <c r="A13" s="1" t="s">
        <v>112</v>
      </c>
      <c r="B13" s="31">
        <v>1309</v>
      </c>
      <c r="C13" s="64">
        <f t="shared" si="2"/>
        <v>7.6684241359109548E-2</v>
      </c>
      <c r="D13" s="91">
        <f t="shared" si="0"/>
        <v>212.67175169553352</v>
      </c>
      <c r="E13" s="41">
        <f t="shared" si="1"/>
        <v>2.5000000000000001E-2</v>
      </c>
      <c r="F13" s="91">
        <f t="shared" si="3"/>
        <v>217.98854548792184</v>
      </c>
      <c r="G13" s="93">
        <f t="shared" si="4"/>
        <v>217.98854548792184</v>
      </c>
    </row>
    <row r="14" spans="1:11">
      <c r="A14" t="s">
        <v>113</v>
      </c>
      <c r="B14" s="31">
        <v>1668</v>
      </c>
      <c r="C14" s="64">
        <f t="shared" si="2"/>
        <v>9.7715289982425305E-2</v>
      </c>
      <c r="D14" s="95">
        <f t="shared" ref="D14:D15" si="5">$B$23*C14</f>
        <v>270.99807626291056</v>
      </c>
      <c r="E14" s="120">
        <f t="shared" si="1"/>
        <v>2.5000000000000001E-2</v>
      </c>
      <c r="F14" s="91">
        <f t="shared" si="3"/>
        <v>277.77302816948333</v>
      </c>
      <c r="G14" s="93">
        <f t="shared" si="4"/>
        <v>277.77302816948333</v>
      </c>
    </row>
    <row r="15" spans="1:11">
      <c r="A15" s="1" t="s">
        <v>114</v>
      </c>
      <c r="B15" s="31">
        <v>2996</v>
      </c>
      <c r="C15" s="64">
        <f t="shared" si="2"/>
        <v>0.17551259519625073</v>
      </c>
      <c r="D15" s="91">
        <f t="shared" si="5"/>
        <v>486.7567365010072</v>
      </c>
      <c r="E15" s="41">
        <f t="shared" si="1"/>
        <v>2.5000000000000001E-2</v>
      </c>
      <c r="F15" s="91">
        <f t="shared" si="3"/>
        <v>498.92565491353236</v>
      </c>
      <c r="G15" s="93">
        <f t="shared" si="4"/>
        <v>498.92565491353236</v>
      </c>
    </row>
    <row r="16" spans="1:11">
      <c r="A16" s="1" t="s">
        <v>115</v>
      </c>
      <c r="B16" s="31">
        <v>2045</v>
      </c>
      <c r="C16" s="64">
        <f t="shared" si="2"/>
        <v>0.119800820152314</v>
      </c>
      <c r="D16" s="91">
        <f>$B$23*C16</f>
        <v>332.24884050218947</v>
      </c>
      <c r="E16" s="41">
        <f t="shared" ref="E16:E17" si="6">inf</f>
        <v>2.5000000000000001E-2</v>
      </c>
      <c r="F16" s="91">
        <f t="shared" si="3"/>
        <v>340.55506151474418</v>
      </c>
      <c r="G16" s="93">
        <f t="shared" ref="G16" si="7">F16</f>
        <v>340.55506151474418</v>
      </c>
    </row>
    <row r="17" spans="1:33">
      <c r="A17" s="3" t="s">
        <v>80</v>
      </c>
      <c r="B17" s="34">
        <v>17070</v>
      </c>
      <c r="C17" s="49">
        <f t="shared" si="2"/>
        <v>1</v>
      </c>
      <c r="D17" s="90">
        <f>$B$23*C17</f>
        <v>2773.3436221869802</v>
      </c>
      <c r="E17" s="50">
        <f t="shared" si="6"/>
        <v>2.5000000000000001E-2</v>
      </c>
      <c r="F17" s="90">
        <f t="shared" si="3"/>
        <v>2842.6772127416543</v>
      </c>
      <c r="G17" s="92">
        <f>SUM(G5:G16)</f>
        <v>2842.6772127416543</v>
      </c>
    </row>
    <row r="19" spans="1:33" ht="14.45" customHeight="1">
      <c r="A19" s="130" t="s">
        <v>67</v>
      </c>
      <c r="B19" s="130"/>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row>
    <row r="20" spans="1:33" ht="14.45" customHeight="1">
      <c r="A20" s="130"/>
      <c r="B20" s="130"/>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2" spans="1:33">
      <c r="A22" t="s">
        <v>12</v>
      </c>
      <c r="B22">
        <v>2019</v>
      </c>
      <c r="C22">
        <v>2020</v>
      </c>
      <c r="D22">
        <v>2021</v>
      </c>
      <c r="E22">
        <v>2022</v>
      </c>
      <c r="F22">
        <v>2023</v>
      </c>
      <c r="G22">
        <v>2024</v>
      </c>
      <c r="H22">
        <v>2025</v>
      </c>
      <c r="I22">
        <v>2026</v>
      </c>
      <c r="J22">
        <v>2027</v>
      </c>
      <c r="K22">
        <v>2028</v>
      </c>
      <c r="L22">
        <v>2029</v>
      </c>
      <c r="M22">
        <v>2030</v>
      </c>
      <c r="N22">
        <v>2031</v>
      </c>
      <c r="O22">
        <v>2032</v>
      </c>
      <c r="P22">
        <v>2033</v>
      </c>
      <c r="Q22">
        <v>2034</v>
      </c>
      <c r="R22">
        <v>2035</v>
      </c>
      <c r="S22">
        <v>2036</v>
      </c>
      <c r="T22">
        <v>2037</v>
      </c>
      <c r="U22">
        <v>2038</v>
      </c>
      <c r="V22">
        <v>2039</v>
      </c>
      <c r="W22">
        <v>2040</v>
      </c>
      <c r="X22">
        <v>2041</v>
      </c>
      <c r="Y22">
        <v>2042</v>
      </c>
      <c r="Z22">
        <v>2043</v>
      </c>
      <c r="AA22">
        <v>2044</v>
      </c>
      <c r="AB22">
        <v>2045</v>
      </c>
      <c r="AC22">
        <v>2046</v>
      </c>
      <c r="AD22">
        <v>2047</v>
      </c>
      <c r="AE22">
        <v>2048</v>
      </c>
      <c r="AF22">
        <v>2049</v>
      </c>
      <c r="AG22">
        <v>2050</v>
      </c>
    </row>
    <row r="23" spans="1:33">
      <c r="A23" t="s">
        <v>106</v>
      </c>
      <c r="B23" s="9">
        <v>2773.3436221869802</v>
      </c>
      <c r="C23" s="9">
        <v>2710.1386889915598</v>
      </c>
      <c r="D23" s="9">
        <v>2539.5326653672</v>
      </c>
      <c r="E23" s="9">
        <v>2368.9266417428398</v>
      </c>
      <c r="F23" s="9">
        <v>2198.3206181184801</v>
      </c>
      <c r="G23" s="9">
        <v>2027.7145944941201</v>
      </c>
      <c r="H23" s="9">
        <v>1857.1085708697599</v>
      </c>
      <c r="I23" s="9">
        <v>1686.5025472453999</v>
      </c>
      <c r="J23" s="9">
        <v>1515.8965236210399</v>
      </c>
      <c r="K23" s="9">
        <v>1345.29049999668</v>
      </c>
      <c r="L23" s="9">
        <v>1174.68447637232</v>
      </c>
      <c r="M23" s="9">
        <v>1004.07845274796</v>
      </c>
      <c r="N23" s="9">
        <v>992.94789378715996</v>
      </c>
      <c r="O23" s="9">
        <v>981.81733482635502</v>
      </c>
      <c r="P23" s="9">
        <v>970.68677586554895</v>
      </c>
      <c r="Q23" s="9">
        <v>959.556216904743</v>
      </c>
      <c r="R23" s="9">
        <v>948.42565794393704</v>
      </c>
      <c r="S23" s="9">
        <v>937.29509898313199</v>
      </c>
      <c r="T23" s="9">
        <v>926.16454002232604</v>
      </c>
      <c r="U23" s="9">
        <v>915.03398106151997</v>
      </c>
      <c r="V23" s="9">
        <v>903.90342210071401</v>
      </c>
      <c r="W23" s="9">
        <v>892.77286313990896</v>
      </c>
      <c r="X23" s="9">
        <v>881.64230417910301</v>
      </c>
      <c r="Y23" s="9">
        <v>870.51174521829705</v>
      </c>
      <c r="Z23" s="9">
        <v>859.381186257492</v>
      </c>
      <c r="AA23" s="9">
        <v>848.25062729668605</v>
      </c>
      <c r="AB23" s="9">
        <v>837.12006833587998</v>
      </c>
      <c r="AC23" s="9">
        <v>825.98950937507402</v>
      </c>
      <c r="AD23" s="9">
        <v>814.85895041426897</v>
      </c>
      <c r="AE23" s="9">
        <v>803.72839145346302</v>
      </c>
      <c r="AF23" s="9">
        <v>792.59783249265695</v>
      </c>
      <c r="AG23" s="9">
        <v>781.46727353185099</v>
      </c>
    </row>
    <row r="24" spans="1:33">
      <c r="A24" t="s">
        <v>69</v>
      </c>
      <c r="B24" s="16" t="s">
        <v>70</v>
      </c>
      <c r="C24" s="15">
        <f>1-(C23/B23)</f>
        <v>2.2790155785159749E-2</v>
      </c>
      <c r="D24" s="15">
        <f t="shared" ref="D24:AG24" si="8">1-(D23/C23)</f>
        <v>6.2951030630776339E-2</v>
      </c>
      <c r="E24" s="15">
        <f t="shared" si="8"/>
        <v>6.7180086301308339E-2</v>
      </c>
      <c r="F24" s="15">
        <f t="shared" si="8"/>
        <v>7.2018280607812901E-2</v>
      </c>
      <c r="G24" s="15">
        <f t="shared" si="8"/>
        <v>7.7607434610871273E-2</v>
      </c>
      <c r="H24" s="15">
        <f t="shared" si="8"/>
        <v>8.4137099021533435E-2</v>
      </c>
      <c r="I24" s="15">
        <f t="shared" si="8"/>
        <v>9.1866477975737437E-2</v>
      </c>
      <c r="J24" s="15">
        <f t="shared" si="8"/>
        <v>0.10115965961807438</v>
      </c>
      <c r="K24" s="15">
        <f t="shared" si="8"/>
        <v>0.11254463676506843</v>
      </c>
      <c r="L24" s="15">
        <f t="shared" si="8"/>
        <v>0.1268172365929745</v>
      </c>
      <c r="M24" s="15">
        <f t="shared" si="8"/>
        <v>0.14523561607899027</v>
      </c>
      <c r="N24" s="15">
        <f t="shared" si="8"/>
        <v>1.1085347893222797E-2</v>
      </c>
      <c r="O24" s="15">
        <f t="shared" si="8"/>
        <v>1.1209610323410168E-2</v>
      </c>
      <c r="P24" s="15">
        <f t="shared" si="8"/>
        <v>1.1336690202943589E-2</v>
      </c>
      <c r="Q24" s="15">
        <f t="shared" si="8"/>
        <v>1.1466684452233311E-2</v>
      </c>
      <c r="R24" s="15">
        <f t="shared" si="8"/>
        <v>1.1599694488677259E-2</v>
      </c>
      <c r="S24" s="15">
        <f t="shared" si="8"/>
        <v>1.1735826490538726E-2</v>
      </c>
      <c r="T24" s="15">
        <f t="shared" si="8"/>
        <v>1.187519167963369E-2</v>
      </c>
      <c r="U24" s="15">
        <f t="shared" si="8"/>
        <v>1.2017906624386399E-2</v>
      </c>
      <c r="V24" s="15">
        <f t="shared" si="8"/>
        <v>1.2164093565021017E-2</v>
      </c>
      <c r="W24" s="15">
        <f t="shared" si="8"/>
        <v>1.2313880762766738E-2</v>
      </c>
      <c r="X24" s="15">
        <f t="shared" si="8"/>
        <v>1.2467402875194322E-2</v>
      </c>
      <c r="Y24" s="15">
        <f t="shared" si="8"/>
        <v>1.2624801359968352E-2</v>
      </c>
      <c r="Z24" s="15">
        <f t="shared" si="8"/>
        <v>1.2786224909594801E-2</v>
      </c>
      <c r="AA24" s="15">
        <f t="shared" si="8"/>
        <v>1.2951829919943036E-2</v>
      </c>
      <c r="AB24" s="15">
        <f t="shared" si="8"/>
        <v>1.3121780995645538E-2</v>
      </c>
      <c r="AC24" s="15">
        <f t="shared" si="8"/>
        <v>1.3296251495836797E-2</v>
      </c>
      <c r="AD24" s="15">
        <f t="shared" si="8"/>
        <v>1.3475424124001489E-2</v>
      </c>
      <c r="AE24" s="15">
        <f t="shared" si="8"/>
        <v>1.3659491566175075E-2</v>
      </c>
      <c r="AF24" s="15">
        <f t="shared" si="8"/>
        <v>1.3848657182157664E-2</v>
      </c>
      <c r="AG24" s="15">
        <f t="shared" si="8"/>
        <v>1.4043135754990943E-2</v>
      </c>
    </row>
    <row r="25" spans="1:33">
      <c r="A25" t="s">
        <v>71</v>
      </c>
      <c r="B25" s="9">
        <f>G17</f>
        <v>2842.6772127416543</v>
      </c>
      <c r="C25" s="9">
        <f>B25*(1-C24)</f>
        <v>2777.8921562163482</v>
      </c>
      <c r="D25" s="9">
        <f t="shared" ref="D25:AG25" si="9">C25*(1-D24)</f>
        <v>2603.0209820013797</v>
      </c>
      <c r="E25" s="9">
        <f t="shared" si="9"/>
        <v>2428.1498077864107</v>
      </c>
      <c r="F25" s="9">
        <f t="shared" si="9"/>
        <v>2253.2786335714422</v>
      </c>
      <c r="G25" s="9">
        <f t="shared" si="9"/>
        <v>2078.4074593564733</v>
      </c>
      <c r="H25" s="9">
        <f t="shared" si="9"/>
        <v>1903.5362851415039</v>
      </c>
      <c r="I25" s="9">
        <f t="shared" si="9"/>
        <v>1728.6651109265349</v>
      </c>
      <c r="J25" s="9">
        <f t="shared" si="9"/>
        <v>1553.7939367115659</v>
      </c>
      <c r="K25" s="9">
        <f t="shared" si="9"/>
        <v>1378.922762496597</v>
      </c>
      <c r="L25" s="9">
        <f t="shared" si="9"/>
        <v>1204.051588281628</v>
      </c>
      <c r="M25" s="9">
        <f t="shared" si="9"/>
        <v>1029.1804140666591</v>
      </c>
      <c r="N25" s="9">
        <f t="shared" si="9"/>
        <v>1017.771591131839</v>
      </c>
      <c r="O25" s="9">
        <f t="shared" si="9"/>
        <v>1006.362768197014</v>
      </c>
      <c r="P25" s="9">
        <f t="shared" si="9"/>
        <v>994.95394526218774</v>
      </c>
      <c r="Q25" s="9">
        <f t="shared" si="9"/>
        <v>983.54512232736158</v>
      </c>
      <c r="R25" s="9">
        <f t="shared" si="9"/>
        <v>972.13629939253553</v>
      </c>
      <c r="S25" s="9">
        <f t="shared" si="9"/>
        <v>960.72747645771028</v>
      </c>
      <c r="T25" s="9">
        <f t="shared" si="9"/>
        <v>949.31865352288423</v>
      </c>
      <c r="U25" s="9">
        <f t="shared" si="9"/>
        <v>937.90983058805796</v>
      </c>
      <c r="V25" s="9">
        <f t="shared" si="9"/>
        <v>926.5010076532318</v>
      </c>
      <c r="W25" s="9">
        <f t="shared" si="9"/>
        <v>915.09218471840666</v>
      </c>
      <c r="X25" s="9">
        <f t="shared" si="9"/>
        <v>903.68336178358049</v>
      </c>
      <c r="Y25" s="9">
        <f t="shared" si="9"/>
        <v>892.27453884875433</v>
      </c>
      <c r="Z25" s="9">
        <f t="shared" si="9"/>
        <v>880.86571591392919</v>
      </c>
      <c r="AA25" s="9">
        <f t="shared" si="9"/>
        <v>869.45689297910315</v>
      </c>
      <c r="AB25" s="9">
        <f t="shared" si="9"/>
        <v>858.04807004427698</v>
      </c>
      <c r="AC25" s="9">
        <f t="shared" si="9"/>
        <v>846.63924710945093</v>
      </c>
      <c r="AD25" s="9">
        <f t="shared" si="9"/>
        <v>835.2304241746258</v>
      </c>
      <c r="AE25" s="9">
        <f t="shared" si="9"/>
        <v>823.82160123979963</v>
      </c>
      <c r="AF25" s="9">
        <f t="shared" si="9"/>
        <v>812.41277830497347</v>
      </c>
      <c r="AG25" s="9">
        <f t="shared" si="9"/>
        <v>801.00395537014742</v>
      </c>
    </row>
  </sheetData>
  <mergeCells count="3">
    <mergeCell ref="A1:C1"/>
    <mergeCell ref="E1:F1"/>
    <mergeCell ref="A19:B20"/>
  </mergeCell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39"/>
  <sheetViews>
    <sheetView topLeftCell="A7" workbookViewId="0">
      <selection activeCell="AG18" sqref="AG18"/>
    </sheetView>
  </sheetViews>
  <sheetFormatPr defaultRowHeight="14.45"/>
  <cols>
    <col min="1" max="1" width="28.140625" bestFit="1" customWidth="1"/>
    <col min="2" max="2" width="11" bestFit="1" customWidth="1"/>
    <col min="3" max="4" width="10.42578125" customWidth="1"/>
    <col min="5" max="5" width="11" customWidth="1"/>
    <col min="6" max="6" width="10.42578125" customWidth="1"/>
    <col min="7" max="7" width="11.28515625" customWidth="1"/>
    <col min="8" max="9" width="10.7109375" customWidth="1"/>
    <col min="10" max="10" width="10.5703125" bestFit="1" customWidth="1"/>
    <col min="11" max="11" width="14.28515625" customWidth="1"/>
    <col min="12" max="12" width="26" customWidth="1"/>
    <col min="13" max="14" width="12.28515625" bestFit="1" customWidth="1"/>
    <col min="15" max="15" width="12.28515625" customWidth="1"/>
    <col min="16" max="19" width="12.28515625" bestFit="1" customWidth="1"/>
    <col min="20" max="20" width="10.5703125" bestFit="1" customWidth="1"/>
    <col min="21" max="21" width="11.140625" customWidth="1"/>
    <col min="22" max="22" width="13" customWidth="1"/>
    <col min="23" max="23" width="13.7109375" customWidth="1"/>
    <col min="24" max="24" width="12.28515625" bestFit="1" customWidth="1"/>
    <col min="25" max="25" width="30.28515625" customWidth="1"/>
    <col min="26" max="26" width="11.28515625" customWidth="1"/>
    <col min="27" max="28" width="12.28515625" bestFit="1" customWidth="1"/>
    <col min="29" max="36" width="10.5703125" bestFit="1" customWidth="1"/>
    <col min="38" max="38" width="27.7109375" customWidth="1"/>
  </cols>
  <sheetData>
    <row r="1" spans="1:38">
      <c r="A1" s="132" t="s">
        <v>32</v>
      </c>
      <c r="B1" s="131"/>
      <c r="C1" s="131"/>
      <c r="D1" s="5"/>
      <c r="E1" s="131" t="s">
        <v>33</v>
      </c>
      <c r="F1" s="131"/>
      <c r="G1" s="131"/>
      <c r="H1" s="131"/>
      <c r="M1" s="1" t="s">
        <v>32</v>
      </c>
      <c r="Q1" s="5"/>
      <c r="R1" t="s">
        <v>33</v>
      </c>
      <c r="Z1" s="1" t="s">
        <v>32</v>
      </c>
      <c r="AD1" s="5"/>
      <c r="AE1" t="s">
        <v>33</v>
      </c>
    </row>
    <row r="2" spans="1:38" ht="86.45">
      <c r="A2" s="1"/>
      <c r="B2" s="5" t="s">
        <v>34</v>
      </c>
      <c r="C2" s="7" t="s">
        <v>35</v>
      </c>
      <c r="D2" s="45" t="s">
        <v>36</v>
      </c>
      <c r="E2" s="47" t="s">
        <v>37</v>
      </c>
      <c r="F2" s="45" t="s">
        <v>38</v>
      </c>
      <c r="G2" s="47" t="s">
        <v>116</v>
      </c>
      <c r="H2" s="45" t="s">
        <v>40</v>
      </c>
      <c r="I2" s="47" t="s">
        <v>117</v>
      </c>
      <c r="J2" s="45" t="s">
        <v>118</v>
      </c>
      <c r="K2" s="18" t="s">
        <v>41</v>
      </c>
      <c r="L2" s="19" t="s">
        <v>42</v>
      </c>
      <c r="M2" s="132"/>
      <c r="N2" s="131"/>
      <c r="O2" s="5" t="s">
        <v>34</v>
      </c>
      <c r="P2" s="7" t="s">
        <v>35</v>
      </c>
      <c r="Q2" s="45" t="s">
        <v>36</v>
      </c>
      <c r="R2" s="47" t="s">
        <v>37</v>
      </c>
      <c r="S2" s="45" t="s">
        <v>38</v>
      </c>
      <c r="T2" s="47" t="s">
        <v>116</v>
      </c>
      <c r="U2" s="45" t="s">
        <v>40</v>
      </c>
      <c r="V2" s="47" t="s">
        <v>117</v>
      </c>
      <c r="W2" s="45" t="s">
        <v>118</v>
      </c>
      <c r="X2" s="18" t="s">
        <v>41</v>
      </c>
      <c r="Y2" s="19" t="s">
        <v>42</v>
      </c>
      <c r="Z2" s="132"/>
      <c r="AA2" s="131"/>
      <c r="AB2" s="5" t="s">
        <v>34</v>
      </c>
      <c r="AC2" s="7" t="s">
        <v>35</v>
      </c>
      <c r="AD2" s="45" t="s">
        <v>36</v>
      </c>
      <c r="AE2" s="47" t="s">
        <v>37</v>
      </c>
      <c r="AF2" s="45" t="s">
        <v>38</v>
      </c>
      <c r="AG2" s="47" t="s">
        <v>116</v>
      </c>
      <c r="AH2" s="45" t="s">
        <v>40</v>
      </c>
      <c r="AI2" s="47" t="s">
        <v>117</v>
      </c>
      <c r="AJ2" s="45" t="s">
        <v>118</v>
      </c>
      <c r="AK2" s="18" t="s">
        <v>41</v>
      </c>
      <c r="AL2" s="19" t="s">
        <v>42</v>
      </c>
    </row>
    <row r="3" spans="1:38">
      <c r="A3" t="s">
        <v>43</v>
      </c>
      <c r="B3">
        <v>60</v>
      </c>
      <c r="D3" s="35"/>
      <c r="E3" s="48"/>
      <c r="F3" s="35"/>
      <c r="G3" s="48"/>
      <c r="H3" s="35"/>
      <c r="I3" s="48"/>
      <c r="J3" s="35"/>
      <c r="M3" s="135" t="s">
        <v>43</v>
      </c>
      <c r="N3" s="136"/>
      <c r="O3">
        <v>60</v>
      </c>
      <c r="Q3" s="35"/>
      <c r="R3" s="48"/>
      <c r="S3" s="35"/>
      <c r="T3" s="48"/>
      <c r="U3" s="35"/>
      <c r="V3" s="48"/>
      <c r="W3" s="35"/>
      <c r="Z3" s="135" t="s">
        <v>43</v>
      </c>
      <c r="AA3" s="136"/>
      <c r="AB3">
        <v>60</v>
      </c>
      <c r="AD3" s="35"/>
      <c r="AE3" s="48"/>
      <c r="AF3" s="35"/>
      <c r="AG3" s="48"/>
      <c r="AH3" s="35"/>
      <c r="AI3" s="48"/>
      <c r="AJ3" s="35"/>
    </row>
    <row r="4" spans="1:38">
      <c r="A4" t="s">
        <v>119</v>
      </c>
      <c r="B4">
        <v>2</v>
      </c>
      <c r="D4" s="35"/>
      <c r="E4" s="48"/>
      <c r="F4" s="35"/>
      <c r="G4" s="48"/>
      <c r="H4" s="35"/>
      <c r="I4" s="48"/>
      <c r="J4" s="35"/>
      <c r="M4" s="135" t="s">
        <v>119</v>
      </c>
      <c r="N4" s="136"/>
      <c r="O4">
        <v>4</v>
      </c>
      <c r="Q4" s="35"/>
      <c r="R4" s="48"/>
      <c r="S4" s="35"/>
      <c r="T4" s="48"/>
      <c r="U4" s="35"/>
      <c r="V4" s="48"/>
      <c r="W4" s="35"/>
      <c r="Z4" s="135" t="s">
        <v>119</v>
      </c>
      <c r="AA4" s="136"/>
      <c r="AB4">
        <v>6</v>
      </c>
      <c r="AD4" s="35"/>
      <c r="AE4" s="48"/>
      <c r="AF4" s="35"/>
      <c r="AG4" s="48"/>
      <c r="AH4" s="35"/>
      <c r="AI4" s="48"/>
      <c r="AJ4" s="35"/>
    </row>
    <row r="5" spans="1:38">
      <c r="A5" t="s">
        <v>120</v>
      </c>
      <c r="D5" s="35"/>
      <c r="E5" s="48"/>
      <c r="F5" s="35"/>
      <c r="G5" s="48"/>
      <c r="H5" s="35"/>
      <c r="I5" s="48"/>
      <c r="J5" s="35"/>
      <c r="M5" s="135" t="s">
        <v>120</v>
      </c>
      <c r="N5" s="136"/>
      <c r="Q5" s="35"/>
      <c r="R5" s="48"/>
      <c r="S5" s="35"/>
      <c r="T5" s="48"/>
      <c r="U5" s="35"/>
      <c r="V5" s="48"/>
      <c r="W5" s="35"/>
      <c r="Z5" s="135" t="s">
        <v>120</v>
      </c>
      <c r="AA5" s="136"/>
      <c r="AD5" s="35"/>
      <c r="AE5" s="48"/>
      <c r="AF5" s="35"/>
      <c r="AG5" s="48"/>
      <c r="AH5" s="35"/>
      <c r="AI5" s="48"/>
      <c r="AJ5" s="35"/>
    </row>
    <row r="6" spans="1:38">
      <c r="A6" t="s">
        <v>121</v>
      </c>
      <c r="D6" s="35"/>
      <c r="E6" s="48"/>
      <c r="F6" s="35"/>
      <c r="G6" s="48"/>
      <c r="H6" s="35"/>
      <c r="I6" s="48"/>
      <c r="J6" s="35"/>
      <c r="M6" s="135" t="s">
        <v>121</v>
      </c>
      <c r="N6" s="136"/>
      <c r="Q6" s="35"/>
      <c r="R6" s="48"/>
      <c r="S6" s="35"/>
      <c r="T6" s="48"/>
      <c r="U6" s="35"/>
      <c r="V6" s="48"/>
      <c r="W6" s="35"/>
      <c r="Z6" s="135" t="s">
        <v>121</v>
      </c>
      <c r="AA6" s="136"/>
      <c r="AD6" s="35"/>
      <c r="AE6" s="48"/>
      <c r="AF6" s="35"/>
      <c r="AG6" s="48"/>
      <c r="AH6" s="35"/>
      <c r="AI6" s="48"/>
      <c r="AJ6" s="35"/>
    </row>
    <row r="7" spans="1:38">
      <c r="A7" s="3" t="s">
        <v>122</v>
      </c>
      <c r="B7" s="10" t="s">
        <v>45</v>
      </c>
      <c r="C7" s="6" t="s">
        <v>46</v>
      </c>
      <c r="D7" s="70" t="s">
        <v>45</v>
      </c>
      <c r="E7" s="73" t="s">
        <v>47</v>
      </c>
      <c r="F7" s="70" t="s">
        <v>45</v>
      </c>
      <c r="G7" s="73" t="s">
        <v>47</v>
      </c>
      <c r="H7" s="70" t="s">
        <v>45</v>
      </c>
      <c r="I7" s="73" t="s">
        <v>48</v>
      </c>
      <c r="J7" s="70" t="s">
        <v>45</v>
      </c>
      <c r="K7" s="71" t="s">
        <v>45</v>
      </c>
      <c r="M7" s="133" t="s">
        <v>122</v>
      </c>
      <c r="N7" s="134"/>
      <c r="O7" s="10" t="s">
        <v>45</v>
      </c>
      <c r="P7" s="10" t="s">
        <v>46</v>
      </c>
      <c r="Q7" s="70" t="s">
        <v>45</v>
      </c>
      <c r="R7" s="73" t="s">
        <v>47</v>
      </c>
      <c r="S7" s="70" t="s">
        <v>45</v>
      </c>
      <c r="T7" s="73" t="s">
        <v>47</v>
      </c>
      <c r="U7" s="70" t="s">
        <v>45</v>
      </c>
      <c r="V7" s="73" t="s">
        <v>48</v>
      </c>
      <c r="W7" s="70" t="s">
        <v>45</v>
      </c>
      <c r="X7" s="71" t="s">
        <v>45</v>
      </c>
      <c r="Z7" s="133" t="s">
        <v>122</v>
      </c>
      <c r="AA7" s="134"/>
      <c r="AB7" s="10" t="s">
        <v>45</v>
      </c>
      <c r="AC7" s="10" t="s">
        <v>46</v>
      </c>
      <c r="AD7" s="70" t="s">
        <v>45</v>
      </c>
      <c r="AE7" s="73" t="s">
        <v>47</v>
      </c>
      <c r="AF7" s="70" t="s">
        <v>45</v>
      </c>
      <c r="AG7" s="73" t="s">
        <v>47</v>
      </c>
      <c r="AH7" s="70" t="s">
        <v>45</v>
      </c>
      <c r="AI7" s="73" t="s">
        <v>48</v>
      </c>
      <c r="AJ7" s="70" t="s">
        <v>45</v>
      </c>
      <c r="AK7" s="71" t="s">
        <v>45</v>
      </c>
    </row>
    <row r="8" spans="1:38" ht="86.45">
      <c r="A8" s="1" t="s">
        <v>123</v>
      </c>
      <c r="B8">
        <v>336</v>
      </c>
      <c r="C8" s="8">
        <f>B8/$B$16</f>
        <v>0.39344262295081966</v>
      </c>
      <c r="D8" s="91">
        <f>$B$23*C8</f>
        <v>335.78722622950818</v>
      </c>
      <c r="E8" s="41">
        <f t="shared" ref="E8:E16" si="0">inf</f>
        <v>2.5000000000000001E-2</v>
      </c>
      <c r="F8" s="36">
        <f>D8*(1+E8)</f>
        <v>344.18190688524584</v>
      </c>
      <c r="G8" s="61">
        <v>0.2</v>
      </c>
      <c r="H8" s="36">
        <f>F8*(1+G8)</f>
        <v>413.01828826229502</v>
      </c>
      <c r="I8" s="43">
        <v>0</v>
      </c>
      <c r="J8" s="36">
        <f>H8+I8</f>
        <v>413.01828826229502</v>
      </c>
      <c r="K8" s="20">
        <f>J8</f>
        <v>413.01828826229502</v>
      </c>
      <c r="L8" s="7" t="s">
        <v>124</v>
      </c>
      <c r="M8" s="135" t="s">
        <v>123</v>
      </c>
      <c r="N8" s="136"/>
      <c r="O8">
        <v>660</v>
      </c>
      <c r="P8" s="8">
        <f t="shared" ref="P8:P16" si="1">O8/$O$16</f>
        <v>0.42829331602855286</v>
      </c>
      <c r="Q8" s="91">
        <f>$B$30*P8</f>
        <v>614.29493575600259</v>
      </c>
      <c r="R8" s="41">
        <f t="shared" ref="R8:R16" si="2">inf</f>
        <v>2.5000000000000001E-2</v>
      </c>
      <c r="S8" s="36">
        <f>Q8*(1+R8)</f>
        <v>629.65230914990263</v>
      </c>
      <c r="T8" s="61">
        <v>0.2</v>
      </c>
      <c r="U8" s="36">
        <f>S8*(1+T8)</f>
        <v>755.58277097988309</v>
      </c>
      <c r="V8" s="43">
        <v>0</v>
      </c>
      <c r="W8" s="36">
        <f>U8+V8</f>
        <v>755.58277097988309</v>
      </c>
      <c r="X8" s="20">
        <f>W8</f>
        <v>755.58277097988309</v>
      </c>
      <c r="Y8" s="7" t="s">
        <v>124</v>
      </c>
      <c r="Z8" s="135" t="s">
        <v>123</v>
      </c>
      <c r="AA8" s="136"/>
      <c r="AB8">
        <v>984</v>
      </c>
      <c r="AC8" s="8">
        <f t="shared" ref="AC8:AC16" si="3">AB8/$AB$16</f>
        <v>0.44324324324324327</v>
      </c>
      <c r="AD8" s="91">
        <f>$B$37*AC8</f>
        <v>893.1847783783785</v>
      </c>
      <c r="AE8" s="41">
        <f t="shared" ref="AE8:AE16" si="4">inf</f>
        <v>2.5000000000000001E-2</v>
      </c>
      <c r="AF8" s="36">
        <f>AD8*(1+AE8)</f>
        <v>915.51439783783792</v>
      </c>
      <c r="AG8" s="61">
        <v>0.2</v>
      </c>
      <c r="AH8" s="36">
        <f>AF8*(1+AG8)</f>
        <v>1098.6172774054055</v>
      </c>
      <c r="AI8" s="43">
        <v>0</v>
      </c>
      <c r="AJ8" s="36">
        <f>AH8+AI8</f>
        <v>1098.6172774054055</v>
      </c>
      <c r="AK8" s="20">
        <f>AJ8</f>
        <v>1098.6172774054055</v>
      </c>
      <c r="AL8" s="7" t="s">
        <v>124</v>
      </c>
    </row>
    <row r="9" spans="1:38">
      <c r="A9" s="1" t="s">
        <v>125</v>
      </c>
      <c r="B9">
        <v>82</v>
      </c>
      <c r="C9" s="8">
        <f t="shared" ref="C9:C16" si="5">B9/$B$16</f>
        <v>9.6018735362997654E-2</v>
      </c>
      <c r="D9" s="91">
        <f t="shared" ref="D9:D16" si="6">$B$23*C9</f>
        <v>81.948073067915686</v>
      </c>
      <c r="E9" s="41">
        <f t="shared" si="0"/>
        <v>2.5000000000000001E-2</v>
      </c>
      <c r="F9" s="36">
        <f t="shared" ref="F9:F15" si="7">D9*(1+E9)</f>
        <v>83.996774894613566</v>
      </c>
      <c r="G9" s="62" t="s">
        <v>70</v>
      </c>
      <c r="H9" s="36">
        <f>F9</f>
        <v>83.996774894613566</v>
      </c>
      <c r="I9" s="43">
        <v>0</v>
      </c>
      <c r="J9" s="36">
        <f t="shared" ref="J9:J15" si="8">H9+I9</f>
        <v>83.996774894613566</v>
      </c>
      <c r="K9" s="20">
        <f t="shared" ref="K9:K15" si="9">J9</f>
        <v>83.996774894613566</v>
      </c>
      <c r="M9" s="135" t="s">
        <v>125</v>
      </c>
      <c r="N9" s="136"/>
      <c r="O9">
        <v>152</v>
      </c>
      <c r="P9" s="8">
        <f t="shared" si="1"/>
        <v>9.8637248539909156E-2</v>
      </c>
      <c r="Q9" s="91">
        <f t="shared" ref="Q9:Q16" si="10">$B$30*P9</f>
        <v>141.47398520441274</v>
      </c>
      <c r="R9" s="41">
        <f t="shared" si="2"/>
        <v>2.5000000000000001E-2</v>
      </c>
      <c r="S9" s="36">
        <f t="shared" ref="S9:S15" si="11">Q9*(1+R9)</f>
        <v>145.01083483452305</v>
      </c>
      <c r="T9" s="48" t="s">
        <v>70</v>
      </c>
      <c r="U9" s="36">
        <f>S9</f>
        <v>145.01083483452305</v>
      </c>
      <c r="V9" s="43">
        <v>0</v>
      </c>
      <c r="W9" s="36">
        <f t="shared" ref="W9:W15" si="12">U9+V9</f>
        <v>145.01083483452305</v>
      </c>
      <c r="X9" s="20">
        <f t="shared" ref="X9:X15" si="13">W9</f>
        <v>145.01083483452305</v>
      </c>
      <c r="Z9" s="135" t="s">
        <v>125</v>
      </c>
      <c r="AA9" s="136"/>
      <c r="AB9">
        <v>222</v>
      </c>
      <c r="AC9" s="8">
        <f t="shared" si="3"/>
        <v>0.1</v>
      </c>
      <c r="AD9" s="91">
        <f t="shared" ref="AD9:AD16" si="14">$B$37*AC9</f>
        <v>201.51120000000003</v>
      </c>
      <c r="AE9" s="41">
        <f t="shared" si="4"/>
        <v>2.5000000000000001E-2</v>
      </c>
      <c r="AF9" s="36">
        <f t="shared" ref="AF9:AF16" si="15">AD9*(1+AE9)</f>
        <v>206.54898</v>
      </c>
      <c r="AG9" s="48" t="s">
        <v>70</v>
      </c>
      <c r="AH9" s="36">
        <f>AF9</f>
        <v>206.54898</v>
      </c>
      <c r="AI9" s="43">
        <v>0</v>
      </c>
      <c r="AJ9" s="36">
        <f t="shared" ref="AJ9:AJ15" si="16">AH9+AI9</f>
        <v>206.54898</v>
      </c>
      <c r="AK9" s="20">
        <f t="shared" ref="AK9:AK15" si="17">AJ9</f>
        <v>206.54898</v>
      </c>
    </row>
    <row r="10" spans="1:38">
      <c r="A10" s="1" t="s">
        <v>126</v>
      </c>
      <c r="B10">
        <v>63</v>
      </c>
      <c r="C10" s="8">
        <f t="shared" si="5"/>
        <v>7.3770491803278687E-2</v>
      </c>
      <c r="D10" s="91">
        <f t="shared" si="6"/>
        <v>62.960104918032783</v>
      </c>
      <c r="E10" s="41">
        <f t="shared" si="0"/>
        <v>2.5000000000000001E-2</v>
      </c>
      <c r="F10" s="36">
        <f t="shared" si="7"/>
        <v>64.534107540983598</v>
      </c>
      <c r="G10" s="62" t="s">
        <v>70</v>
      </c>
      <c r="H10" s="36">
        <f t="shared" ref="H10:H15" si="18">F10</f>
        <v>64.534107540983598</v>
      </c>
      <c r="I10" s="43">
        <v>0</v>
      </c>
      <c r="J10" s="36">
        <f t="shared" si="8"/>
        <v>64.534107540983598</v>
      </c>
      <c r="K10" s="20">
        <f t="shared" si="9"/>
        <v>64.534107540983598</v>
      </c>
      <c r="M10" s="135" t="s">
        <v>126</v>
      </c>
      <c r="N10" s="136"/>
      <c r="O10">
        <v>63</v>
      </c>
      <c r="P10" s="8">
        <f t="shared" si="1"/>
        <v>4.0882543802725504E-2</v>
      </c>
      <c r="Q10" s="91">
        <f t="shared" si="10"/>
        <v>58.637243867618437</v>
      </c>
      <c r="R10" s="41">
        <f t="shared" si="2"/>
        <v>2.5000000000000001E-2</v>
      </c>
      <c r="S10" s="36">
        <f t="shared" si="11"/>
        <v>60.103174964308892</v>
      </c>
      <c r="T10" s="48" t="s">
        <v>70</v>
      </c>
      <c r="U10" s="36">
        <f t="shared" ref="U10:U15" si="19">S10</f>
        <v>60.103174964308892</v>
      </c>
      <c r="V10" s="43">
        <v>0</v>
      </c>
      <c r="W10" s="36">
        <f t="shared" si="12"/>
        <v>60.103174964308892</v>
      </c>
      <c r="X10" s="20">
        <f t="shared" si="13"/>
        <v>60.103174964308892</v>
      </c>
      <c r="Z10" s="135" t="s">
        <v>126</v>
      </c>
      <c r="AA10" s="136"/>
      <c r="AB10">
        <v>63</v>
      </c>
      <c r="AC10" s="8">
        <f t="shared" si="3"/>
        <v>2.837837837837838E-2</v>
      </c>
      <c r="AD10" s="91">
        <f t="shared" si="14"/>
        <v>57.185610810810815</v>
      </c>
      <c r="AE10" s="41">
        <f t="shared" si="4"/>
        <v>2.5000000000000001E-2</v>
      </c>
      <c r="AF10" s="36">
        <f t="shared" si="15"/>
        <v>58.615251081081077</v>
      </c>
      <c r="AG10" s="48" t="s">
        <v>70</v>
      </c>
      <c r="AH10" s="36">
        <f t="shared" ref="AH10:AH15" si="20">AF10</f>
        <v>58.615251081081077</v>
      </c>
      <c r="AI10" s="43">
        <v>0</v>
      </c>
      <c r="AJ10" s="36">
        <f t="shared" si="16"/>
        <v>58.615251081081077</v>
      </c>
      <c r="AK10" s="20">
        <f t="shared" si="17"/>
        <v>58.615251081081077</v>
      </c>
    </row>
    <row r="11" spans="1:38">
      <c r="A11" s="1" t="s">
        <v>127</v>
      </c>
      <c r="B11">
        <v>2</v>
      </c>
      <c r="C11" s="8">
        <f t="shared" si="5"/>
        <v>2.34192037470726E-3</v>
      </c>
      <c r="D11" s="91">
        <f t="shared" si="6"/>
        <v>1.9987334894613584</v>
      </c>
      <c r="E11" s="41">
        <f t="shared" si="0"/>
        <v>2.5000000000000001E-2</v>
      </c>
      <c r="F11" s="36">
        <f t="shared" si="7"/>
        <v>2.0487018266978922</v>
      </c>
      <c r="G11" s="62" t="s">
        <v>70</v>
      </c>
      <c r="H11" s="36">
        <f t="shared" si="18"/>
        <v>2.0487018266978922</v>
      </c>
      <c r="I11" s="43">
        <v>0</v>
      </c>
      <c r="J11" s="36">
        <f t="shared" si="8"/>
        <v>2.0487018266978922</v>
      </c>
      <c r="K11" s="20">
        <f t="shared" si="9"/>
        <v>2.0487018266978922</v>
      </c>
      <c r="M11" s="135" t="s">
        <v>127</v>
      </c>
      <c r="N11" s="136"/>
      <c r="O11">
        <v>2</v>
      </c>
      <c r="P11" s="8">
        <f t="shared" si="1"/>
        <v>1.2978585334198572E-3</v>
      </c>
      <c r="Q11" s="91">
        <f t="shared" si="10"/>
        <v>1.8614998053212202</v>
      </c>
      <c r="R11" s="41">
        <f t="shared" si="2"/>
        <v>2.5000000000000001E-2</v>
      </c>
      <c r="S11" s="36">
        <f t="shared" si="11"/>
        <v>1.9080373004542506</v>
      </c>
      <c r="T11" s="48" t="s">
        <v>70</v>
      </c>
      <c r="U11" s="36">
        <f t="shared" si="19"/>
        <v>1.9080373004542506</v>
      </c>
      <c r="V11" s="43">
        <v>0</v>
      </c>
      <c r="W11" s="36">
        <f t="shared" si="12"/>
        <v>1.9080373004542506</v>
      </c>
      <c r="X11" s="20">
        <f t="shared" si="13"/>
        <v>1.9080373004542506</v>
      </c>
      <c r="Z11" s="135" t="s">
        <v>127</v>
      </c>
      <c r="AA11" s="136"/>
      <c r="AB11">
        <v>2</v>
      </c>
      <c r="AC11" s="8">
        <f t="shared" si="3"/>
        <v>9.0090090090090091E-4</v>
      </c>
      <c r="AD11" s="91">
        <f t="shared" si="14"/>
        <v>1.8154162162162164</v>
      </c>
      <c r="AE11" s="41">
        <f t="shared" si="4"/>
        <v>2.5000000000000001E-2</v>
      </c>
      <c r="AF11" s="36">
        <f t="shared" si="15"/>
        <v>1.8608016216216217</v>
      </c>
      <c r="AG11" s="48" t="s">
        <v>70</v>
      </c>
      <c r="AH11" s="36">
        <f t="shared" si="20"/>
        <v>1.8608016216216217</v>
      </c>
      <c r="AI11" s="43">
        <v>0</v>
      </c>
      <c r="AJ11" s="36">
        <f t="shared" si="16"/>
        <v>1.8608016216216217</v>
      </c>
      <c r="AK11" s="20">
        <f t="shared" si="17"/>
        <v>1.8608016216216217</v>
      </c>
    </row>
    <row r="12" spans="1:38">
      <c r="A12" s="1" t="s">
        <v>128</v>
      </c>
      <c r="B12">
        <v>96</v>
      </c>
      <c r="C12" s="8">
        <f t="shared" si="5"/>
        <v>0.11241217798594848</v>
      </c>
      <c r="D12" s="91">
        <f t="shared" si="6"/>
        <v>95.939207494145194</v>
      </c>
      <c r="E12" s="41">
        <f t="shared" si="0"/>
        <v>2.5000000000000001E-2</v>
      </c>
      <c r="F12" s="36">
        <f t="shared" si="7"/>
        <v>98.337687681498821</v>
      </c>
      <c r="G12" s="62" t="s">
        <v>70</v>
      </c>
      <c r="H12" s="36">
        <f t="shared" si="18"/>
        <v>98.337687681498821</v>
      </c>
      <c r="I12" s="43">
        <v>0</v>
      </c>
      <c r="J12" s="36">
        <f t="shared" si="8"/>
        <v>98.337687681498821</v>
      </c>
      <c r="K12" s="20">
        <f t="shared" si="9"/>
        <v>98.337687681498821</v>
      </c>
      <c r="M12" s="135" t="s">
        <v>128</v>
      </c>
      <c r="N12" s="136"/>
      <c r="O12">
        <v>176</v>
      </c>
      <c r="P12" s="8">
        <f t="shared" si="1"/>
        <v>0.11421155094094744</v>
      </c>
      <c r="Q12" s="91">
        <f t="shared" si="10"/>
        <v>163.81198286826739</v>
      </c>
      <c r="R12" s="41">
        <f t="shared" si="2"/>
        <v>2.5000000000000001E-2</v>
      </c>
      <c r="S12" s="36">
        <f t="shared" si="11"/>
        <v>167.90728243997407</v>
      </c>
      <c r="T12" s="48" t="s">
        <v>70</v>
      </c>
      <c r="U12" s="36">
        <f t="shared" si="19"/>
        <v>167.90728243997407</v>
      </c>
      <c r="V12" s="43">
        <v>0</v>
      </c>
      <c r="W12" s="36">
        <f t="shared" si="12"/>
        <v>167.90728243997407</v>
      </c>
      <c r="X12" s="20">
        <f t="shared" si="13"/>
        <v>167.90728243997407</v>
      </c>
      <c r="Z12" s="135" t="s">
        <v>128</v>
      </c>
      <c r="AA12" s="136"/>
      <c r="AB12">
        <v>252</v>
      </c>
      <c r="AC12" s="8">
        <f t="shared" si="3"/>
        <v>0.11351351351351352</v>
      </c>
      <c r="AD12" s="91">
        <f t="shared" si="14"/>
        <v>228.74244324324326</v>
      </c>
      <c r="AE12" s="41">
        <f t="shared" si="4"/>
        <v>2.5000000000000001E-2</v>
      </c>
      <c r="AF12" s="36">
        <f t="shared" si="15"/>
        <v>234.46100432432431</v>
      </c>
      <c r="AG12" s="48" t="s">
        <v>70</v>
      </c>
      <c r="AH12" s="36">
        <f t="shared" si="20"/>
        <v>234.46100432432431</v>
      </c>
      <c r="AI12" s="43">
        <v>0</v>
      </c>
      <c r="AJ12" s="36">
        <f t="shared" si="16"/>
        <v>234.46100432432431</v>
      </c>
      <c r="AK12" s="20">
        <f t="shared" si="17"/>
        <v>234.46100432432431</v>
      </c>
    </row>
    <row r="13" spans="1:38">
      <c r="A13" s="1" t="s">
        <v>129</v>
      </c>
      <c r="B13">
        <v>116</v>
      </c>
      <c r="C13" s="8">
        <f t="shared" si="5"/>
        <v>0.13583138173302109</v>
      </c>
      <c r="D13" s="91">
        <f t="shared" si="6"/>
        <v>115.92654238875879</v>
      </c>
      <c r="E13" s="41">
        <f t="shared" si="0"/>
        <v>2.5000000000000001E-2</v>
      </c>
      <c r="F13" s="36">
        <f t="shared" si="7"/>
        <v>118.82470594847776</v>
      </c>
      <c r="G13" s="62" t="s">
        <v>70</v>
      </c>
      <c r="H13" s="36">
        <f t="shared" si="18"/>
        <v>118.82470594847776</v>
      </c>
      <c r="I13" s="43">
        <v>0</v>
      </c>
      <c r="J13" s="36">
        <f t="shared" si="8"/>
        <v>118.82470594847776</v>
      </c>
      <c r="K13" s="20">
        <f t="shared" si="9"/>
        <v>118.82470594847776</v>
      </c>
      <c r="M13" s="135" t="s">
        <v>129</v>
      </c>
      <c r="N13" s="136"/>
      <c r="O13">
        <v>212</v>
      </c>
      <c r="P13" s="8">
        <f t="shared" si="1"/>
        <v>0.13757300454250487</v>
      </c>
      <c r="Q13" s="91">
        <f t="shared" si="10"/>
        <v>197.31897936404934</v>
      </c>
      <c r="R13" s="41">
        <f t="shared" si="2"/>
        <v>2.5000000000000001E-2</v>
      </c>
      <c r="S13" s="36">
        <f t="shared" si="11"/>
        <v>202.25195384815055</v>
      </c>
      <c r="T13" s="48" t="s">
        <v>70</v>
      </c>
      <c r="U13" s="36">
        <f t="shared" si="19"/>
        <v>202.25195384815055</v>
      </c>
      <c r="V13" s="43">
        <v>0</v>
      </c>
      <c r="W13" s="36">
        <f t="shared" si="12"/>
        <v>202.25195384815055</v>
      </c>
      <c r="X13" s="20">
        <f t="shared" si="13"/>
        <v>202.25195384815055</v>
      </c>
      <c r="Z13" s="135" t="s">
        <v>129</v>
      </c>
      <c r="AA13" s="136"/>
      <c r="AB13">
        <v>306</v>
      </c>
      <c r="AC13" s="8">
        <f t="shared" si="3"/>
        <v>0.13783783783783785</v>
      </c>
      <c r="AD13" s="91">
        <f t="shared" si="14"/>
        <v>277.75868108108114</v>
      </c>
      <c r="AE13" s="41">
        <f t="shared" si="4"/>
        <v>2.5000000000000001E-2</v>
      </c>
      <c r="AF13" s="36">
        <f t="shared" si="15"/>
        <v>284.70264810810812</v>
      </c>
      <c r="AG13" s="48" t="s">
        <v>70</v>
      </c>
      <c r="AH13" s="36">
        <f t="shared" si="20"/>
        <v>284.70264810810812</v>
      </c>
      <c r="AI13" s="43">
        <v>0</v>
      </c>
      <c r="AJ13" s="36">
        <f t="shared" si="16"/>
        <v>284.70264810810812</v>
      </c>
      <c r="AK13" s="20">
        <f t="shared" si="17"/>
        <v>284.70264810810812</v>
      </c>
    </row>
    <row r="14" spans="1:38">
      <c r="A14" s="1" t="s">
        <v>130</v>
      </c>
      <c r="B14">
        <v>140</v>
      </c>
      <c r="C14" s="8">
        <f t="shared" si="5"/>
        <v>0.16393442622950818</v>
      </c>
      <c r="D14" s="91">
        <f t="shared" si="6"/>
        <v>139.91134426229507</v>
      </c>
      <c r="E14" s="41">
        <f t="shared" si="0"/>
        <v>2.5000000000000001E-2</v>
      </c>
      <c r="F14" s="36">
        <f t="shared" si="7"/>
        <v>143.40912786885244</v>
      </c>
      <c r="G14" s="62" t="s">
        <v>70</v>
      </c>
      <c r="H14" s="36">
        <f t="shared" si="18"/>
        <v>143.40912786885244</v>
      </c>
      <c r="I14" s="43">
        <v>0</v>
      </c>
      <c r="J14" s="36">
        <f t="shared" si="8"/>
        <v>143.40912786885244</v>
      </c>
      <c r="K14" s="20">
        <f t="shared" si="9"/>
        <v>143.40912786885244</v>
      </c>
      <c r="M14" s="135" t="s">
        <v>130</v>
      </c>
      <c r="N14" s="136"/>
      <c r="O14">
        <v>252</v>
      </c>
      <c r="P14" s="8">
        <f t="shared" si="1"/>
        <v>0.16353017521090202</v>
      </c>
      <c r="Q14" s="91">
        <f t="shared" si="10"/>
        <v>234.54897547047375</v>
      </c>
      <c r="R14" s="41">
        <f t="shared" si="2"/>
        <v>2.5000000000000001E-2</v>
      </c>
      <c r="S14" s="36">
        <f t="shared" si="11"/>
        <v>240.41269985723557</v>
      </c>
      <c r="T14" s="48" t="s">
        <v>70</v>
      </c>
      <c r="U14" s="36">
        <f t="shared" si="19"/>
        <v>240.41269985723557</v>
      </c>
      <c r="V14" s="43">
        <v>0</v>
      </c>
      <c r="W14" s="36">
        <f t="shared" si="12"/>
        <v>240.41269985723557</v>
      </c>
      <c r="X14" s="20">
        <f t="shared" si="13"/>
        <v>240.41269985723557</v>
      </c>
      <c r="Z14" s="135" t="s">
        <v>130</v>
      </c>
      <c r="AA14" s="136"/>
      <c r="AB14">
        <v>366</v>
      </c>
      <c r="AC14" s="8">
        <f t="shared" si="3"/>
        <v>0.16486486486486487</v>
      </c>
      <c r="AD14" s="91">
        <f t="shared" si="14"/>
        <v>332.22116756756759</v>
      </c>
      <c r="AE14" s="41">
        <f t="shared" si="4"/>
        <v>2.5000000000000001E-2</v>
      </c>
      <c r="AF14" s="36">
        <f t="shared" si="15"/>
        <v>340.52669675675673</v>
      </c>
      <c r="AG14" s="48" t="s">
        <v>70</v>
      </c>
      <c r="AH14" s="36">
        <f t="shared" si="20"/>
        <v>340.52669675675673</v>
      </c>
      <c r="AI14" s="43">
        <v>0</v>
      </c>
      <c r="AJ14" s="36">
        <f t="shared" si="16"/>
        <v>340.52669675675673</v>
      </c>
      <c r="AK14" s="20">
        <f t="shared" si="17"/>
        <v>340.52669675675673</v>
      </c>
    </row>
    <row r="15" spans="1:38" ht="43.15">
      <c r="A15" s="3" t="s">
        <v>131</v>
      </c>
      <c r="B15" s="6">
        <v>20</v>
      </c>
      <c r="C15" s="49">
        <f t="shared" si="5"/>
        <v>2.3419203747072601E-2</v>
      </c>
      <c r="D15" s="90">
        <f t="shared" si="6"/>
        <v>19.987334894613586</v>
      </c>
      <c r="E15" s="50">
        <f t="shared" si="0"/>
        <v>2.5000000000000001E-2</v>
      </c>
      <c r="F15" s="51">
        <f t="shared" si="7"/>
        <v>20.487018266978925</v>
      </c>
      <c r="G15" s="66" t="s">
        <v>70</v>
      </c>
      <c r="H15" s="51">
        <f t="shared" si="18"/>
        <v>20.487018266978925</v>
      </c>
      <c r="I15" s="72">
        <f>500000*5/(B3*1000)</f>
        <v>41.666666666666664</v>
      </c>
      <c r="J15" s="51">
        <f t="shared" si="8"/>
        <v>62.153684933645593</v>
      </c>
      <c r="K15" s="67">
        <f t="shared" si="9"/>
        <v>62.153684933645593</v>
      </c>
      <c r="L15" s="7" t="s">
        <v>57</v>
      </c>
      <c r="M15" s="133" t="s">
        <v>131</v>
      </c>
      <c r="N15" s="134"/>
      <c r="O15" s="6">
        <v>20</v>
      </c>
      <c r="P15" s="49">
        <f t="shared" si="1"/>
        <v>1.2978585334198572E-2</v>
      </c>
      <c r="Q15" s="90">
        <f t="shared" si="10"/>
        <v>18.614998053212201</v>
      </c>
      <c r="R15" s="50">
        <f t="shared" si="2"/>
        <v>2.5000000000000001E-2</v>
      </c>
      <c r="S15" s="51">
        <f t="shared" si="11"/>
        <v>19.080373004542505</v>
      </c>
      <c r="T15" s="63" t="s">
        <v>70</v>
      </c>
      <c r="U15" s="51">
        <f t="shared" si="19"/>
        <v>19.080373004542505</v>
      </c>
      <c r="V15" s="72">
        <f>500000*5/(O3*1000)</f>
        <v>41.666666666666664</v>
      </c>
      <c r="W15" s="51">
        <f t="shared" si="12"/>
        <v>60.747039671209166</v>
      </c>
      <c r="X15" s="67">
        <f t="shared" si="13"/>
        <v>60.747039671209166</v>
      </c>
      <c r="Y15" s="7" t="s">
        <v>57</v>
      </c>
      <c r="Z15" s="133" t="s">
        <v>131</v>
      </c>
      <c r="AA15" s="134"/>
      <c r="AB15" s="6">
        <v>20</v>
      </c>
      <c r="AC15" s="49">
        <f t="shared" si="3"/>
        <v>9.0090090090090089E-3</v>
      </c>
      <c r="AD15" s="90">
        <f t="shared" si="14"/>
        <v>18.154162162162162</v>
      </c>
      <c r="AE15" s="50">
        <f t="shared" si="4"/>
        <v>2.5000000000000001E-2</v>
      </c>
      <c r="AF15" s="51">
        <f t="shared" si="15"/>
        <v>18.608016216216214</v>
      </c>
      <c r="AG15" s="63" t="s">
        <v>70</v>
      </c>
      <c r="AH15" s="51">
        <f t="shared" si="20"/>
        <v>18.608016216216214</v>
      </c>
      <c r="AI15" s="72">
        <f>500000*5/(AB3*1000)</f>
        <v>41.666666666666664</v>
      </c>
      <c r="AJ15" s="51">
        <f t="shared" si="16"/>
        <v>60.274682882882878</v>
      </c>
      <c r="AK15" s="67">
        <f t="shared" si="17"/>
        <v>60.274682882882878</v>
      </c>
      <c r="AL15" s="7" t="s">
        <v>57</v>
      </c>
    </row>
    <row r="16" spans="1:38">
      <c r="A16" s="3" t="s">
        <v>132</v>
      </c>
      <c r="B16" s="6">
        <v>854</v>
      </c>
      <c r="C16" s="49">
        <f t="shared" si="5"/>
        <v>1</v>
      </c>
      <c r="D16" s="96">
        <f t="shared" si="6"/>
        <v>853.45920000000001</v>
      </c>
      <c r="E16" s="50">
        <f t="shared" si="0"/>
        <v>2.5000000000000001E-2</v>
      </c>
      <c r="F16" s="51">
        <f>SUM(F8:F15)</f>
        <v>875.82003091334889</v>
      </c>
      <c r="G16" s="66" t="s">
        <v>70</v>
      </c>
      <c r="H16" s="51">
        <f>SUM(H8:H15)</f>
        <v>944.65641229039795</v>
      </c>
      <c r="I16" s="72">
        <v>0</v>
      </c>
      <c r="J16" s="51">
        <f>SUM(J8:J15)</f>
        <v>986.32307895706458</v>
      </c>
      <c r="K16" s="67">
        <f>SUM(K8:K15)</f>
        <v>986.32307895706458</v>
      </c>
      <c r="M16" s="133" t="s">
        <v>132</v>
      </c>
      <c r="N16" s="134"/>
      <c r="O16" s="6">
        <v>1541</v>
      </c>
      <c r="P16" s="49">
        <f t="shared" si="1"/>
        <v>1</v>
      </c>
      <c r="Q16" s="96">
        <f t="shared" si="10"/>
        <v>1434.2856000000002</v>
      </c>
      <c r="R16" s="50">
        <f t="shared" si="2"/>
        <v>2.5000000000000001E-2</v>
      </c>
      <c r="S16" s="51">
        <f>SUM(S8:S15)</f>
        <v>1466.3266653990916</v>
      </c>
      <c r="T16" s="63" t="s">
        <v>70</v>
      </c>
      <c r="U16" s="51">
        <f>SUM(U8:U15)</f>
        <v>1592.257127229072</v>
      </c>
      <c r="V16" s="72">
        <v>0</v>
      </c>
      <c r="W16" s="51">
        <f>SUM(W8:W15)</f>
        <v>1633.9237938957388</v>
      </c>
      <c r="X16" s="67">
        <f>SUM(X8:X15)</f>
        <v>1633.9237938957388</v>
      </c>
      <c r="Z16" s="133" t="s">
        <v>132</v>
      </c>
      <c r="AA16" s="134"/>
      <c r="AB16" s="6">
        <v>2220</v>
      </c>
      <c r="AC16" s="49">
        <f t="shared" si="3"/>
        <v>1</v>
      </c>
      <c r="AD16" s="96">
        <f t="shared" si="14"/>
        <v>2015.1120000000001</v>
      </c>
      <c r="AE16" s="50">
        <f t="shared" si="4"/>
        <v>2.5000000000000001E-2</v>
      </c>
      <c r="AF16" s="76">
        <f t="shared" si="15"/>
        <v>2065.4897999999998</v>
      </c>
      <c r="AG16" s="63" t="s">
        <v>70</v>
      </c>
      <c r="AH16" s="51">
        <f>SUM(AH8:AH15)</f>
        <v>2243.9406755135137</v>
      </c>
      <c r="AI16" s="72">
        <v>0</v>
      </c>
      <c r="AJ16" s="51">
        <f>SUM(AJ8:AJ15)</f>
        <v>2285.6073421801807</v>
      </c>
      <c r="AK16" s="67">
        <f>SUM(AK8:AK15)</f>
        <v>2285.6073421801807</v>
      </c>
    </row>
    <row r="18" spans="1:33" ht="14.45" customHeight="1">
      <c r="A18" s="130" t="s">
        <v>133</v>
      </c>
      <c r="B18" s="130"/>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row>
    <row r="19" spans="1:33" ht="14.45" customHeight="1">
      <c r="A19" s="130"/>
      <c r="B19" s="130"/>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row>
    <row r="21" spans="1:33">
      <c r="A21" t="s">
        <v>134</v>
      </c>
    </row>
    <row r="22" spans="1:33">
      <c r="A22" t="s">
        <v>12</v>
      </c>
      <c r="B22">
        <v>2019</v>
      </c>
      <c r="C22">
        <v>2020</v>
      </c>
      <c r="D22">
        <v>2021</v>
      </c>
      <c r="E22">
        <v>2022</v>
      </c>
      <c r="F22">
        <v>2023</v>
      </c>
      <c r="G22">
        <v>2024</v>
      </c>
      <c r="H22">
        <v>2025</v>
      </c>
      <c r="I22">
        <v>2026</v>
      </c>
      <c r="J22">
        <v>2027</v>
      </c>
      <c r="K22">
        <v>2028</v>
      </c>
      <c r="L22">
        <v>2029</v>
      </c>
      <c r="M22">
        <v>2030</v>
      </c>
      <c r="N22">
        <v>2031</v>
      </c>
      <c r="O22">
        <v>2032</v>
      </c>
      <c r="P22">
        <v>2033</v>
      </c>
      <c r="Q22">
        <v>2034</v>
      </c>
      <c r="R22">
        <v>2035</v>
      </c>
      <c r="S22">
        <v>2036</v>
      </c>
      <c r="T22">
        <v>2037</v>
      </c>
      <c r="U22">
        <v>2038</v>
      </c>
      <c r="V22">
        <v>2039</v>
      </c>
      <c r="W22">
        <v>2040</v>
      </c>
      <c r="X22">
        <v>2041</v>
      </c>
      <c r="Y22">
        <v>2042</v>
      </c>
      <c r="Z22">
        <v>2043</v>
      </c>
      <c r="AA22">
        <v>2044</v>
      </c>
      <c r="AB22">
        <v>2045</v>
      </c>
      <c r="AC22">
        <v>2046</v>
      </c>
      <c r="AD22">
        <v>2047</v>
      </c>
      <c r="AE22">
        <v>2048</v>
      </c>
      <c r="AF22">
        <v>2049</v>
      </c>
      <c r="AG22">
        <v>2050</v>
      </c>
    </row>
    <row r="23" spans="1:33">
      <c r="A23" t="s">
        <v>106</v>
      </c>
      <c r="B23" s="9">
        <v>853.45920000000001</v>
      </c>
      <c r="C23" s="9">
        <v>810.03484410554597</v>
      </c>
      <c r="D23" s="9">
        <v>763.3963659907713</v>
      </c>
      <c r="E23" s="9">
        <v>716.75788787599708</v>
      </c>
      <c r="F23" s="9">
        <v>670.11940976122241</v>
      </c>
      <c r="G23" s="9">
        <v>623.48093164644786</v>
      </c>
      <c r="H23" s="9">
        <v>576.84245353167319</v>
      </c>
      <c r="I23" s="9">
        <v>559.57645200874674</v>
      </c>
      <c r="J23" s="9">
        <v>542.31045048582052</v>
      </c>
      <c r="K23" s="9">
        <v>525.04444896289397</v>
      </c>
      <c r="L23" s="9">
        <v>507.77844743996769</v>
      </c>
      <c r="M23" s="9">
        <v>490.51244591704176</v>
      </c>
      <c r="N23" s="9">
        <v>485.22556219218745</v>
      </c>
      <c r="O23" s="9">
        <v>479.93867846733315</v>
      </c>
      <c r="P23" s="9">
        <v>474.65179474247918</v>
      </c>
      <c r="Q23" s="9">
        <v>469.36491101762482</v>
      </c>
      <c r="R23" s="9">
        <v>464.07802729277068</v>
      </c>
      <c r="S23" s="9">
        <v>458.79114356791655</v>
      </c>
      <c r="T23" s="9">
        <v>453.50425984306219</v>
      </c>
      <c r="U23" s="9">
        <v>448.21737611820811</v>
      </c>
      <c r="V23" s="9">
        <v>442.9304923933538</v>
      </c>
      <c r="W23" s="9">
        <v>437.64360866849972</v>
      </c>
      <c r="X23" s="9">
        <v>432.35672494364553</v>
      </c>
      <c r="Y23" s="9">
        <v>427.06984121879145</v>
      </c>
      <c r="Z23" s="9">
        <v>421.78295749393726</v>
      </c>
      <c r="AA23" s="9">
        <v>416.49607376908301</v>
      </c>
      <c r="AB23" s="9">
        <v>411.20919004422905</v>
      </c>
      <c r="AC23" s="9">
        <v>405.92230631937485</v>
      </c>
      <c r="AD23" s="9">
        <v>400.63542259452083</v>
      </c>
      <c r="AE23" s="9">
        <v>395.34853886966664</v>
      </c>
      <c r="AF23" s="9">
        <v>390.06165514481239</v>
      </c>
      <c r="AG23" s="9">
        <v>384.774771419959</v>
      </c>
    </row>
    <row r="24" spans="1:33">
      <c r="A24" t="s">
        <v>69</v>
      </c>
      <c r="B24" s="16" t="s">
        <v>70</v>
      </c>
      <c r="C24" s="15">
        <f t="shared" ref="C24:AG24" si="21">1-(C23/B23)</f>
        <v>5.0880412203013425E-2</v>
      </c>
      <c r="D24" s="15">
        <f t="shared" si="21"/>
        <v>5.7575891276965607E-2</v>
      </c>
      <c r="E24" s="15">
        <f t="shared" si="21"/>
        <v>6.109339812515957E-2</v>
      </c>
      <c r="F24" s="15">
        <f t="shared" si="21"/>
        <v>6.5068663915203939E-2</v>
      </c>
      <c r="G24" s="15">
        <f t="shared" si="21"/>
        <v>6.9597264958185301E-2</v>
      </c>
      <c r="H24" s="15">
        <f t="shared" si="21"/>
        <v>7.4803375287861407E-2</v>
      </c>
      <c r="I24" s="15">
        <f t="shared" si="21"/>
        <v>2.993191887527813E-2</v>
      </c>
      <c r="J24" s="15">
        <f t="shared" si="21"/>
        <v>3.0855482679704171E-2</v>
      </c>
      <c r="K24" s="15">
        <f t="shared" si="21"/>
        <v>3.1837855065228959E-2</v>
      </c>
      <c r="L24" s="15">
        <f t="shared" si="21"/>
        <v>3.2884837763795693E-2</v>
      </c>
      <c r="M24" s="15">
        <f t="shared" si="21"/>
        <v>3.4003021613017936E-2</v>
      </c>
      <c r="N24" s="15">
        <f t="shared" si="21"/>
        <v>1.0778286603860154E-2</v>
      </c>
      <c r="O24" s="15">
        <f t="shared" si="21"/>
        <v>1.0895723838144189E-2</v>
      </c>
      <c r="P24" s="15">
        <f t="shared" si="21"/>
        <v>1.1015748390476587E-2</v>
      </c>
      <c r="Q24" s="15">
        <f t="shared" si="21"/>
        <v>1.1138446716972283E-2</v>
      </c>
      <c r="R24" s="15">
        <f t="shared" si="21"/>
        <v>1.126390916907638E-2</v>
      </c>
      <c r="S24" s="15">
        <f t="shared" si="21"/>
        <v>1.1392230215456434E-2</v>
      </c>
      <c r="T24" s="15">
        <f t="shared" si="21"/>
        <v>1.1523508679220473E-2</v>
      </c>
      <c r="U24" s="15">
        <f t="shared" si="21"/>
        <v>1.1657847991733639E-2</v>
      </c>
      <c r="V24" s="15">
        <f t="shared" si="21"/>
        <v>1.1795356464404438E-2</v>
      </c>
      <c r="W24" s="15">
        <f t="shared" si="21"/>
        <v>1.1936147579920897E-2</v>
      </c>
      <c r="X24" s="15">
        <f t="shared" si="21"/>
        <v>1.208034030461258E-2</v>
      </c>
      <c r="Y24" s="15">
        <f t="shared" si="21"/>
        <v>1.2228059423715854E-2</v>
      </c>
      <c r="Z24" s="15">
        <f t="shared" si="21"/>
        <v>1.2379435901552438E-2</v>
      </c>
      <c r="AA24" s="15">
        <f t="shared" si="21"/>
        <v>1.2534607268787634E-2</v>
      </c>
      <c r="AB24" s="15">
        <f t="shared" si="21"/>
        <v>1.269371803918895E-2</v>
      </c>
      <c r="AC24" s="15">
        <f t="shared" si="21"/>
        <v>1.2856920158534235E-2</v>
      </c>
      <c r="AD24" s="15">
        <f t="shared" si="21"/>
        <v>1.3024373488591645E-2</v>
      </c>
      <c r="AE24" s="15">
        <f t="shared" si="21"/>
        <v>1.3196246329434058E-2</v>
      </c>
      <c r="AF24" s="15">
        <f t="shared" si="21"/>
        <v>1.3372715983647976E-2</v>
      </c>
      <c r="AG24" s="15">
        <f t="shared" si="21"/>
        <v>1.355396936643416E-2</v>
      </c>
    </row>
    <row r="25" spans="1:33">
      <c r="A25" t="s">
        <v>71</v>
      </c>
      <c r="B25" s="9">
        <f>K16</f>
        <v>986.32307895706458</v>
      </c>
      <c r="C25" s="9">
        <f>B25*(1-C24)</f>
        <v>936.13855413438375</v>
      </c>
      <c r="D25" s="9">
        <f t="shared" ref="D25:AG25" si="22">C25*(1-D24)</f>
        <v>882.23954252136673</v>
      </c>
      <c r="E25" s="9">
        <f t="shared" si="22"/>
        <v>828.34053090835027</v>
      </c>
      <c r="F25" s="9">
        <f t="shared" si="22"/>
        <v>774.44151929533325</v>
      </c>
      <c r="G25" s="9">
        <f t="shared" si="22"/>
        <v>720.54250768231634</v>
      </c>
      <c r="H25" s="9">
        <f t="shared" si="22"/>
        <v>666.64349606929932</v>
      </c>
      <c r="I25" s="9">
        <f t="shared" si="22"/>
        <v>646.68957702622129</v>
      </c>
      <c r="J25" s="9">
        <f t="shared" si="22"/>
        <v>626.73565798314348</v>
      </c>
      <c r="K25" s="9">
        <f t="shared" si="22"/>
        <v>606.78173894006522</v>
      </c>
      <c r="L25" s="9">
        <f t="shared" si="22"/>
        <v>586.82781989698731</v>
      </c>
      <c r="M25" s="9">
        <f t="shared" si="22"/>
        <v>566.87390085390984</v>
      </c>
      <c r="N25" s="9">
        <f t="shared" si="22"/>
        <v>560.76397148225817</v>
      </c>
      <c r="O25" s="9">
        <f t="shared" si="22"/>
        <v>554.6540421106065</v>
      </c>
      <c r="P25" s="9">
        <f t="shared" si="22"/>
        <v>548.54411273895528</v>
      </c>
      <c r="Q25" s="9">
        <f t="shared" si="22"/>
        <v>542.4341833673036</v>
      </c>
      <c r="R25" s="9">
        <f t="shared" si="22"/>
        <v>536.32425399565216</v>
      </c>
      <c r="S25" s="9">
        <f t="shared" si="22"/>
        <v>530.21432462400071</v>
      </c>
      <c r="T25" s="9">
        <f t="shared" si="22"/>
        <v>524.10439525234904</v>
      </c>
      <c r="U25" s="9">
        <f t="shared" si="22"/>
        <v>517.9944658806977</v>
      </c>
      <c r="V25" s="9">
        <f t="shared" si="22"/>
        <v>511.88453650904609</v>
      </c>
      <c r="W25" s="9">
        <f t="shared" si="22"/>
        <v>505.7746071373947</v>
      </c>
      <c r="X25" s="9">
        <f t="shared" si="22"/>
        <v>499.66467776574325</v>
      </c>
      <c r="Y25" s="9">
        <f t="shared" si="22"/>
        <v>493.55474839409192</v>
      </c>
      <c r="Z25" s="9">
        <f t="shared" si="22"/>
        <v>487.44481902244041</v>
      </c>
      <c r="AA25" s="9">
        <f t="shared" si="22"/>
        <v>481.33488965078885</v>
      </c>
      <c r="AB25" s="9">
        <f t="shared" si="22"/>
        <v>475.22496027913763</v>
      </c>
      <c r="AC25" s="9">
        <f t="shared" si="22"/>
        <v>469.11503090748613</v>
      </c>
      <c r="AD25" s="9">
        <f t="shared" si="22"/>
        <v>463.0051015358348</v>
      </c>
      <c r="AE25" s="9">
        <f t="shared" si="22"/>
        <v>456.89517216418329</v>
      </c>
      <c r="AF25" s="9">
        <f t="shared" si="22"/>
        <v>450.78524279253173</v>
      </c>
      <c r="AG25" s="9">
        <f t="shared" si="22"/>
        <v>444.6753134208812</v>
      </c>
    </row>
    <row r="26" spans="1:33" ht="15" thickBot="1">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row>
    <row r="27" spans="1:33" ht="15" thickTop="1"/>
    <row r="28" spans="1:33">
      <c r="A28" t="s">
        <v>135</v>
      </c>
    </row>
    <row r="29" spans="1:33">
      <c r="A29" t="s">
        <v>12</v>
      </c>
      <c r="B29">
        <v>2019</v>
      </c>
      <c r="C29">
        <v>2020</v>
      </c>
      <c r="D29">
        <v>2021</v>
      </c>
      <c r="E29">
        <v>2022</v>
      </c>
      <c r="F29">
        <v>2023</v>
      </c>
      <c r="G29">
        <v>2024</v>
      </c>
      <c r="H29">
        <v>2025</v>
      </c>
      <c r="I29">
        <v>2026</v>
      </c>
      <c r="J29">
        <v>2027</v>
      </c>
      <c r="K29">
        <v>2028</v>
      </c>
      <c r="L29">
        <v>2029</v>
      </c>
      <c r="M29">
        <v>2030</v>
      </c>
      <c r="N29">
        <v>2031</v>
      </c>
      <c r="O29">
        <v>2032</v>
      </c>
      <c r="P29">
        <v>2033</v>
      </c>
      <c r="Q29">
        <v>2034</v>
      </c>
      <c r="R29">
        <v>2035</v>
      </c>
      <c r="S29">
        <v>2036</v>
      </c>
      <c r="T29">
        <v>2037</v>
      </c>
      <c r="U29">
        <v>2038</v>
      </c>
      <c r="V29">
        <v>2039</v>
      </c>
      <c r="W29">
        <v>2040</v>
      </c>
      <c r="X29">
        <v>2041</v>
      </c>
      <c r="Y29">
        <v>2042</v>
      </c>
      <c r="Z29">
        <v>2043</v>
      </c>
      <c r="AA29">
        <v>2044</v>
      </c>
      <c r="AB29">
        <v>2045</v>
      </c>
      <c r="AC29">
        <v>2046</v>
      </c>
      <c r="AD29">
        <v>2047</v>
      </c>
      <c r="AE29">
        <v>2048</v>
      </c>
      <c r="AF29">
        <v>2049</v>
      </c>
      <c r="AG29">
        <v>2050</v>
      </c>
    </row>
    <row r="30" spans="1:33">
      <c r="A30" t="s">
        <v>106</v>
      </c>
      <c r="B30" s="9">
        <v>1434.2856000000002</v>
      </c>
      <c r="C30" s="9">
        <v>1363.2842342153651</v>
      </c>
      <c r="D30" s="9">
        <v>1281.8130648399449</v>
      </c>
      <c r="E30" s="9">
        <v>1200.3418954645249</v>
      </c>
      <c r="F30" s="9">
        <v>1118.8707260891047</v>
      </c>
      <c r="G30" s="9">
        <v>1037.3995567136847</v>
      </c>
      <c r="H30" s="9">
        <v>955.92838733826409</v>
      </c>
      <c r="I30" s="9">
        <v>921.56147421096955</v>
      </c>
      <c r="J30" s="9">
        <v>887.19456108367513</v>
      </c>
      <c r="K30" s="9">
        <v>852.82764795638059</v>
      </c>
      <c r="L30" s="9">
        <v>818.46073482908605</v>
      </c>
      <c r="M30" s="9">
        <v>784.09382170179197</v>
      </c>
      <c r="N30" s="9">
        <v>774.29264893051936</v>
      </c>
      <c r="O30" s="9">
        <v>764.49147615924687</v>
      </c>
      <c r="P30" s="9">
        <v>754.69030338797461</v>
      </c>
      <c r="Q30" s="9">
        <v>744.889130616702</v>
      </c>
      <c r="R30" s="9">
        <v>735.08795784542951</v>
      </c>
      <c r="S30" s="9">
        <v>725.28678507415714</v>
      </c>
      <c r="T30" s="9">
        <v>715.48561230288453</v>
      </c>
      <c r="U30" s="9">
        <v>705.68443953161216</v>
      </c>
      <c r="V30" s="9">
        <v>695.88326676033967</v>
      </c>
      <c r="W30" s="9">
        <v>686.08209398906718</v>
      </c>
      <c r="X30" s="9">
        <v>676.28092121779491</v>
      </c>
      <c r="Y30" s="9">
        <v>666.47974844652254</v>
      </c>
      <c r="Z30" s="9">
        <v>656.67857567524993</v>
      </c>
      <c r="AA30" s="9">
        <v>646.87740290397755</v>
      </c>
      <c r="AB30" s="9">
        <v>637.07623013270529</v>
      </c>
      <c r="AC30" s="9">
        <v>627.2750573614328</v>
      </c>
      <c r="AD30" s="9">
        <v>617.47388459016042</v>
      </c>
      <c r="AE30" s="9">
        <v>607.67271181888805</v>
      </c>
      <c r="AF30" s="9">
        <v>597.87153904761556</v>
      </c>
      <c r="AG30" s="9">
        <v>588.07036627634386</v>
      </c>
    </row>
    <row r="31" spans="1:33">
      <c r="A31" t="s">
        <v>69</v>
      </c>
      <c r="B31" s="16" t="s">
        <v>70</v>
      </c>
      <c r="C31" s="15">
        <f>1-(C30/B30)</f>
        <v>4.950294821661394E-2</v>
      </c>
      <c r="D31" s="15">
        <f>1-(D30/C30)</f>
        <v>5.9760956175298863E-2</v>
      </c>
      <c r="E31" s="15">
        <f t="shared" ref="E31" si="23">1-(E30/D30)</f>
        <v>6.3559322033898136E-2</v>
      </c>
      <c r="F31" s="15">
        <f t="shared" ref="F31" si="24">1-(F30/E30)</f>
        <v>6.7873303167420795E-2</v>
      </c>
      <c r="G31" s="15">
        <f t="shared" ref="G31" si="25">1-(G30/F30)</f>
        <v>7.281553398058227E-2</v>
      </c>
      <c r="H31" s="15">
        <f t="shared" ref="H31" si="26">1-(H30/G30)</f>
        <v>7.8534031413612815E-2</v>
      </c>
      <c r="I31" s="15">
        <f t="shared" ref="I31" si="27">1-(I30/H30)</f>
        <v>3.5951346965422348E-2</v>
      </c>
      <c r="J31" s="15">
        <f t="shared" ref="J31" si="28">1-(J30/I30)</f>
        <v>3.7292046259549849E-2</v>
      </c>
      <c r="K31" s="15">
        <f t="shared" ref="K31" si="29">1-(K30/J30)</f>
        <v>3.8736613855383184E-2</v>
      </c>
      <c r="L31" s="15">
        <f t="shared" ref="L31" si="30">1-(L30/K30)</f>
        <v>4.0297606684829623E-2</v>
      </c>
      <c r="M31" s="15">
        <f t="shared" ref="M31" si="31">1-(M30/L30)</f>
        <v>4.1989690726545015E-2</v>
      </c>
      <c r="N31" s="15">
        <f>1-(N30/M30)</f>
        <v>1.2500000000000289E-2</v>
      </c>
      <c r="O31" s="15">
        <f t="shared" ref="O31" si="32">1-(O30/N30)</f>
        <v>1.2658227848101333E-2</v>
      </c>
      <c r="P31" s="15">
        <f t="shared" ref="P31" si="33">1-(P30/O30)</f>
        <v>1.2820512820512664E-2</v>
      </c>
      <c r="Q31" s="15">
        <f t="shared" ref="Q31" si="34">1-(Q30/P30)</f>
        <v>1.2987012987013213E-2</v>
      </c>
      <c r="R31" s="15">
        <f t="shared" ref="R31" si="35">1-(R30/Q30)</f>
        <v>1.3157894736842257E-2</v>
      </c>
      <c r="S31" s="15">
        <f t="shared" ref="S31" si="36">1-(S30/R30)</f>
        <v>1.3333333333333308E-2</v>
      </c>
      <c r="T31" s="15">
        <f t="shared" ref="T31" si="37">1-(T30/S30)</f>
        <v>1.351351351351382E-2</v>
      </c>
      <c r="U31" s="15">
        <f t="shared" ref="U31" si="38">1-(U30/T30)</f>
        <v>1.3698630136986245E-2</v>
      </c>
      <c r="V31" s="15">
        <f t="shared" ref="V31" si="39">1-(V30/U30)</f>
        <v>1.3888888888889062E-2</v>
      </c>
      <c r="W31" s="15">
        <f t="shared" ref="W31" si="40">1-(W30/V30)</f>
        <v>1.4084507042253613E-2</v>
      </c>
      <c r="X31" s="15">
        <f>1-(X30/W30)</f>
        <v>1.4285714285714124E-2</v>
      </c>
      <c r="Y31" s="15">
        <f t="shared" ref="Y31" si="41">1-(Y30/X30)</f>
        <v>1.4492753623188359E-2</v>
      </c>
      <c r="Z31" s="15">
        <f t="shared" ref="Z31" si="42">1-(Z30/Y30)</f>
        <v>1.4705882352941457E-2</v>
      </c>
      <c r="AA31" s="15">
        <f t="shared" ref="AA31" si="43">1-(AA30/Z30)</f>
        <v>1.492537313432829E-2</v>
      </c>
      <c r="AB31" s="15">
        <f t="shared" ref="AB31" si="44">1-(AB30/AA30)</f>
        <v>1.5151515151514916E-2</v>
      </c>
      <c r="AC31" s="15">
        <f t="shared" ref="AC31" si="45">1-(AC30/AB30)</f>
        <v>1.5384615384615552E-2</v>
      </c>
      <c r="AD31" s="15">
        <f t="shared" ref="AD31" si="46">1-(AD30/AC30)</f>
        <v>1.5625E-2</v>
      </c>
      <c r="AE31" s="15">
        <f t="shared" ref="AE31" si="47">1-(AE30/AD30)</f>
        <v>1.5873015873015817E-2</v>
      </c>
      <c r="AF31" s="15">
        <f t="shared" ref="AF31" si="48">1-(AF30/AE30)</f>
        <v>1.6129032258064724E-2</v>
      </c>
      <c r="AG31" s="15">
        <f t="shared" ref="AG31" si="49">1-(AG30/AF30)</f>
        <v>1.6393442622949617E-2</v>
      </c>
    </row>
    <row r="32" spans="1:33">
      <c r="A32" t="s">
        <v>71</v>
      </c>
      <c r="B32" s="9">
        <f>X16</f>
        <v>1633.9237938957388</v>
      </c>
      <c r="C32" s="9">
        <f>B32*(1-C31)</f>
        <v>1553.0397489366246</v>
      </c>
      <c r="D32" s="9">
        <f t="shared" ref="D32" si="50">C32*(1-D31)</f>
        <v>1460.2286085619257</v>
      </c>
      <c r="E32" s="9">
        <f t="shared" ref="E32" si="51">D32*(1-E31)</f>
        <v>1367.4174681872273</v>
      </c>
      <c r="F32" s="9">
        <f t="shared" ref="F32" si="52">E32*(1-F31)</f>
        <v>1274.6063278125287</v>
      </c>
      <c r="G32" s="9">
        <f t="shared" ref="G32" si="53">F32*(1-G31)</f>
        <v>1181.7951874378302</v>
      </c>
      <c r="H32" s="9">
        <f t="shared" ref="H32" si="54">G32*(1-H31)</f>
        <v>1088.9840470631311</v>
      </c>
      <c r="I32" s="9">
        <f t="shared" ref="I32" si="55">H32*(1-I31)</f>
        <v>1049.8336037473546</v>
      </c>
      <c r="J32" s="9">
        <f t="shared" ref="J32" si="56">I32*(1-J31)</f>
        <v>1010.6831604315782</v>
      </c>
      <c r="K32" s="9">
        <f t="shared" ref="K32" si="57">J32*(1-K31)</f>
        <v>971.53271711580192</v>
      </c>
      <c r="L32" s="9">
        <f t="shared" ref="L32" si="58">K32*(1-L31)</f>
        <v>932.38227380002547</v>
      </c>
      <c r="M32" s="9">
        <f t="shared" ref="M32" si="59">L32*(1-M31)</f>
        <v>893.2318304842496</v>
      </c>
      <c r="N32" s="9">
        <f t="shared" ref="N32" si="60">M32*(1-N31)</f>
        <v>882.06643260319618</v>
      </c>
      <c r="O32" s="9">
        <f t="shared" ref="O32" si="61">N32*(1-O31)</f>
        <v>870.90103472214298</v>
      </c>
      <c r="P32" s="9">
        <f t="shared" ref="P32" si="62">O32*(1-P31)</f>
        <v>859.73563684109001</v>
      </c>
      <c r="Q32" s="9">
        <f t="shared" ref="Q32" si="63">P32*(1-Q31)</f>
        <v>848.5702389600367</v>
      </c>
      <c r="R32" s="9">
        <f t="shared" ref="R32" si="64">Q32*(1-R31)</f>
        <v>837.40484107898351</v>
      </c>
      <c r="S32" s="9">
        <f t="shared" ref="S32" si="65">R32*(1-S31)</f>
        <v>826.23944319793043</v>
      </c>
      <c r="T32" s="9">
        <f t="shared" ref="T32" si="66">S32*(1-T31)</f>
        <v>815.074045316877</v>
      </c>
      <c r="U32" s="9">
        <f t="shared" ref="U32" si="67">T32*(1-U31)</f>
        <v>803.90864743582392</v>
      </c>
      <c r="V32" s="9">
        <f t="shared" ref="V32" si="68">U32*(1-V31)</f>
        <v>792.74324955477073</v>
      </c>
      <c r="W32" s="9">
        <f t="shared" ref="W32" si="69">V32*(1-W31)</f>
        <v>781.57785167371753</v>
      </c>
      <c r="X32" s="9">
        <f t="shared" ref="X32" si="70">W32*(1-X31)</f>
        <v>770.41245379266456</v>
      </c>
      <c r="Y32" s="9">
        <f t="shared" ref="Y32" si="71">X32*(1-Y31)</f>
        <v>759.24705591161148</v>
      </c>
      <c r="Z32" s="9">
        <f t="shared" ref="Z32" si="72">Y32*(1-Z31)</f>
        <v>748.08165803055817</v>
      </c>
      <c r="AA32" s="9">
        <f t="shared" ref="AA32" si="73">Z32*(1-AA31)</f>
        <v>736.91626014950509</v>
      </c>
      <c r="AB32" s="9">
        <f t="shared" ref="AB32" si="74">AA32*(1-AB31)</f>
        <v>725.75086226845212</v>
      </c>
      <c r="AC32" s="9">
        <f t="shared" ref="AC32" si="75">AB32*(1-AC31)</f>
        <v>714.58546438739893</v>
      </c>
      <c r="AD32" s="9">
        <f t="shared" ref="AD32" si="76">AC32*(1-AD31)</f>
        <v>703.42006650634585</v>
      </c>
      <c r="AE32" s="9">
        <f t="shared" ref="AE32" si="77">AD32*(1-AE31)</f>
        <v>692.25466862529277</v>
      </c>
      <c r="AF32" s="9">
        <f t="shared" ref="AF32" si="78">AE32*(1-AF31)</f>
        <v>681.08927074423946</v>
      </c>
      <c r="AG32" s="9">
        <f t="shared" ref="AG32" si="79">AF32*(1-AG31)</f>
        <v>669.92387286318717</v>
      </c>
    </row>
    <row r="33" spans="1:33" ht="15" thickBot="1">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row>
    <row r="34" spans="1:33" ht="15" thickTop="1"/>
    <row r="35" spans="1:33">
      <c r="A35" t="s">
        <v>136</v>
      </c>
    </row>
    <row r="36" spans="1:33">
      <c r="A36" t="s">
        <v>12</v>
      </c>
      <c r="B36">
        <v>2019</v>
      </c>
      <c r="C36">
        <v>2020</v>
      </c>
      <c r="D36">
        <v>2021</v>
      </c>
      <c r="E36">
        <v>2022</v>
      </c>
      <c r="F36">
        <v>2023</v>
      </c>
      <c r="G36">
        <v>2024</v>
      </c>
      <c r="H36">
        <v>2025</v>
      </c>
      <c r="I36">
        <v>2026</v>
      </c>
      <c r="J36">
        <v>2027</v>
      </c>
      <c r="K36">
        <v>2028</v>
      </c>
      <c r="L36">
        <v>2029</v>
      </c>
      <c r="M36">
        <v>2030</v>
      </c>
      <c r="N36">
        <v>2031</v>
      </c>
      <c r="O36">
        <v>2032</v>
      </c>
      <c r="P36">
        <v>2033</v>
      </c>
      <c r="Q36">
        <v>2034</v>
      </c>
      <c r="R36">
        <v>2035</v>
      </c>
      <c r="S36">
        <v>2036</v>
      </c>
      <c r="T36">
        <v>2037</v>
      </c>
      <c r="U36">
        <v>2038</v>
      </c>
      <c r="V36">
        <v>2039</v>
      </c>
      <c r="W36">
        <v>2040</v>
      </c>
      <c r="X36">
        <v>2041</v>
      </c>
      <c r="Y36">
        <v>2042</v>
      </c>
      <c r="Z36">
        <v>2043</v>
      </c>
      <c r="AA36">
        <v>2044</v>
      </c>
      <c r="AB36">
        <v>2045</v>
      </c>
      <c r="AC36">
        <v>2046</v>
      </c>
      <c r="AD36">
        <v>2047</v>
      </c>
      <c r="AE36">
        <v>2048</v>
      </c>
      <c r="AF36">
        <v>2049</v>
      </c>
      <c r="AG36">
        <v>2050</v>
      </c>
    </row>
    <row r="37" spans="1:33">
      <c r="A37" t="s">
        <v>106</v>
      </c>
      <c r="B37" s="9">
        <v>2015.1120000000001</v>
      </c>
      <c r="C37" s="9">
        <v>1916.5336243251845</v>
      </c>
      <c r="D37" s="9">
        <v>1800.2297636891185</v>
      </c>
      <c r="E37" s="9">
        <v>1683.9259030530529</v>
      </c>
      <c r="F37" s="9">
        <v>1567.6220424169869</v>
      </c>
      <c r="G37" s="9">
        <v>1451.3181817809213</v>
      </c>
      <c r="H37" s="9">
        <v>1335.0143211448551</v>
      </c>
      <c r="I37" s="9">
        <v>1283.5464964131925</v>
      </c>
      <c r="J37" s="9">
        <v>1232.0786716815298</v>
      </c>
      <c r="K37" s="9">
        <v>1180.610846949867</v>
      </c>
      <c r="L37" s="9">
        <v>1129.1430222182044</v>
      </c>
      <c r="M37" s="9">
        <v>1077.6751974865422</v>
      </c>
      <c r="N37" s="9">
        <v>1063.3597356688515</v>
      </c>
      <c r="O37" s="9">
        <v>1049.0442738511606</v>
      </c>
      <c r="P37" s="9">
        <v>1034.7288120334699</v>
      </c>
      <c r="Q37" s="9">
        <v>1020.413350215779</v>
      </c>
      <c r="R37" s="9">
        <v>1006.0978883980883</v>
      </c>
      <c r="S37" s="9">
        <v>991.78242658039767</v>
      </c>
      <c r="T37" s="9">
        <v>977.46696476270688</v>
      </c>
      <c r="U37" s="9">
        <v>963.15150294501632</v>
      </c>
      <c r="V37" s="9">
        <v>948.83604112732553</v>
      </c>
      <c r="W37" s="9">
        <v>934.52057930963474</v>
      </c>
      <c r="X37" s="9">
        <v>920.20511749194418</v>
      </c>
      <c r="Y37" s="9">
        <v>905.8896556742535</v>
      </c>
      <c r="Z37" s="9">
        <v>891.57419385656272</v>
      </c>
      <c r="AA37" s="9">
        <v>877.25873203887204</v>
      </c>
      <c r="AB37" s="9">
        <v>862.94327022118148</v>
      </c>
      <c r="AC37" s="9">
        <v>848.62780840349069</v>
      </c>
      <c r="AD37" s="9">
        <v>834.31234658580001</v>
      </c>
      <c r="AE37" s="9">
        <v>819.99688476810945</v>
      </c>
      <c r="AF37" s="9">
        <v>805.68142295041866</v>
      </c>
      <c r="AG37" s="9">
        <v>791.36596113272867</v>
      </c>
    </row>
    <row r="38" spans="1:33">
      <c r="A38" t="s">
        <v>69</v>
      </c>
      <c r="B38" s="16" t="s">
        <v>70</v>
      </c>
      <c r="C38" s="15">
        <f>1-(C37/B37)</f>
        <v>4.8919551704726838E-2</v>
      </c>
      <c r="D38" s="15">
        <f>1-(D37/C37)</f>
        <v>6.068448743079935E-2</v>
      </c>
      <c r="E38" s="15">
        <f t="shared" ref="E38" si="80">1-(E37/D37)</f>
        <v>6.4605009305995442E-2</v>
      </c>
      <c r="F38" s="15">
        <f t="shared" ref="F38" si="81">1-(F37/E37)</f>
        <v>6.9067089249711389E-2</v>
      </c>
      <c r="G38" s="15">
        <f t="shared" ref="G38" si="82">1-(G37/F37)</f>
        <v>7.4191263894673343E-2</v>
      </c>
      <c r="H38" s="15">
        <f t="shared" ref="H38" si="83">1-(H37/G37)</f>
        <v>8.0136707509134264E-2</v>
      </c>
      <c r="I38" s="15">
        <f t="shared" ref="I38" si="84">1-(I37/H37)</f>
        <v>3.8552264134159908E-2</v>
      </c>
      <c r="J38" s="15">
        <f t="shared" ref="J38" si="85">1-(J37/I37)</f>
        <v>4.0098138147302786E-2</v>
      </c>
      <c r="K38" s="15">
        <f t="shared" ref="K38" si="86">1-(K37/J37)</f>
        <v>4.1773164258594009E-2</v>
      </c>
      <c r="L38" s="15">
        <f t="shared" ref="L38" si="87">1-(L37/K37)</f>
        <v>4.359423332813761E-2</v>
      </c>
      <c r="M38" s="15">
        <f t="shared" ref="M38" si="88">1-(M37/L37)</f>
        <v>4.5581315846555448E-2</v>
      </c>
      <c r="N38" s="15">
        <f>1-(N37/M37)</f>
        <v>1.3283651559466647E-2</v>
      </c>
      <c r="O38" s="15">
        <f t="shared" ref="O38" si="89">1-(O37/N37)</f>
        <v>1.3462482485935512E-2</v>
      </c>
      <c r="P38" s="15">
        <f t="shared" ref="P38" si="90">1-(P37/O37)</f>
        <v>1.3646194135483847E-2</v>
      </c>
      <c r="Q38" s="15">
        <f t="shared" ref="Q38" si="91">1-(Q37/P37)</f>
        <v>1.3834989082364357E-2</v>
      </c>
      <c r="R38" s="15">
        <f t="shared" ref="R38" si="92">1-(R37/Q37)</f>
        <v>1.4029081268550181E-2</v>
      </c>
      <c r="S38" s="15">
        <f t="shared" ref="S38" si="93">1-(S37/R37)</f>
        <v>1.4228696812477959E-2</v>
      </c>
      <c r="T38" s="15">
        <f t="shared" ref="T38" si="94">1-(T37/S37)</f>
        <v>1.4434074887825554E-2</v>
      </c>
      <c r="U38" s="15">
        <f t="shared" ref="U38" si="95">1-(U37/T37)</f>
        <v>1.4645468679512663E-2</v>
      </c>
      <c r="V38" s="15">
        <f t="shared" ref="V38" si="96">1-(V37/U37)</f>
        <v>1.4863146424958673E-2</v>
      </c>
      <c r="W38" s="15">
        <f t="shared" ref="W38" si="97">1-(W37/V37)</f>
        <v>1.5087392549594125E-2</v>
      </c>
      <c r="X38" s="15">
        <f>1-(X37/W37)</f>
        <v>1.5318508906744355E-2</v>
      </c>
      <c r="Y38" s="15">
        <f t="shared" ref="Y38" si="98">1-(Y37/X37)</f>
        <v>1.5556816133242113E-2</v>
      </c>
      <c r="Z38" s="15">
        <f t="shared" ref="Z38" si="99">1-(Z37/Y37)</f>
        <v>1.5802655133572263E-2</v>
      </c>
      <c r="AA38" s="15">
        <f t="shared" ref="AA38" si="100">1-(AA37/Z37)</f>
        <v>1.6056388706999436E-2</v>
      </c>
      <c r="AB38" s="15">
        <f t="shared" ref="AB38" si="101">1-(AB37/AA37)</f>
        <v>1.6318403334007803E-2</v>
      </c>
      <c r="AC38" s="15">
        <f t="shared" ref="AC38" si="102">1-(AC37/AB37)</f>
        <v>1.6589111140552282E-2</v>
      </c>
      <c r="AD38" s="15">
        <f t="shared" ref="AD38" si="103">1-(AD37/AC37)</f>
        <v>1.6868952061118714E-2</v>
      </c>
      <c r="AE38" s="15">
        <f t="shared" ref="AE38" si="104">1-(AE37/AD37)</f>
        <v>1.7158396224474903E-2</v>
      </c>
      <c r="AF38" s="15">
        <f t="shared" ref="AF38" si="105">1-(AF37/AE37)</f>
        <v>1.7457946589320428E-2</v>
      </c>
      <c r="AG38" s="15">
        <f t="shared" ref="AG38" si="106">1-(AG37/AF37)</f>
        <v>1.7768141860918796E-2</v>
      </c>
    </row>
    <row r="39" spans="1:33">
      <c r="A39" t="s">
        <v>71</v>
      </c>
      <c r="B39" s="9">
        <f>AK16</f>
        <v>2285.6073421801807</v>
      </c>
      <c r="C39" s="9">
        <f>B39*(1-C38)</f>
        <v>2173.7964556276943</v>
      </c>
      <c r="D39" s="9">
        <f t="shared" ref="D39" si="107">C39*(1-D38)</f>
        <v>2041.8807319390394</v>
      </c>
      <c r="E39" s="9">
        <f t="shared" ref="E39" si="108">D39*(1-E38)</f>
        <v>1909.9650082503849</v>
      </c>
      <c r="F39" s="9">
        <f t="shared" ref="F39" si="109">E39*(1-F38)</f>
        <v>1778.0492845617298</v>
      </c>
      <c r="G39" s="9">
        <f t="shared" ref="G39" si="110">F39*(1-G38)</f>
        <v>1646.1335608730753</v>
      </c>
      <c r="H39" s="9">
        <f t="shared" ref="H39" si="111">G39*(1-H38)</f>
        <v>1514.21783718442</v>
      </c>
      <c r="I39" s="9">
        <f t="shared" ref="I39" si="112">H39*(1-I38)</f>
        <v>1455.8413111686298</v>
      </c>
      <c r="J39" s="9">
        <f t="shared" ref="J39" si="113">I39*(1-J38)</f>
        <v>1397.4647851528396</v>
      </c>
      <c r="K39" s="9">
        <f t="shared" ref="K39" si="114">J39*(1-K38)</f>
        <v>1339.0882591370491</v>
      </c>
      <c r="L39" s="9">
        <f t="shared" ref="L39" si="115">K39*(1-L38)</f>
        <v>1280.7117331212589</v>
      </c>
      <c r="M39" s="9">
        <f t="shared" ref="M39" si="116">L39*(1-M38)</f>
        <v>1222.3352071054694</v>
      </c>
      <c r="N39" s="9">
        <f t="shared" ref="N39" si="117">M39*(1-N38)</f>
        <v>1206.0981321254119</v>
      </c>
      <c r="O39" s="9">
        <f t="shared" ref="O39" si="118">N39*(1-O38)</f>
        <v>1189.8610571453539</v>
      </c>
      <c r="P39" s="9">
        <f t="shared" ref="P39" si="119">O39*(1-P38)</f>
        <v>1173.6239821652964</v>
      </c>
      <c r="Q39" s="9">
        <f t="shared" ref="Q39" si="120">P39*(1-Q38)</f>
        <v>1157.3869071852384</v>
      </c>
      <c r="R39" s="9">
        <f t="shared" ref="R39" si="121">Q39*(1-R38)</f>
        <v>1141.1498322051807</v>
      </c>
      <c r="S39" s="9">
        <f t="shared" ref="S39" si="122">R39*(1-S38)</f>
        <v>1124.9127572251232</v>
      </c>
      <c r="T39" s="9">
        <f t="shared" ref="T39" si="123">S39*(1-T38)</f>
        <v>1108.6756822450654</v>
      </c>
      <c r="U39" s="9">
        <f t="shared" ref="U39" si="124">T39*(1-U38)</f>
        <v>1092.4386072650079</v>
      </c>
      <c r="V39" s="9">
        <f t="shared" ref="V39" si="125">U39*(1-V38)</f>
        <v>1076.2015322849502</v>
      </c>
      <c r="W39" s="9">
        <f t="shared" ref="W39" si="126">V39*(1-W38)</f>
        <v>1059.9644573048924</v>
      </c>
      <c r="X39" s="9">
        <f t="shared" ref="X39" si="127">W39*(1-X38)</f>
        <v>1043.7273823248349</v>
      </c>
      <c r="Y39" s="9">
        <f t="shared" ref="Y39" si="128">X39*(1-Y38)</f>
        <v>1027.4903073447774</v>
      </c>
      <c r="Z39" s="9">
        <f t="shared" ref="Z39" si="129">Y39*(1-Z38)</f>
        <v>1011.2532323647197</v>
      </c>
      <c r="AA39" s="9">
        <f t="shared" ref="AA39" si="130">Z39*(1-AA38)</f>
        <v>995.01615738466216</v>
      </c>
      <c r="AB39" s="9">
        <f t="shared" ref="AB39" si="131">AA39*(1-AB38)</f>
        <v>978.77908240460465</v>
      </c>
      <c r="AC39" s="9">
        <f t="shared" ref="AC39" si="132">AB39*(1-AC38)</f>
        <v>962.54200742454691</v>
      </c>
      <c r="AD39" s="9">
        <f t="shared" ref="AD39" si="133">AC39*(1-AD38)</f>
        <v>946.30493244448928</v>
      </c>
      <c r="AE39" s="9">
        <f t="shared" ref="AE39" si="134">AD39*(1-AE38)</f>
        <v>930.06785746443177</v>
      </c>
      <c r="AF39" s="9">
        <f t="shared" ref="AF39" si="135">AE39*(1-AF38)</f>
        <v>913.83078248437403</v>
      </c>
      <c r="AG39" s="9">
        <f t="shared" ref="AG39" si="136">AF39*(1-AG38)</f>
        <v>897.59370750431719</v>
      </c>
    </row>
  </sheetData>
  <mergeCells count="33">
    <mergeCell ref="M12:N12"/>
    <mergeCell ref="M13:N13"/>
    <mergeCell ref="M3:N3"/>
    <mergeCell ref="M4:N4"/>
    <mergeCell ref="M5:N5"/>
    <mergeCell ref="M6:N6"/>
    <mergeCell ref="M7:N7"/>
    <mergeCell ref="Z9:AA9"/>
    <mergeCell ref="M8:N8"/>
    <mergeCell ref="M9:N9"/>
    <mergeCell ref="M10:N10"/>
    <mergeCell ref="M11:N11"/>
    <mergeCell ref="Z4:AA4"/>
    <mergeCell ref="Z5:AA5"/>
    <mergeCell ref="Z6:AA6"/>
    <mergeCell ref="Z7:AA7"/>
    <mergeCell ref="Z8:AA8"/>
    <mergeCell ref="E1:H1"/>
    <mergeCell ref="A18:B19"/>
    <mergeCell ref="A1:C1"/>
    <mergeCell ref="Z16:AA16"/>
    <mergeCell ref="Z2:AA2"/>
    <mergeCell ref="M2:N2"/>
    <mergeCell ref="Z10:AA10"/>
    <mergeCell ref="Z11:AA11"/>
    <mergeCell ref="Z12:AA12"/>
    <mergeCell ref="Z13:AA13"/>
    <mergeCell ref="Z14:AA14"/>
    <mergeCell ref="Z15:AA15"/>
    <mergeCell ref="M14:N14"/>
    <mergeCell ref="M15:N15"/>
    <mergeCell ref="M16:N16"/>
    <mergeCell ref="Z3:AA3"/>
  </mergeCells>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25"/>
  <sheetViews>
    <sheetView workbookViewId="0">
      <selection activeCell="K14" sqref="K14"/>
    </sheetView>
  </sheetViews>
  <sheetFormatPr defaultRowHeight="14.45"/>
  <cols>
    <col min="1" max="1" width="21.7109375" bestFit="1" customWidth="1"/>
    <col min="2" max="2" width="14.85546875" customWidth="1"/>
    <col min="3" max="3" width="12.140625" bestFit="1" customWidth="1"/>
    <col min="4" max="4" width="11.140625" bestFit="1" customWidth="1"/>
    <col min="5" max="5" width="10.28515625" customWidth="1"/>
    <col min="6" max="7" width="12.140625" bestFit="1" customWidth="1"/>
    <col min="8" max="8" width="10.5703125" customWidth="1"/>
    <col min="9" max="9" width="10.28515625" customWidth="1"/>
    <col min="10" max="33" width="9.5703125" bestFit="1" customWidth="1"/>
  </cols>
  <sheetData>
    <row r="1" spans="1:11">
      <c r="A1" s="132" t="s">
        <v>32</v>
      </c>
      <c r="B1" s="131"/>
      <c r="C1" s="131"/>
      <c r="E1" s="131" t="s">
        <v>33</v>
      </c>
      <c r="F1" s="131"/>
    </row>
    <row r="2" spans="1:11" ht="72">
      <c r="A2" s="1"/>
      <c r="B2" s="5" t="s">
        <v>34</v>
      </c>
      <c r="C2" s="7" t="s">
        <v>35</v>
      </c>
      <c r="D2" s="45" t="s">
        <v>36</v>
      </c>
      <c r="E2" s="47" t="s">
        <v>37</v>
      </c>
      <c r="F2" s="45" t="s">
        <v>38</v>
      </c>
      <c r="G2" s="18" t="s">
        <v>41</v>
      </c>
    </row>
    <row r="3" spans="1:11">
      <c r="A3" t="s">
        <v>43</v>
      </c>
      <c r="B3" t="s">
        <v>137</v>
      </c>
      <c r="C3" t="s">
        <v>46</v>
      </c>
      <c r="D3" s="46" t="s">
        <v>45</v>
      </c>
      <c r="E3" s="48" t="s">
        <v>47</v>
      </c>
      <c r="F3" s="46" t="s">
        <v>45</v>
      </c>
      <c r="G3" s="44" t="s">
        <v>45</v>
      </c>
    </row>
    <row r="4" spans="1:11">
      <c r="A4" s="3" t="s">
        <v>86</v>
      </c>
      <c r="B4" s="6" t="s">
        <v>138</v>
      </c>
      <c r="C4" s="6"/>
      <c r="D4" s="79"/>
      <c r="E4" s="63"/>
      <c r="F4" s="79"/>
      <c r="G4" s="6"/>
    </row>
    <row r="5" spans="1:11">
      <c r="A5" s="1" t="s">
        <v>139</v>
      </c>
      <c r="B5" s="94">
        <v>3479</v>
      </c>
      <c r="C5" s="64">
        <f>B5/$B$15</f>
        <v>0.18563577183714849</v>
      </c>
      <c r="D5" s="91">
        <f>$B$23*C5</f>
        <v>829.25565190080943</v>
      </c>
      <c r="E5" s="41">
        <f t="shared" ref="E5:E15" si="0">inf</f>
        <v>2.5000000000000001E-2</v>
      </c>
      <c r="F5" s="91">
        <f>D5*(1+E5)</f>
        <v>849.98704319832962</v>
      </c>
      <c r="G5" s="93">
        <f>F5</f>
        <v>849.98704319832962</v>
      </c>
      <c r="K5" s="5"/>
    </row>
    <row r="6" spans="1:11">
      <c r="A6" s="1" t="s">
        <v>140</v>
      </c>
      <c r="B6" s="94">
        <v>2393</v>
      </c>
      <c r="C6" s="64">
        <f t="shared" ref="C6:C15" si="1">B6/$B$15</f>
        <v>0.12768795688597193</v>
      </c>
      <c r="D6" s="91">
        <f t="shared" ref="D6:D15" si="2">$B$23*C6</f>
        <v>570.39631359546911</v>
      </c>
      <c r="E6" s="41">
        <f t="shared" si="0"/>
        <v>2.5000000000000001E-2</v>
      </c>
      <c r="F6" s="91">
        <f t="shared" ref="F6:F14" si="3">D6*(1+E6)</f>
        <v>584.65622143535575</v>
      </c>
      <c r="G6" s="93">
        <f t="shared" ref="G6:G14" si="4">F6</f>
        <v>584.65622143535575</v>
      </c>
    </row>
    <row r="7" spans="1:11">
      <c r="A7" s="1" t="s">
        <v>91</v>
      </c>
      <c r="B7" s="94">
        <v>1507</v>
      </c>
      <c r="C7" s="64">
        <f t="shared" si="1"/>
        <v>8.0411931060242248E-2</v>
      </c>
      <c r="D7" s="91">
        <f t="shared" si="2"/>
        <v>359.20904495962054</v>
      </c>
      <c r="E7" s="41">
        <f t="shared" si="0"/>
        <v>2.5000000000000001E-2</v>
      </c>
      <c r="F7" s="91">
        <f t="shared" si="3"/>
        <v>368.189271083611</v>
      </c>
      <c r="G7" s="93">
        <f t="shared" si="4"/>
        <v>368.189271083611</v>
      </c>
    </row>
    <row r="8" spans="1:11">
      <c r="A8" s="1" t="s">
        <v>141</v>
      </c>
      <c r="B8" s="94">
        <v>369</v>
      </c>
      <c r="C8" s="64">
        <f t="shared" si="1"/>
        <v>1.9689450936449495E-2</v>
      </c>
      <c r="D8" s="91">
        <f t="shared" si="2"/>
        <v>87.95496854021232</v>
      </c>
      <c r="E8" s="41">
        <f t="shared" si="0"/>
        <v>2.5000000000000001E-2</v>
      </c>
      <c r="F8" s="91">
        <f t="shared" si="3"/>
        <v>90.153842753717626</v>
      </c>
      <c r="G8" s="93">
        <f t="shared" si="4"/>
        <v>90.153842753717626</v>
      </c>
    </row>
    <row r="9" spans="1:11">
      <c r="A9" s="1" t="s">
        <v>142</v>
      </c>
      <c r="B9" s="31">
        <v>535</v>
      </c>
      <c r="C9" s="64">
        <f t="shared" si="1"/>
        <v>2.8547035910570406E-2</v>
      </c>
      <c r="D9" s="91">
        <f t="shared" si="2"/>
        <v>127.5227863658905</v>
      </c>
      <c r="E9" s="41">
        <f t="shared" si="0"/>
        <v>2.5000000000000001E-2</v>
      </c>
      <c r="F9" s="91">
        <f t="shared" si="3"/>
        <v>130.71085602503774</v>
      </c>
      <c r="G9" s="93">
        <f t="shared" si="4"/>
        <v>130.71085602503774</v>
      </c>
    </row>
    <row r="10" spans="1:11">
      <c r="A10" s="1" t="s">
        <v>143</v>
      </c>
      <c r="B10" s="31">
        <v>1560</v>
      </c>
      <c r="C10" s="64">
        <f t="shared" si="1"/>
        <v>8.3239955178485675E-2</v>
      </c>
      <c r="D10" s="91">
        <f t="shared" si="2"/>
        <v>371.84214342203586</v>
      </c>
      <c r="E10" s="41">
        <f t="shared" si="0"/>
        <v>2.5000000000000001E-2</v>
      </c>
      <c r="F10" s="91">
        <f t="shared" si="3"/>
        <v>381.13819700758671</v>
      </c>
      <c r="G10" s="93">
        <f t="shared" si="4"/>
        <v>381.13819700758671</v>
      </c>
    </row>
    <row r="11" spans="1:11">
      <c r="A11" s="1" t="s">
        <v>144</v>
      </c>
      <c r="B11" s="31">
        <v>1209</v>
      </c>
      <c r="C11" s="64">
        <f t="shared" si="1"/>
        <v>6.4510965263326392E-2</v>
      </c>
      <c r="D11" s="91">
        <f t="shared" si="2"/>
        <v>288.17766115207775</v>
      </c>
      <c r="E11" s="41">
        <f t="shared" si="0"/>
        <v>2.5000000000000001E-2</v>
      </c>
      <c r="F11" s="91">
        <f t="shared" si="3"/>
        <v>295.38210268087965</v>
      </c>
      <c r="G11" s="93">
        <f t="shared" si="4"/>
        <v>295.38210268087965</v>
      </c>
    </row>
    <row r="12" spans="1:11">
      <c r="A12" s="1" t="s">
        <v>145</v>
      </c>
      <c r="B12" s="31">
        <v>1940</v>
      </c>
      <c r="C12" s="64">
        <f t="shared" si="1"/>
        <v>0.10351635451683475</v>
      </c>
      <c r="D12" s="91">
        <f t="shared" si="2"/>
        <v>462.41907579407024</v>
      </c>
      <c r="E12" s="41">
        <f t="shared" si="0"/>
        <v>2.5000000000000001E-2</v>
      </c>
      <c r="F12" s="91">
        <f t="shared" si="3"/>
        <v>473.97955268892196</v>
      </c>
      <c r="G12" s="93">
        <f t="shared" si="4"/>
        <v>473.97955268892196</v>
      </c>
    </row>
    <row r="13" spans="1:11">
      <c r="A13" s="1" t="s">
        <v>146</v>
      </c>
      <c r="B13" s="31">
        <v>3829</v>
      </c>
      <c r="C13" s="64">
        <f t="shared" si="1"/>
        <v>0.20431140280668053</v>
      </c>
      <c r="D13" s="91">
        <f t="shared" si="2"/>
        <v>912.68177382242004</v>
      </c>
      <c r="E13" s="41">
        <f t="shared" si="0"/>
        <v>2.5000000000000001E-2</v>
      </c>
      <c r="F13" s="91">
        <f t="shared" si="3"/>
        <v>935.49881816798052</v>
      </c>
      <c r="G13" s="93">
        <f t="shared" si="4"/>
        <v>935.49881816798052</v>
      </c>
    </row>
    <row r="14" spans="1:11">
      <c r="A14" s="3" t="s">
        <v>147</v>
      </c>
      <c r="B14" s="34">
        <v>1920</v>
      </c>
      <c r="C14" s="49">
        <f t="shared" si="1"/>
        <v>0.10244917560429007</v>
      </c>
      <c r="D14" s="90">
        <f t="shared" si="2"/>
        <v>457.65186882712106</v>
      </c>
      <c r="E14" s="50">
        <f t="shared" si="0"/>
        <v>2.5000000000000001E-2</v>
      </c>
      <c r="F14" s="90">
        <f t="shared" si="3"/>
        <v>469.09316554779906</v>
      </c>
      <c r="G14" s="92">
        <f t="shared" si="4"/>
        <v>469.09316554779906</v>
      </c>
    </row>
    <row r="15" spans="1:11">
      <c r="A15" s="1" t="s">
        <v>148</v>
      </c>
      <c r="B15" s="31">
        <v>18741</v>
      </c>
      <c r="C15" s="64">
        <f t="shared" si="1"/>
        <v>1</v>
      </c>
      <c r="D15" s="91">
        <f t="shared" si="2"/>
        <v>4467.1112883797268</v>
      </c>
      <c r="E15" s="41">
        <f t="shared" si="0"/>
        <v>2.5000000000000001E-2</v>
      </c>
      <c r="F15" s="91">
        <f>SUM(F5:F14)</f>
        <v>4578.7890705892196</v>
      </c>
      <c r="G15" s="93">
        <f>SUM(G5:G14)</f>
        <v>4578.7890705892196</v>
      </c>
    </row>
    <row r="19" spans="1:33" ht="14.45" customHeight="1">
      <c r="A19" s="130" t="s">
        <v>67</v>
      </c>
      <c r="B19" s="130"/>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row>
    <row r="20" spans="1:33" ht="14.45" customHeight="1">
      <c r="A20" s="130"/>
      <c r="B20" s="130"/>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2" spans="1:33">
      <c r="A22" t="s">
        <v>12</v>
      </c>
      <c r="B22">
        <v>2019</v>
      </c>
      <c r="C22">
        <v>2020</v>
      </c>
      <c r="D22">
        <v>2021</v>
      </c>
      <c r="E22">
        <v>2022</v>
      </c>
      <c r="F22">
        <v>2023</v>
      </c>
      <c r="G22">
        <v>2024</v>
      </c>
      <c r="H22">
        <v>2025</v>
      </c>
      <c r="I22">
        <v>2026</v>
      </c>
      <c r="J22">
        <v>2027</v>
      </c>
      <c r="K22">
        <v>2028</v>
      </c>
      <c r="L22">
        <v>2029</v>
      </c>
      <c r="M22">
        <v>2030</v>
      </c>
      <c r="N22">
        <v>2031</v>
      </c>
      <c r="O22">
        <v>2032</v>
      </c>
      <c r="P22">
        <v>2033</v>
      </c>
      <c r="Q22">
        <v>2034</v>
      </c>
      <c r="R22">
        <v>2035</v>
      </c>
      <c r="S22">
        <v>2036</v>
      </c>
      <c r="T22">
        <v>2037</v>
      </c>
      <c r="U22">
        <v>2038</v>
      </c>
      <c r="V22">
        <v>2039</v>
      </c>
      <c r="W22">
        <v>2040</v>
      </c>
      <c r="X22">
        <v>2041</v>
      </c>
      <c r="Y22">
        <v>2042</v>
      </c>
      <c r="Z22">
        <v>2043</v>
      </c>
      <c r="AA22">
        <v>2044</v>
      </c>
      <c r="AB22">
        <v>2045</v>
      </c>
      <c r="AC22">
        <v>2046</v>
      </c>
      <c r="AD22">
        <v>2047</v>
      </c>
      <c r="AE22">
        <v>2048</v>
      </c>
      <c r="AF22">
        <v>2049</v>
      </c>
      <c r="AG22">
        <v>2050</v>
      </c>
    </row>
    <row r="23" spans="1:33">
      <c r="A23" t="s">
        <v>106</v>
      </c>
      <c r="B23" s="9">
        <v>4467.1112883797268</v>
      </c>
      <c r="C23" s="9">
        <v>4213.2443793560351</v>
      </c>
      <c r="D23" s="9">
        <v>3983.015534199219</v>
      </c>
      <c r="E23" s="9">
        <v>3752.3993831827329</v>
      </c>
      <c r="F23" s="9">
        <v>3543.0500312013637</v>
      </c>
      <c r="G23" s="9">
        <v>3350.4969412934415</v>
      </c>
      <c r="H23" s="9">
        <v>3171.1764703775962</v>
      </c>
      <c r="I23" s="9">
        <v>3070.3818983610995</v>
      </c>
      <c r="J23" s="9">
        <v>2980.2894024424604</v>
      </c>
      <c r="K23" s="9">
        <v>2901.6633883057339</v>
      </c>
      <c r="L23" s="9">
        <v>2825.0793566239859</v>
      </c>
      <c r="M23" s="9">
        <v>2755.5048675774774</v>
      </c>
      <c r="N23" s="9">
        <v>2721.0610567327603</v>
      </c>
      <c r="O23" s="9">
        <v>2686.6172458880419</v>
      </c>
      <c r="P23" s="9">
        <v>2652.1734350433226</v>
      </c>
      <c r="Q23" s="9">
        <v>2617.7296241986037</v>
      </c>
      <c r="R23" s="9">
        <v>2583.2858133538844</v>
      </c>
      <c r="S23" s="9">
        <v>2548.8420025091668</v>
      </c>
      <c r="T23" s="9">
        <v>2514.3981916644479</v>
      </c>
      <c r="U23" s="9">
        <v>2479.9543808197295</v>
      </c>
      <c r="V23" s="9">
        <v>2445.5105699750115</v>
      </c>
      <c r="W23" s="9">
        <v>2411.0667591302931</v>
      </c>
      <c r="X23" s="9">
        <v>2376.6229482855742</v>
      </c>
      <c r="Y23" s="9">
        <v>2342.1791374408554</v>
      </c>
      <c r="Z23" s="9">
        <v>2307.7353265961369</v>
      </c>
      <c r="AA23" s="9">
        <v>2273.291515751419</v>
      </c>
      <c r="AB23" s="9">
        <v>2238.847704906701</v>
      </c>
      <c r="AC23" s="9">
        <v>2204.4038940619816</v>
      </c>
      <c r="AD23" s="9">
        <v>2169.9600832172628</v>
      </c>
      <c r="AE23" s="9">
        <v>2135.5162723725452</v>
      </c>
      <c r="AF23" s="9">
        <v>2101.0724615278268</v>
      </c>
      <c r="AG23" s="9">
        <v>2066.6286506831084</v>
      </c>
    </row>
    <row r="24" spans="1:33">
      <c r="A24" t="s">
        <v>69</v>
      </c>
      <c r="B24" s="16" t="s">
        <v>70</v>
      </c>
      <c r="C24" s="15">
        <f>1-(C23/B23)</f>
        <v>5.683021815106204E-2</v>
      </c>
      <c r="D24" s="15">
        <f t="shared" ref="D24:AG24" si="5">1-(D23/C23)</f>
        <v>5.4644075782759316E-2</v>
      </c>
      <c r="E24" s="15">
        <f t="shared" si="5"/>
        <v>5.7899887418553897E-2</v>
      </c>
      <c r="F24" s="15">
        <f t="shared" si="5"/>
        <v>5.5790796928391395E-2</v>
      </c>
      <c r="G24" s="15">
        <f t="shared" si="5"/>
        <v>5.4346703606280133E-2</v>
      </c>
      <c r="H24" s="15">
        <f t="shared" si="5"/>
        <v>5.3520559504411813E-2</v>
      </c>
      <c r="I24" s="15">
        <f t="shared" si="5"/>
        <v>3.1784598857248381E-2</v>
      </c>
      <c r="J24" s="15">
        <f t="shared" si="5"/>
        <v>2.9342439768397677E-2</v>
      </c>
      <c r="K24" s="15">
        <f t="shared" si="5"/>
        <v>2.6382006415984094E-2</v>
      </c>
      <c r="L24" s="15">
        <f t="shared" si="5"/>
        <v>2.6393148147506151E-2</v>
      </c>
      <c r="M24" s="15">
        <f t="shared" si="5"/>
        <v>2.4627445909926937E-2</v>
      </c>
      <c r="N24" s="15">
        <f t="shared" si="5"/>
        <v>1.2499999999999512E-2</v>
      </c>
      <c r="O24" s="15">
        <f t="shared" si="5"/>
        <v>1.2658227848101222E-2</v>
      </c>
      <c r="P24" s="15">
        <f t="shared" si="5"/>
        <v>1.2820512820513108E-2</v>
      </c>
      <c r="Q24" s="15">
        <f t="shared" si="5"/>
        <v>1.2987012987013102E-2</v>
      </c>
      <c r="R24" s="15">
        <f t="shared" si="5"/>
        <v>1.3157894736842479E-2</v>
      </c>
      <c r="S24" s="15">
        <f t="shared" si="5"/>
        <v>1.3333333333332975E-2</v>
      </c>
      <c r="T24" s="15">
        <f t="shared" si="5"/>
        <v>1.3513513513513709E-2</v>
      </c>
      <c r="U24" s="15">
        <f t="shared" si="5"/>
        <v>1.3698630136986245E-2</v>
      </c>
      <c r="V24" s="15">
        <f t="shared" si="5"/>
        <v>1.3888888888888729E-2</v>
      </c>
      <c r="W24" s="15">
        <f t="shared" si="5"/>
        <v>1.4084507042253502E-2</v>
      </c>
      <c r="X24" s="15">
        <f t="shared" si="5"/>
        <v>1.4285714285714457E-2</v>
      </c>
      <c r="Y24" s="15">
        <f t="shared" si="5"/>
        <v>1.4492753623188581E-2</v>
      </c>
      <c r="Z24" s="15">
        <f t="shared" si="5"/>
        <v>1.4705882352941124E-2</v>
      </c>
      <c r="AA24" s="15">
        <f t="shared" si="5"/>
        <v>1.4925373134328179E-2</v>
      </c>
      <c r="AB24" s="15">
        <f t="shared" si="5"/>
        <v>1.5151515151514916E-2</v>
      </c>
      <c r="AC24" s="15">
        <f t="shared" si="5"/>
        <v>1.5384615384615774E-2</v>
      </c>
      <c r="AD24" s="15">
        <f t="shared" si="5"/>
        <v>1.5625000000000222E-2</v>
      </c>
      <c r="AE24" s="15">
        <f t="shared" si="5"/>
        <v>1.5873015873015484E-2</v>
      </c>
      <c r="AF24" s="15">
        <f t="shared" si="5"/>
        <v>1.6129032258064502E-2</v>
      </c>
      <c r="AG24" s="15">
        <f t="shared" si="5"/>
        <v>1.6393442622950838E-2</v>
      </c>
    </row>
    <row r="25" spans="1:33">
      <c r="A25" t="s">
        <v>71</v>
      </c>
      <c r="B25" s="9">
        <f>G15</f>
        <v>4578.7890705892196</v>
      </c>
      <c r="C25" s="9">
        <f>B25*(1-C24)</f>
        <v>4318.575488839936</v>
      </c>
      <c r="D25" s="9">
        <f t="shared" ref="D25:AG25" si="6">C25*(1-D24)</f>
        <v>4082.5909225541996</v>
      </c>
      <c r="E25" s="9">
        <f t="shared" si="6"/>
        <v>3846.2093677623011</v>
      </c>
      <c r="F25" s="9">
        <f t="shared" si="6"/>
        <v>3631.6262819813978</v>
      </c>
      <c r="G25" s="9">
        <f t="shared" si="6"/>
        <v>3434.2593648257775</v>
      </c>
      <c r="H25" s="9">
        <f t="shared" si="6"/>
        <v>3250.455882137036</v>
      </c>
      <c r="I25" s="9">
        <f t="shared" si="6"/>
        <v>3147.141445820127</v>
      </c>
      <c r="J25" s="9">
        <f t="shared" si="6"/>
        <v>3054.7966375035221</v>
      </c>
      <c r="K25" s="9">
        <f t="shared" si="6"/>
        <v>2974.2049730133776</v>
      </c>
      <c r="L25" s="9">
        <f t="shared" si="6"/>
        <v>2895.7063405395861</v>
      </c>
      <c r="M25" s="9">
        <f t="shared" si="6"/>
        <v>2824.3924892669152</v>
      </c>
      <c r="N25" s="9">
        <f t="shared" si="6"/>
        <v>2789.0875831510803</v>
      </c>
      <c r="O25" s="9">
        <f t="shared" si="6"/>
        <v>2753.782677035244</v>
      </c>
      <c r="P25" s="9">
        <f t="shared" si="6"/>
        <v>2718.4777709194068</v>
      </c>
      <c r="Q25" s="9">
        <f t="shared" si="6"/>
        <v>2683.1728648035701</v>
      </c>
      <c r="R25" s="9">
        <f t="shared" si="6"/>
        <v>2647.8679586877324</v>
      </c>
      <c r="S25" s="9">
        <f t="shared" si="6"/>
        <v>2612.5630525718971</v>
      </c>
      <c r="T25" s="9">
        <f t="shared" si="6"/>
        <v>2577.2581464560603</v>
      </c>
      <c r="U25" s="9">
        <f t="shared" si="6"/>
        <v>2541.9532403402241</v>
      </c>
      <c r="V25" s="9">
        <f t="shared" si="6"/>
        <v>2506.6483342243882</v>
      </c>
      <c r="W25" s="9">
        <f t="shared" si="6"/>
        <v>2471.343428108552</v>
      </c>
      <c r="X25" s="9">
        <f t="shared" si="6"/>
        <v>2436.0385219927152</v>
      </c>
      <c r="Y25" s="9">
        <f t="shared" si="6"/>
        <v>2400.7336158768785</v>
      </c>
      <c r="Z25" s="9">
        <f t="shared" si="6"/>
        <v>2365.4287097610422</v>
      </c>
      <c r="AA25" s="9">
        <f t="shared" si="6"/>
        <v>2330.1238036452064</v>
      </c>
      <c r="AB25" s="9">
        <f t="shared" si="6"/>
        <v>2294.8188975293706</v>
      </c>
      <c r="AC25" s="9">
        <f t="shared" si="6"/>
        <v>2259.5139914135334</v>
      </c>
      <c r="AD25" s="9">
        <f t="shared" si="6"/>
        <v>2224.2090852976962</v>
      </c>
      <c r="AE25" s="9">
        <f t="shared" si="6"/>
        <v>2188.9041791818609</v>
      </c>
      <c r="AF25" s="9">
        <f t="shared" si="6"/>
        <v>2153.5992730660246</v>
      </c>
      <c r="AG25" s="9">
        <f t="shared" si="6"/>
        <v>2118.2943669501879</v>
      </c>
    </row>
  </sheetData>
  <mergeCells count="3">
    <mergeCell ref="A1:C1"/>
    <mergeCell ref="E1:F1"/>
    <mergeCell ref="A19:B20"/>
  </mergeCells>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68"/>
  <sheetViews>
    <sheetView topLeftCell="B7" workbookViewId="0">
      <selection activeCell="E67" sqref="E67"/>
    </sheetView>
  </sheetViews>
  <sheetFormatPr defaultRowHeight="14.45"/>
  <cols>
    <col min="1" max="1" width="28.140625" bestFit="1" customWidth="1"/>
    <col min="2" max="2" width="30.140625" bestFit="1" customWidth="1"/>
    <col min="3" max="3" width="22.5703125" customWidth="1"/>
    <col min="4" max="4" width="10.5703125" bestFit="1" customWidth="1"/>
    <col min="5" max="5" width="17.42578125" bestFit="1" customWidth="1"/>
    <col min="6" max="7" width="10.5703125" bestFit="1" customWidth="1"/>
    <col min="8" max="8" width="30.140625" bestFit="1" customWidth="1"/>
    <col min="9" max="9" width="22.5703125" customWidth="1"/>
    <col min="10" max="10" width="10.5703125" bestFit="1" customWidth="1"/>
    <col min="11" max="11" width="17.42578125" bestFit="1" customWidth="1"/>
    <col min="12" max="13" width="10.5703125" bestFit="1" customWidth="1"/>
    <col min="14" max="14" width="30.140625" bestFit="1" customWidth="1"/>
    <col min="15" max="15" width="22.5703125" customWidth="1"/>
    <col min="16" max="16" width="10.28515625" bestFit="1" customWidth="1"/>
    <col min="17" max="17" width="17.42578125" bestFit="1" customWidth="1"/>
    <col min="18" max="33" width="9.5703125" bestFit="1" customWidth="1"/>
  </cols>
  <sheetData>
    <row r="1" spans="2:17">
      <c r="B1" s="119" t="s">
        <v>21</v>
      </c>
      <c r="C1" s="35"/>
      <c r="D1" s="119" t="s">
        <v>149</v>
      </c>
      <c r="E1" s="121">
        <f>1- SUM(E30,E12)/SUM(C30,C12)</f>
        <v>8.8619148539192061E-2</v>
      </c>
      <c r="H1" s="119" t="s">
        <v>22</v>
      </c>
      <c r="I1" s="35"/>
      <c r="J1" s="119" t="s">
        <v>149</v>
      </c>
      <c r="K1" s="121">
        <f>1- SUM(K27,K12)/SUM(I27,I12)</f>
        <v>7.8933323581541148E-2</v>
      </c>
      <c r="N1" s="119" t="s">
        <v>23</v>
      </c>
      <c r="O1" s="35"/>
      <c r="P1" s="119" t="s">
        <v>149</v>
      </c>
      <c r="Q1" s="121">
        <f>1- SUM(Q30,Q12,Q45)/SUM(O30,O12,O45)</f>
        <v>8.8677687742700018E-2</v>
      </c>
    </row>
    <row r="3" spans="2:17">
      <c r="B3" s="28" t="s">
        <v>150</v>
      </c>
      <c r="C3" s="28" t="s">
        <v>151</v>
      </c>
      <c r="D3" s="28" t="s">
        <v>152</v>
      </c>
      <c r="E3" s="28" t="s">
        <v>153</v>
      </c>
      <c r="H3" s="28" t="s">
        <v>150</v>
      </c>
      <c r="I3" s="28" t="s">
        <v>151</v>
      </c>
      <c r="J3" s="28" t="s">
        <v>152</v>
      </c>
      <c r="K3" s="28" t="s">
        <v>153</v>
      </c>
      <c r="N3" s="28" t="s">
        <v>150</v>
      </c>
      <c r="O3" s="28" t="s">
        <v>151</v>
      </c>
      <c r="P3" s="28" t="s">
        <v>152</v>
      </c>
      <c r="Q3" s="28" t="s">
        <v>153</v>
      </c>
    </row>
    <row r="4" spans="2:17">
      <c r="B4" t="s">
        <v>123</v>
      </c>
      <c r="C4" s="9">
        <f>Battery_Utility!$X8</f>
        <v>755.58277097988309</v>
      </c>
      <c r="D4">
        <v>0</v>
      </c>
      <c r="E4" s="9">
        <f>C4*(1-D4)</f>
        <v>755.58277097988309</v>
      </c>
      <c r="H4" t="s">
        <v>123</v>
      </c>
      <c r="I4" s="9">
        <f>Battery_Utility!$X8</f>
        <v>755.58277097988309</v>
      </c>
      <c r="J4">
        <v>0</v>
      </c>
      <c r="K4" s="9">
        <f>I4*(1-J4)</f>
        <v>755.58277097988309</v>
      </c>
      <c r="N4" t="s">
        <v>123</v>
      </c>
      <c r="O4" s="9">
        <f>Battery_Utility!$X8</f>
        <v>755.58277097988309</v>
      </c>
      <c r="P4">
        <v>0</v>
      </c>
      <c r="Q4" s="9">
        <f>O4*(1-P4)</f>
        <v>755.58277097988309</v>
      </c>
    </row>
    <row r="5" spans="2:17">
      <c r="B5" t="s">
        <v>125</v>
      </c>
      <c r="C5" s="9">
        <f>Battery_Utility!$X9</f>
        <v>145.01083483452305</v>
      </c>
      <c r="D5">
        <v>0</v>
      </c>
      <c r="E5" s="9">
        <f t="shared" ref="E5:E11" si="0">C5*(1-D5)</f>
        <v>145.01083483452305</v>
      </c>
      <c r="H5" t="s">
        <v>125</v>
      </c>
      <c r="I5" s="9">
        <f>Battery_Utility!$X9</f>
        <v>145.01083483452305</v>
      </c>
      <c r="J5">
        <v>0</v>
      </c>
      <c r="K5" s="9">
        <f t="shared" ref="K5:K11" si="1">I5*(1-J5)</f>
        <v>145.01083483452305</v>
      </c>
      <c r="N5" t="s">
        <v>125</v>
      </c>
      <c r="O5" s="9">
        <f>Battery_Utility!$X9</f>
        <v>145.01083483452305</v>
      </c>
      <c r="P5">
        <v>0</v>
      </c>
      <c r="Q5" s="9">
        <f t="shared" ref="Q5:Q11" si="2">O5*(1-P5)</f>
        <v>145.01083483452305</v>
      </c>
    </row>
    <row r="6" spans="2:17">
      <c r="B6" t="s">
        <v>126</v>
      </c>
      <c r="C6" s="9">
        <f>Battery_Utility!$X10</f>
        <v>60.103174964308892</v>
      </c>
      <c r="D6">
        <v>0</v>
      </c>
      <c r="E6" s="9">
        <f t="shared" si="0"/>
        <v>60.103174964308892</v>
      </c>
      <c r="H6" t="s">
        <v>126</v>
      </c>
      <c r="I6" s="9">
        <f>Battery_Utility!$X10</f>
        <v>60.103174964308892</v>
      </c>
      <c r="J6">
        <v>0</v>
      </c>
      <c r="K6" s="9">
        <f t="shared" si="1"/>
        <v>60.103174964308892</v>
      </c>
      <c r="N6" t="s">
        <v>126</v>
      </c>
      <c r="O6" s="9">
        <f>Battery_Utility!$X10</f>
        <v>60.103174964308892</v>
      </c>
      <c r="P6">
        <v>0</v>
      </c>
      <c r="Q6" s="9">
        <f t="shared" si="2"/>
        <v>60.103174964308892</v>
      </c>
    </row>
    <row r="7" spans="2:17">
      <c r="B7" t="s">
        <v>127</v>
      </c>
      <c r="C7" s="9">
        <f>Battery_Utility!$X11</f>
        <v>1.9080373004542506</v>
      </c>
      <c r="D7">
        <v>0</v>
      </c>
      <c r="E7" s="9">
        <f t="shared" si="0"/>
        <v>1.9080373004542506</v>
      </c>
      <c r="H7" t="s">
        <v>127</v>
      </c>
      <c r="I7" s="9">
        <f>Battery_Utility!$X11</f>
        <v>1.9080373004542506</v>
      </c>
      <c r="J7">
        <v>0</v>
      </c>
      <c r="K7" s="9">
        <f t="shared" si="1"/>
        <v>1.9080373004542506</v>
      </c>
      <c r="N7" t="s">
        <v>127</v>
      </c>
      <c r="O7" s="9">
        <f>Battery_Utility!$X11</f>
        <v>1.9080373004542506</v>
      </c>
      <c r="P7">
        <v>0</v>
      </c>
      <c r="Q7" s="9">
        <f t="shared" si="2"/>
        <v>1.9080373004542506</v>
      </c>
    </row>
    <row r="8" spans="2:17">
      <c r="B8" t="s">
        <v>128</v>
      </c>
      <c r="C8" s="9">
        <f>Battery_Utility!$X12</f>
        <v>167.90728243997407</v>
      </c>
      <c r="D8">
        <v>0.5</v>
      </c>
      <c r="E8" s="9">
        <f t="shared" si="0"/>
        <v>83.953641219987034</v>
      </c>
      <c r="H8" t="s">
        <v>128</v>
      </c>
      <c r="I8" s="9">
        <f>Battery_Utility!$X12</f>
        <v>167.90728243997407</v>
      </c>
      <c r="J8">
        <v>0.5</v>
      </c>
      <c r="K8" s="9">
        <f t="shared" si="1"/>
        <v>83.953641219987034</v>
      </c>
      <c r="N8" t="s">
        <v>128</v>
      </c>
      <c r="O8" s="9">
        <f>Battery_Utility!$X12</f>
        <v>167.90728243997407</v>
      </c>
      <c r="P8">
        <v>0.5</v>
      </c>
      <c r="Q8" s="9">
        <f t="shared" si="2"/>
        <v>83.953641219987034</v>
      </c>
    </row>
    <row r="9" spans="2:17">
      <c r="B9" t="s">
        <v>129</v>
      </c>
      <c r="C9" s="9">
        <f>Battery_Utility!$X13</f>
        <v>202.25195384815055</v>
      </c>
      <c r="D9">
        <v>0</v>
      </c>
      <c r="E9" s="9">
        <f t="shared" si="0"/>
        <v>202.25195384815055</v>
      </c>
      <c r="H9" t="s">
        <v>129</v>
      </c>
      <c r="I9" s="9">
        <f>Battery_Utility!$X13</f>
        <v>202.25195384815055</v>
      </c>
      <c r="J9">
        <v>0</v>
      </c>
      <c r="K9" s="9">
        <f t="shared" si="1"/>
        <v>202.25195384815055</v>
      </c>
      <c r="N9" t="s">
        <v>129</v>
      </c>
      <c r="O9" s="9">
        <f>Battery_Utility!$X13</f>
        <v>202.25195384815055</v>
      </c>
      <c r="P9">
        <v>0</v>
      </c>
      <c r="Q9" s="9">
        <f t="shared" si="2"/>
        <v>202.25195384815055</v>
      </c>
    </row>
    <row r="10" spans="2:17">
      <c r="B10" t="s">
        <v>130</v>
      </c>
      <c r="C10" s="9">
        <f>Battery_Utility!$X14</f>
        <v>240.41269985723557</v>
      </c>
      <c r="D10">
        <v>0</v>
      </c>
      <c r="E10" s="9">
        <f t="shared" si="0"/>
        <v>240.41269985723557</v>
      </c>
      <c r="H10" t="s">
        <v>130</v>
      </c>
      <c r="I10" s="9">
        <f>Battery_Utility!$X14</f>
        <v>240.41269985723557</v>
      </c>
      <c r="J10">
        <v>0</v>
      </c>
      <c r="K10" s="9">
        <f t="shared" si="1"/>
        <v>240.41269985723557</v>
      </c>
      <c r="N10" t="s">
        <v>130</v>
      </c>
      <c r="O10" s="9">
        <f>Battery_Utility!$X14</f>
        <v>240.41269985723557</v>
      </c>
      <c r="P10">
        <v>0</v>
      </c>
      <c r="Q10" s="9">
        <f t="shared" si="2"/>
        <v>240.41269985723557</v>
      </c>
    </row>
    <row r="11" spans="2:17">
      <c r="B11" t="s">
        <v>131</v>
      </c>
      <c r="C11" s="9">
        <f>Battery_Utility!$X15</f>
        <v>60.747039671209166</v>
      </c>
      <c r="D11">
        <v>0.5</v>
      </c>
      <c r="E11" s="9">
        <f t="shared" si="0"/>
        <v>30.373519835604583</v>
      </c>
      <c r="H11" t="s">
        <v>131</v>
      </c>
      <c r="I11" s="9">
        <f>Battery_Utility!$X15</f>
        <v>60.747039671209166</v>
      </c>
      <c r="J11">
        <v>0.5</v>
      </c>
      <c r="K11" s="9">
        <f t="shared" si="1"/>
        <v>30.373519835604583</v>
      </c>
      <c r="N11" t="s">
        <v>131</v>
      </c>
      <c r="O11" s="9">
        <f>Battery_Utility!$X15</f>
        <v>60.747039671209166</v>
      </c>
      <c r="P11">
        <v>0.5</v>
      </c>
      <c r="Q11" s="9">
        <f t="shared" si="2"/>
        <v>30.373519835604583</v>
      </c>
    </row>
    <row r="12" spans="2:17">
      <c r="B12" s="19" t="s">
        <v>80</v>
      </c>
      <c r="C12" s="20">
        <f>SUM(C4:C11)</f>
        <v>1633.9237938957388</v>
      </c>
      <c r="D12" s="19"/>
      <c r="E12" s="20">
        <f>SUM(E4:E11)</f>
        <v>1519.5966328401471</v>
      </c>
      <c r="H12" s="19" t="s">
        <v>80</v>
      </c>
      <c r="I12" s="20">
        <f>SUM(I4:I11)</f>
        <v>1633.9237938957388</v>
      </c>
      <c r="J12" s="19"/>
      <c r="K12" s="20">
        <f>SUM(K4:K11)</f>
        <v>1519.5966328401471</v>
      </c>
      <c r="N12" s="19" t="s">
        <v>80</v>
      </c>
      <c r="O12" s="20">
        <f>SUM(O4:O11)</f>
        <v>1633.9237938957388</v>
      </c>
      <c r="P12" s="19"/>
      <c r="Q12" s="20">
        <f>SUM(Q4:Q11)</f>
        <v>1519.5966328401471</v>
      </c>
    </row>
    <row r="13" spans="2:17">
      <c r="E13" s="9"/>
      <c r="K13" s="9"/>
      <c r="Q13" s="9"/>
    </row>
    <row r="14" spans="2:17">
      <c r="E14" s="9"/>
      <c r="K14" s="9"/>
      <c r="Q14" s="9"/>
    </row>
    <row r="15" spans="2:17">
      <c r="B15" s="28" t="s">
        <v>154</v>
      </c>
      <c r="C15" s="28" t="s">
        <v>151</v>
      </c>
      <c r="D15" s="28" t="s">
        <v>152</v>
      </c>
      <c r="E15" s="67" t="s">
        <v>153</v>
      </c>
      <c r="H15" s="28" t="s">
        <v>155</v>
      </c>
      <c r="I15" s="28" t="s">
        <v>151</v>
      </c>
      <c r="J15" s="28" t="s">
        <v>152</v>
      </c>
      <c r="K15" s="67" t="s">
        <v>153</v>
      </c>
      <c r="N15" s="28" t="s">
        <v>154</v>
      </c>
      <c r="O15" s="28" t="s">
        <v>151</v>
      </c>
      <c r="P15" s="28" t="s">
        <v>152</v>
      </c>
      <c r="Q15" s="67" t="s">
        <v>153</v>
      </c>
    </row>
    <row r="16" spans="2:17">
      <c r="B16" t="s">
        <v>88</v>
      </c>
      <c r="C16" s="9">
        <f>Solar_Utility!I5</f>
        <v>578.8462062774463</v>
      </c>
      <c r="D16">
        <v>0</v>
      </c>
      <c r="E16" s="9">
        <f>C16*(1-D16)</f>
        <v>578.8462062774463</v>
      </c>
      <c r="H16" t="s">
        <v>73</v>
      </c>
      <c r="I16" s="9">
        <f>'Onshore Wind'!I6</f>
        <v>294.17499999999995</v>
      </c>
      <c r="J16">
        <v>0</v>
      </c>
      <c r="K16" s="9">
        <f t="shared" ref="K16:K26" si="3">I16*(1-J16)</f>
        <v>294.17499999999995</v>
      </c>
      <c r="N16" t="s">
        <v>88</v>
      </c>
      <c r="O16" s="9">
        <f>C16</f>
        <v>578.8462062774463</v>
      </c>
      <c r="P16">
        <v>0</v>
      </c>
      <c r="Q16" s="9">
        <f>O16*(1-P16)</f>
        <v>578.8462062774463</v>
      </c>
    </row>
    <row r="17" spans="2:17">
      <c r="B17" t="s">
        <v>89</v>
      </c>
      <c r="C17" s="9">
        <f>Solar_Utility!I6</f>
        <v>70.591000765542233</v>
      </c>
      <c r="D17">
        <v>0</v>
      </c>
      <c r="E17" s="9">
        <f t="shared" ref="E17:E29" si="4">C17*(1-D17)</f>
        <v>70.591000765542233</v>
      </c>
      <c r="H17" t="s">
        <v>74</v>
      </c>
      <c r="I17" s="9">
        <f>'Onshore Wind'!I7</f>
        <v>500.19999999999987</v>
      </c>
      <c r="J17">
        <v>0</v>
      </c>
      <c r="K17" s="9">
        <f t="shared" si="3"/>
        <v>500.19999999999987</v>
      </c>
      <c r="N17" t="s">
        <v>89</v>
      </c>
      <c r="O17" s="9">
        <f t="shared" ref="O17:O29" si="5">C17</f>
        <v>70.591000765542233</v>
      </c>
      <c r="P17">
        <v>0</v>
      </c>
      <c r="Q17" s="9">
        <f t="shared" ref="Q17:Q29" si="6">O17*(1-P17)</f>
        <v>70.591000765542233</v>
      </c>
    </row>
    <row r="18" spans="2:17">
      <c r="B18" t="s">
        <v>90</v>
      </c>
      <c r="C18" s="9">
        <f>Solar_Utility!I7</f>
        <v>169.41840183730133</v>
      </c>
      <c r="D18">
        <v>0</v>
      </c>
      <c r="E18" s="9">
        <f t="shared" si="4"/>
        <v>169.41840183730133</v>
      </c>
      <c r="H18" t="s">
        <v>75</v>
      </c>
      <c r="I18" s="9">
        <f>'Onshore Wind'!I8</f>
        <v>220.37499999999994</v>
      </c>
      <c r="J18">
        <v>0</v>
      </c>
      <c r="K18" s="9">
        <f t="shared" si="3"/>
        <v>220.37499999999994</v>
      </c>
      <c r="N18" t="s">
        <v>90</v>
      </c>
      <c r="O18" s="9">
        <f t="shared" si="5"/>
        <v>169.41840183730133</v>
      </c>
      <c r="P18">
        <v>0</v>
      </c>
      <c r="Q18" s="9">
        <f t="shared" si="6"/>
        <v>169.41840183730133</v>
      </c>
    </row>
    <row r="19" spans="2:17">
      <c r="B19" t="s">
        <v>91</v>
      </c>
      <c r="C19" s="9">
        <f>Solar_Utility!I8</f>
        <v>98.827401071759127</v>
      </c>
      <c r="D19">
        <v>0</v>
      </c>
      <c r="E19" s="9">
        <f t="shared" si="4"/>
        <v>98.827401071759127</v>
      </c>
      <c r="H19" t="s">
        <v>77</v>
      </c>
      <c r="I19" s="9">
        <f>'Onshore Wind'!I11</f>
        <v>16.399999999999999</v>
      </c>
      <c r="J19">
        <v>0.5</v>
      </c>
      <c r="K19" s="9">
        <f t="shared" si="3"/>
        <v>8.1999999999999993</v>
      </c>
      <c r="N19" t="s">
        <v>91</v>
      </c>
      <c r="O19" s="9">
        <f t="shared" si="5"/>
        <v>98.827401071759127</v>
      </c>
      <c r="P19">
        <v>0</v>
      </c>
      <c r="Q19" s="9">
        <f t="shared" si="6"/>
        <v>98.827401071759127</v>
      </c>
    </row>
    <row r="20" spans="2:17">
      <c r="B20" t="s">
        <v>93</v>
      </c>
      <c r="C20" s="9">
        <f>Solar_Utility!I10</f>
        <v>155.3002016841929</v>
      </c>
      <c r="D20">
        <v>0.5</v>
      </c>
      <c r="E20" s="9">
        <f t="shared" si="4"/>
        <v>77.65010084209645</v>
      </c>
      <c r="H20" t="s">
        <v>53</v>
      </c>
      <c r="I20" s="9">
        <f>'Onshore Wind'!I12</f>
        <v>18.45</v>
      </c>
      <c r="J20">
        <v>0.5</v>
      </c>
      <c r="K20" s="9">
        <f t="shared" si="3"/>
        <v>9.2249999999999996</v>
      </c>
      <c r="N20" t="s">
        <v>93</v>
      </c>
      <c r="O20" s="9">
        <f t="shared" si="5"/>
        <v>155.3002016841929</v>
      </c>
      <c r="P20">
        <v>0.5</v>
      </c>
      <c r="Q20" s="9">
        <f t="shared" si="6"/>
        <v>77.65010084209645</v>
      </c>
    </row>
    <row r="21" spans="2:17">
      <c r="B21" t="s">
        <v>94</v>
      </c>
      <c r="C21" s="9">
        <f>Solar_Utility!I11</f>
        <v>84.709200918650666</v>
      </c>
      <c r="D21">
        <v>0.5</v>
      </c>
      <c r="E21" s="9">
        <f t="shared" si="4"/>
        <v>42.354600459325333</v>
      </c>
      <c r="H21" t="s">
        <v>78</v>
      </c>
      <c r="I21" s="9">
        <f>'Onshore Wind'!I13</f>
        <v>60.474999999999987</v>
      </c>
      <c r="J21">
        <v>0</v>
      </c>
      <c r="K21" s="9">
        <f t="shared" si="3"/>
        <v>60.474999999999987</v>
      </c>
      <c r="N21" t="s">
        <v>94</v>
      </c>
      <c r="O21" s="9">
        <f t="shared" si="5"/>
        <v>84.709200918650666</v>
      </c>
      <c r="P21">
        <v>0.5</v>
      </c>
      <c r="Q21" s="9">
        <f t="shared" si="6"/>
        <v>42.354600459325333</v>
      </c>
    </row>
    <row r="22" spans="2:17">
      <c r="B22" t="s">
        <v>95</v>
      </c>
      <c r="C22" s="9">
        <f>Solar_Utility!I12</f>
        <v>56.47280061243378</v>
      </c>
      <c r="D22">
        <v>0</v>
      </c>
      <c r="E22" s="9">
        <f t="shared" si="4"/>
        <v>56.47280061243378</v>
      </c>
      <c r="H22" t="s">
        <v>79</v>
      </c>
      <c r="I22" s="9">
        <f>'Onshore Wind'!I14</f>
        <v>45.099999999999994</v>
      </c>
      <c r="J22">
        <v>0.5</v>
      </c>
      <c r="K22" s="9">
        <f t="shared" si="3"/>
        <v>22.549999999999997</v>
      </c>
      <c r="N22" t="s">
        <v>95</v>
      </c>
      <c r="O22" s="9">
        <f t="shared" si="5"/>
        <v>56.47280061243378</v>
      </c>
      <c r="P22">
        <v>0</v>
      </c>
      <c r="Q22" s="9">
        <f t="shared" si="6"/>
        <v>56.47280061243378</v>
      </c>
    </row>
    <row r="23" spans="2:17">
      <c r="B23" t="s">
        <v>97</v>
      </c>
      <c r="C23" s="9">
        <f>Solar_Utility!I14</f>
        <v>0</v>
      </c>
      <c r="D23">
        <v>0</v>
      </c>
      <c r="E23" s="9">
        <f t="shared" si="4"/>
        <v>0</v>
      </c>
      <c r="H23" t="s">
        <v>58</v>
      </c>
      <c r="I23" s="9">
        <f>'Onshore Wind'!I15</f>
        <v>45.099999999999994</v>
      </c>
      <c r="J23">
        <v>0.25</v>
      </c>
      <c r="K23" s="9">
        <f t="shared" si="3"/>
        <v>33.824999999999996</v>
      </c>
      <c r="N23" t="s">
        <v>97</v>
      </c>
      <c r="O23" s="9">
        <f t="shared" si="5"/>
        <v>0</v>
      </c>
      <c r="P23">
        <v>0</v>
      </c>
      <c r="Q23" s="9">
        <f t="shared" si="6"/>
        <v>0</v>
      </c>
    </row>
    <row r="24" spans="2:17">
      <c r="B24" t="s">
        <v>98</v>
      </c>
      <c r="C24" s="9">
        <f>Solar_Utility!I15</f>
        <v>0</v>
      </c>
      <c r="D24">
        <v>0</v>
      </c>
      <c r="E24" s="9">
        <f t="shared" si="4"/>
        <v>0</v>
      </c>
      <c r="H24" t="s">
        <v>56</v>
      </c>
      <c r="I24" s="9">
        <f>'Onshore Wind'!I16</f>
        <v>161.125</v>
      </c>
      <c r="J24">
        <v>0.5</v>
      </c>
      <c r="K24" s="9">
        <f t="shared" si="3"/>
        <v>80.5625</v>
      </c>
      <c r="N24" t="s">
        <v>98</v>
      </c>
      <c r="O24" s="9">
        <f t="shared" si="5"/>
        <v>0</v>
      </c>
      <c r="P24">
        <v>0</v>
      </c>
      <c r="Q24" s="9">
        <f t="shared" si="6"/>
        <v>0</v>
      </c>
    </row>
    <row r="25" spans="2:17">
      <c r="B25" t="s">
        <v>99</v>
      </c>
      <c r="C25" s="9">
        <f>Solar_Utility!I16</f>
        <v>42.354600459325333</v>
      </c>
      <c r="D25">
        <v>0.5</v>
      </c>
      <c r="E25" s="9">
        <f t="shared" si="4"/>
        <v>21.177300229662666</v>
      </c>
      <c r="H25" t="s">
        <v>82</v>
      </c>
      <c r="I25" s="9">
        <f>'Onshore Wind'!I19</f>
        <v>34.849999999999994</v>
      </c>
      <c r="J25">
        <v>0</v>
      </c>
      <c r="K25" s="9">
        <f t="shared" si="3"/>
        <v>34.849999999999994</v>
      </c>
      <c r="N25" t="s">
        <v>99</v>
      </c>
      <c r="O25" s="9">
        <f t="shared" si="5"/>
        <v>42.354600459325333</v>
      </c>
      <c r="P25">
        <v>0.5</v>
      </c>
      <c r="Q25" s="9">
        <f t="shared" si="6"/>
        <v>21.177300229662666</v>
      </c>
    </row>
    <row r="26" spans="2:17">
      <c r="B26" t="s">
        <v>100</v>
      </c>
      <c r="C26" s="9">
        <f>Solar_Utility!I17</f>
        <v>31.967743589798978</v>
      </c>
      <c r="D26">
        <v>0.5</v>
      </c>
      <c r="E26" s="9">
        <f t="shared" si="4"/>
        <v>15.983871794899489</v>
      </c>
      <c r="H26" t="s">
        <v>83</v>
      </c>
      <c r="I26" s="9">
        <f>'Onshore Wind'!I20</f>
        <v>88.149999999999991</v>
      </c>
      <c r="J26">
        <v>0</v>
      </c>
      <c r="K26" s="9">
        <f t="shared" si="3"/>
        <v>88.149999999999991</v>
      </c>
      <c r="N26" t="s">
        <v>100</v>
      </c>
      <c r="O26" s="9">
        <f t="shared" si="5"/>
        <v>31.967743589798978</v>
      </c>
      <c r="P26">
        <v>0.5</v>
      </c>
      <c r="Q26" s="9">
        <f t="shared" si="6"/>
        <v>15.983871794899489</v>
      </c>
    </row>
    <row r="27" spans="2:17">
      <c r="B27" t="s">
        <v>102</v>
      </c>
      <c r="C27" s="9">
        <f>Solar_Utility!I18</f>
        <v>28.23640030621689</v>
      </c>
      <c r="D27">
        <v>0</v>
      </c>
      <c r="E27" s="9">
        <f t="shared" si="4"/>
        <v>28.23640030621689</v>
      </c>
      <c r="H27" s="19" t="s">
        <v>80</v>
      </c>
      <c r="I27" s="20">
        <f>SUM(I16:I26)</f>
        <v>1484.3999999999996</v>
      </c>
      <c r="J27" s="19"/>
      <c r="K27" s="20">
        <f>SUM(K16:K26)</f>
        <v>1352.5874999999996</v>
      </c>
      <c r="N27" t="s">
        <v>102</v>
      </c>
      <c r="O27" s="9">
        <f t="shared" si="5"/>
        <v>28.23640030621689</v>
      </c>
      <c r="P27">
        <v>0</v>
      </c>
      <c r="Q27" s="9">
        <f t="shared" si="6"/>
        <v>28.23640030621689</v>
      </c>
    </row>
    <row r="28" spans="2:17">
      <c r="B28" t="s">
        <v>103</v>
      </c>
      <c r="C28" s="9">
        <f>Solar_Utility!I19</f>
        <v>42.354600459325333</v>
      </c>
      <c r="D28">
        <v>0</v>
      </c>
      <c r="E28" s="9">
        <f t="shared" si="4"/>
        <v>42.354600459325333</v>
      </c>
      <c r="N28" t="s">
        <v>103</v>
      </c>
      <c r="O28" s="9">
        <f t="shared" si="5"/>
        <v>42.354600459325333</v>
      </c>
      <c r="P28">
        <v>0</v>
      </c>
      <c r="Q28" s="9">
        <f t="shared" si="6"/>
        <v>42.354600459325333</v>
      </c>
    </row>
    <row r="29" spans="2:17">
      <c r="B29" t="s">
        <v>104</v>
      </c>
      <c r="C29" s="9">
        <f>Solar_Utility!I20</f>
        <v>70.591000765542233</v>
      </c>
      <c r="D29">
        <v>0</v>
      </c>
      <c r="E29" s="9">
        <f t="shared" si="4"/>
        <v>70.591000765542233</v>
      </c>
      <c r="N29" t="s">
        <v>104</v>
      </c>
      <c r="O29" s="9">
        <f t="shared" si="5"/>
        <v>70.591000765542233</v>
      </c>
      <c r="P29">
        <v>0</v>
      </c>
      <c r="Q29" s="9">
        <f t="shared" si="6"/>
        <v>70.591000765542233</v>
      </c>
    </row>
    <row r="30" spans="2:17">
      <c r="B30" s="19" t="s">
        <v>80</v>
      </c>
      <c r="C30" s="20">
        <f>SUM(C16:C29)</f>
        <v>1429.6695587475353</v>
      </c>
      <c r="D30" s="19"/>
      <c r="E30" s="20">
        <f>SUM(E16:E29)</f>
        <v>1272.5036854215512</v>
      </c>
      <c r="N30" s="19" t="s">
        <v>80</v>
      </c>
      <c r="O30" s="20">
        <f>SUM(O16:O29)</f>
        <v>1429.6695587475353</v>
      </c>
      <c r="P30" s="19"/>
      <c r="Q30" s="20">
        <f>SUM(Q16:Q29)</f>
        <v>1272.5036854215512</v>
      </c>
    </row>
    <row r="33" spans="14:17">
      <c r="N33" s="28" t="s">
        <v>155</v>
      </c>
      <c r="O33" s="28" t="s">
        <v>151</v>
      </c>
      <c r="P33" s="28" t="s">
        <v>152</v>
      </c>
      <c r="Q33" s="67" t="s">
        <v>153</v>
      </c>
    </row>
    <row r="34" spans="14:17">
      <c r="N34" t="s">
        <v>73</v>
      </c>
      <c r="O34" s="9">
        <f>I16</f>
        <v>294.17499999999995</v>
      </c>
      <c r="P34">
        <v>0</v>
      </c>
      <c r="Q34" s="9">
        <f t="shared" ref="Q34:Q44" si="7">O34*(1-P34)</f>
        <v>294.17499999999995</v>
      </c>
    </row>
    <row r="35" spans="14:17">
      <c r="N35" t="s">
        <v>74</v>
      </c>
      <c r="O35" s="9">
        <f t="shared" ref="O35:O44" si="8">I17</f>
        <v>500.19999999999987</v>
      </c>
      <c r="P35">
        <v>0</v>
      </c>
      <c r="Q35" s="9">
        <f t="shared" si="7"/>
        <v>500.19999999999987</v>
      </c>
    </row>
    <row r="36" spans="14:17">
      <c r="N36" t="s">
        <v>75</v>
      </c>
      <c r="O36" s="9">
        <f t="shared" si="8"/>
        <v>220.37499999999994</v>
      </c>
      <c r="P36">
        <v>0</v>
      </c>
      <c r="Q36" s="9">
        <f t="shared" si="7"/>
        <v>220.37499999999994</v>
      </c>
    </row>
    <row r="37" spans="14:17">
      <c r="N37" t="s">
        <v>77</v>
      </c>
      <c r="O37" s="9">
        <f t="shared" si="8"/>
        <v>16.399999999999999</v>
      </c>
      <c r="P37">
        <v>0.5</v>
      </c>
      <c r="Q37" s="9">
        <f t="shared" si="7"/>
        <v>8.1999999999999993</v>
      </c>
    </row>
    <row r="38" spans="14:17">
      <c r="N38" t="s">
        <v>53</v>
      </c>
      <c r="O38" s="9">
        <f t="shared" si="8"/>
        <v>18.45</v>
      </c>
      <c r="P38">
        <v>0.5</v>
      </c>
      <c r="Q38" s="9">
        <f t="shared" si="7"/>
        <v>9.2249999999999996</v>
      </c>
    </row>
    <row r="39" spans="14:17">
      <c r="N39" t="s">
        <v>78</v>
      </c>
      <c r="O39" s="9">
        <f t="shared" si="8"/>
        <v>60.474999999999987</v>
      </c>
      <c r="P39">
        <v>0</v>
      </c>
      <c r="Q39" s="9">
        <f t="shared" si="7"/>
        <v>60.474999999999987</v>
      </c>
    </row>
    <row r="40" spans="14:17">
      <c r="N40" t="s">
        <v>79</v>
      </c>
      <c r="O40" s="9">
        <f t="shared" si="8"/>
        <v>45.099999999999994</v>
      </c>
      <c r="P40">
        <v>0.5</v>
      </c>
      <c r="Q40" s="9">
        <f t="shared" si="7"/>
        <v>22.549999999999997</v>
      </c>
    </row>
    <row r="41" spans="14:17">
      <c r="N41" t="s">
        <v>58</v>
      </c>
      <c r="O41" s="9">
        <f t="shared" si="8"/>
        <v>45.099999999999994</v>
      </c>
      <c r="P41">
        <v>0.25</v>
      </c>
      <c r="Q41" s="9">
        <f t="shared" si="7"/>
        <v>33.824999999999996</v>
      </c>
    </row>
    <row r="42" spans="14:17">
      <c r="N42" t="s">
        <v>56</v>
      </c>
      <c r="O42" s="9">
        <f t="shared" si="8"/>
        <v>161.125</v>
      </c>
      <c r="P42">
        <v>0.5</v>
      </c>
      <c r="Q42" s="9">
        <f t="shared" si="7"/>
        <v>80.5625</v>
      </c>
    </row>
    <row r="43" spans="14:17">
      <c r="N43" t="s">
        <v>82</v>
      </c>
      <c r="O43" s="9">
        <f t="shared" si="8"/>
        <v>34.849999999999994</v>
      </c>
      <c r="P43">
        <v>0</v>
      </c>
      <c r="Q43" s="9">
        <f t="shared" si="7"/>
        <v>34.849999999999994</v>
      </c>
    </row>
    <row r="44" spans="14:17">
      <c r="N44" t="s">
        <v>83</v>
      </c>
      <c r="O44" s="9">
        <f t="shared" si="8"/>
        <v>88.149999999999991</v>
      </c>
      <c r="P44">
        <v>0</v>
      </c>
      <c r="Q44" s="9">
        <f t="shared" si="7"/>
        <v>88.149999999999991</v>
      </c>
    </row>
    <row r="45" spans="14:17">
      <c r="N45" s="19" t="s">
        <v>80</v>
      </c>
      <c r="O45" s="20">
        <f>SUM(O34:O44)</f>
        <v>1484.3999999999996</v>
      </c>
      <c r="P45" s="19"/>
      <c r="Q45" s="20">
        <f>SUM(Q34:Q44)</f>
        <v>1352.5874999999996</v>
      </c>
    </row>
    <row r="50" spans="1:33" ht="14.45" customHeight="1">
      <c r="A50" s="130" t="s">
        <v>67</v>
      </c>
      <c r="B50" s="130"/>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row>
    <row r="51" spans="1:33" ht="14.45" customHeight="1">
      <c r="A51" s="130"/>
      <c r="B51" s="130"/>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row>
    <row r="53" spans="1:33">
      <c r="A53" t="s">
        <v>12</v>
      </c>
      <c r="B53">
        <v>2019</v>
      </c>
      <c r="C53">
        <v>2020</v>
      </c>
      <c r="D53">
        <v>2021</v>
      </c>
      <c r="E53">
        <v>2022</v>
      </c>
      <c r="F53">
        <v>2023</v>
      </c>
      <c r="G53">
        <v>2024</v>
      </c>
      <c r="H53">
        <v>2025</v>
      </c>
      <c r="I53">
        <v>2026</v>
      </c>
      <c r="J53">
        <v>2027</v>
      </c>
      <c r="K53">
        <v>2028</v>
      </c>
      <c r="L53">
        <v>2029</v>
      </c>
      <c r="M53">
        <v>2030</v>
      </c>
      <c r="N53">
        <v>2031</v>
      </c>
      <c r="O53">
        <v>2032</v>
      </c>
      <c r="P53">
        <v>2033</v>
      </c>
      <c r="Q53">
        <v>2034</v>
      </c>
      <c r="R53">
        <v>2035</v>
      </c>
      <c r="S53">
        <v>2036</v>
      </c>
      <c r="T53">
        <v>2037</v>
      </c>
      <c r="U53">
        <v>2038</v>
      </c>
      <c r="V53">
        <v>2039</v>
      </c>
      <c r="W53">
        <v>2040</v>
      </c>
      <c r="X53">
        <v>2041</v>
      </c>
      <c r="Y53">
        <v>2042</v>
      </c>
      <c r="Z53">
        <v>2043</v>
      </c>
      <c r="AA53">
        <v>2044</v>
      </c>
      <c r="AB53">
        <v>2045</v>
      </c>
      <c r="AC53">
        <v>2046</v>
      </c>
      <c r="AD53">
        <v>2047</v>
      </c>
      <c r="AE53">
        <v>2048</v>
      </c>
      <c r="AF53">
        <v>2049</v>
      </c>
      <c r="AG53">
        <v>2050</v>
      </c>
    </row>
    <row r="54" spans="1:33">
      <c r="A54" t="s">
        <v>156</v>
      </c>
      <c r="B54" s="9">
        <v>1391.1592345989786</v>
      </c>
      <c r="C54" s="9">
        <v>1376.5401161146963</v>
      </c>
      <c r="D54" s="9">
        <v>1316.4771657967624</v>
      </c>
      <c r="E54" s="9">
        <v>1256.4142154788285</v>
      </c>
      <c r="F54" s="9">
        <v>1196.3512651608944</v>
      </c>
      <c r="G54" s="9">
        <v>1136.2883148429605</v>
      </c>
      <c r="H54" s="9">
        <v>1076.2253645250264</v>
      </c>
      <c r="I54" s="9">
        <v>1016.1624142070926</v>
      </c>
      <c r="J54" s="9">
        <v>956.09946388915887</v>
      </c>
      <c r="K54" s="9">
        <v>896.03651357122499</v>
      </c>
      <c r="L54" s="9">
        <v>835.9735632532911</v>
      </c>
      <c r="M54" s="9">
        <v>775.91061293535768</v>
      </c>
      <c r="N54" s="9">
        <v>768.99658506837977</v>
      </c>
      <c r="O54" s="9">
        <v>762.08255720140187</v>
      </c>
      <c r="P54" s="9">
        <v>755.16852933442397</v>
      </c>
      <c r="Q54" s="9">
        <v>748.25450146744595</v>
      </c>
      <c r="R54" s="9">
        <v>741.34047360046804</v>
      </c>
      <c r="S54" s="9">
        <v>734.42644573349003</v>
      </c>
      <c r="T54" s="9">
        <v>727.51241786651212</v>
      </c>
      <c r="U54" s="9">
        <v>720.59838999953422</v>
      </c>
      <c r="V54" s="9">
        <v>713.68436213255632</v>
      </c>
      <c r="W54" s="9">
        <v>706.7703342655783</v>
      </c>
      <c r="X54" s="9">
        <v>699.8563063986004</v>
      </c>
      <c r="Y54" s="9">
        <v>692.94227853162249</v>
      </c>
      <c r="Z54" s="9">
        <v>686.02825066464447</v>
      </c>
      <c r="AA54" s="9">
        <v>679.11422279766668</v>
      </c>
      <c r="AB54" s="9">
        <v>672.20019493068867</v>
      </c>
      <c r="AC54" s="9">
        <v>665.28616706371076</v>
      </c>
      <c r="AD54" s="9">
        <v>658.37213919673275</v>
      </c>
      <c r="AE54" s="9">
        <v>651.45811132975484</v>
      </c>
      <c r="AF54" s="9">
        <v>644.54408346277694</v>
      </c>
      <c r="AG54" s="9">
        <v>637.63005559579869</v>
      </c>
    </row>
    <row r="55" spans="1:33">
      <c r="A55" t="s">
        <v>157</v>
      </c>
      <c r="B55" s="16" t="s">
        <v>70</v>
      </c>
      <c r="C55" s="15">
        <f>1-(C54/B54)</f>
        <v>1.050858745763672E-2</v>
      </c>
      <c r="D55" s="15">
        <f t="shared" ref="D55:AG55" si="9">1-(D54/C54)</f>
        <v>4.3633272735605022E-2</v>
      </c>
      <c r="E55" s="15">
        <f t="shared" si="9"/>
        <v>4.5623997041819075E-2</v>
      </c>
      <c r="F55" s="15">
        <f t="shared" si="9"/>
        <v>4.7805054716802631E-2</v>
      </c>
      <c r="G55" s="15">
        <f t="shared" si="9"/>
        <v>5.0205112885349901E-2</v>
      </c>
      <c r="H55" s="15">
        <f t="shared" si="9"/>
        <v>5.2858899922978653E-2</v>
      </c>
      <c r="I55" s="15">
        <f t="shared" si="9"/>
        <v>5.5808896814508291E-2</v>
      </c>
      <c r="J55" s="15">
        <f t="shared" si="9"/>
        <v>5.9107628345809848E-2</v>
      </c>
      <c r="K55" s="15">
        <f t="shared" si="9"/>
        <v>6.2820817902787818E-2</v>
      </c>
      <c r="L55" s="15">
        <f t="shared" si="9"/>
        <v>6.7031811101701866E-2</v>
      </c>
      <c r="M55" s="15">
        <f t="shared" si="9"/>
        <v>7.1847906390952399E-2</v>
      </c>
      <c r="N55" s="15">
        <f t="shared" si="9"/>
        <v>8.9108561626981553E-3</v>
      </c>
      <c r="O55" s="15">
        <f t="shared" si="9"/>
        <v>8.9909734337286773E-3</v>
      </c>
      <c r="P55" s="15">
        <f t="shared" si="9"/>
        <v>9.0725444397629085E-3</v>
      </c>
      <c r="Q55" s="15">
        <f t="shared" si="9"/>
        <v>9.1556091102893422E-3</v>
      </c>
      <c r="R55" s="15">
        <f t="shared" si="9"/>
        <v>9.240208850622933E-3</v>
      </c>
      <c r="S55" s="15">
        <f t="shared" si="9"/>
        <v>9.3263866107278215E-3</v>
      </c>
      <c r="T55" s="15">
        <f t="shared" si="9"/>
        <v>9.4141869579229542E-3</v>
      </c>
      <c r="U55" s="15">
        <f t="shared" si="9"/>
        <v>9.5036561537380493E-3</v>
      </c>
      <c r="V55" s="15">
        <f t="shared" si="9"/>
        <v>9.5948422351905815E-3</v>
      </c>
      <c r="W55" s="15">
        <f t="shared" si="9"/>
        <v>9.6877951007897645E-3</v>
      </c>
      <c r="X55" s="15">
        <f t="shared" si="9"/>
        <v>9.7825666015856072E-3</v>
      </c>
      <c r="Y55" s="15">
        <f t="shared" si="9"/>
        <v>9.8792106376192068E-3</v>
      </c>
      <c r="Z55" s="15">
        <f t="shared" si="9"/>
        <v>9.9777832601427585E-3</v>
      </c>
      <c r="AA55" s="15">
        <f t="shared" si="9"/>
        <v>1.0078342780022953E-2</v>
      </c>
      <c r="AB55" s="15">
        <f t="shared" si="9"/>
        <v>1.0180949882768076E-2</v>
      </c>
      <c r="AC55" s="15">
        <f t="shared" si="9"/>
        <v>1.0285667750647987E-2</v>
      </c>
      <c r="AD55" s="15">
        <f t="shared" si="9"/>
        <v>1.039256219243756E-2</v>
      </c>
      <c r="AE55" s="15">
        <f t="shared" si="9"/>
        <v>1.0501701781326256E-2</v>
      </c>
      <c r="AF55" s="15">
        <f t="shared" si="9"/>
        <v>1.0613158001617329E-2</v>
      </c>
      <c r="AG55" s="15">
        <f t="shared" si="9"/>
        <v>1.0727005404863932E-2</v>
      </c>
    </row>
    <row r="56" spans="1:33">
      <c r="A56" t="s">
        <v>158</v>
      </c>
      <c r="B56" s="9">
        <f>E30</f>
        <v>1272.5036854215512</v>
      </c>
      <c r="C56" s="9">
        <f>B56*(1-C55)</f>
        <v>1259.1314691531338</v>
      </c>
      <c r="D56" s="9">
        <f t="shared" ref="D56:AG56" si="10">C56*(1-D55)</f>
        <v>1204.1914423495921</v>
      </c>
      <c r="E56" s="9">
        <f t="shared" si="10"/>
        <v>1149.2514155460503</v>
      </c>
      <c r="F56" s="9">
        <f t="shared" si="10"/>
        <v>1094.3113887425086</v>
      </c>
      <c r="G56" s="9">
        <f t="shared" si="10"/>
        <v>1039.3713619389669</v>
      </c>
      <c r="H56" s="9">
        <f t="shared" si="10"/>
        <v>984.431335135425</v>
      </c>
      <c r="I56" s="9">
        <f t="shared" si="10"/>
        <v>929.49130833188349</v>
      </c>
      <c r="J56" s="9">
        <f t="shared" si="10"/>
        <v>874.55128152834197</v>
      </c>
      <c r="K56" s="9">
        <f t="shared" si="10"/>
        <v>819.61125472480023</v>
      </c>
      <c r="L56" s="9">
        <f t="shared" si="10"/>
        <v>764.67122792125861</v>
      </c>
      <c r="M56" s="9">
        <f t="shared" si="10"/>
        <v>709.73120111771743</v>
      </c>
      <c r="N56" s="9">
        <f t="shared" si="10"/>
        <v>703.40688847037848</v>
      </c>
      <c r="O56" s="9">
        <f t="shared" si="10"/>
        <v>697.08257582303952</v>
      </c>
      <c r="P56" s="9">
        <f t="shared" si="10"/>
        <v>690.75826317570056</v>
      </c>
      <c r="Q56" s="9">
        <f t="shared" si="10"/>
        <v>684.43395052836149</v>
      </c>
      <c r="R56" s="9">
        <f t="shared" si="10"/>
        <v>678.10963788102254</v>
      </c>
      <c r="S56" s="9">
        <f t="shared" si="10"/>
        <v>671.78532523368347</v>
      </c>
      <c r="T56" s="9">
        <f t="shared" si="10"/>
        <v>665.46101258634451</v>
      </c>
      <c r="U56" s="9">
        <f t="shared" si="10"/>
        <v>659.13669993900555</v>
      </c>
      <c r="V56" s="9">
        <f t="shared" si="10"/>
        <v>652.8123872916666</v>
      </c>
      <c r="W56" s="9">
        <f t="shared" si="10"/>
        <v>646.48807464432753</v>
      </c>
      <c r="X56" s="9">
        <f t="shared" si="10"/>
        <v>640.16376199698857</v>
      </c>
      <c r="Y56" s="9">
        <f t="shared" si="10"/>
        <v>633.83944934964961</v>
      </c>
      <c r="Z56" s="9">
        <f t="shared" si="10"/>
        <v>627.51513670231054</v>
      </c>
      <c r="AA56" s="9">
        <f t="shared" si="10"/>
        <v>621.1908240549717</v>
      </c>
      <c r="AB56" s="9">
        <f t="shared" si="10"/>
        <v>614.86651140763263</v>
      </c>
      <c r="AC56" s="9">
        <f t="shared" si="10"/>
        <v>608.54219876029367</v>
      </c>
      <c r="AD56" s="9">
        <f t="shared" si="10"/>
        <v>602.2178861129546</v>
      </c>
      <c r="AE56" s="9">
        <f t="shared" si="10"/>
        <v>595.89357346561565</v>
      </c>
      <c r="AF56" s="9">
        <f t="shared" si="10"/>
        <v>589.56926081827669</v>
      </c>
      <c r="AG56" s="9">
        <f t="shared" si="10"/>
        <v>583.24494817093739</v>
      </c>
    </row>
    <row r="58" spans="1:33">
      <c r="A58" t="s">
        <v>159</v>
      </c>
      <c r="B58" s="9">
        <v>1434.2856000000002</v>
      </c>
      <c r="C58" s="9">
        <v>1363.2842342153651</v>
      </c>
      <c r="D58" s="9">
        <v>1281.8130648399449</v>
      </c>
      <c r="E58" s="9">
        <v>1200.3418954645249</v>
      </c>
      <c r="F58" s="9">
        <v>1118.8707260891047</v>
      </c>
      <c r="G58" s="9">
        <v>1037.3995567136847</v>
      </c>
      <c r="H58" s="9">
        <v>955.92838733826409</v>
      </c>
      <c r="I58" s="9">
        <v>921.56147421096955</v>
      </c>
      <c r="J58" s="9">
        <v>887.19456108367513</v>
      </c>
      <c r="K58" s="9">
        <v>852.82764795638059</v>
      </c>
      <c r="L58" s="9">
        <v>818.46073482908605</v>
      </c>
      <c r="M58" s="9">
        <v>784.09382170179197</v>
      </c>
      <c r="N58" s="9">
        <v>774.29264893051936</v>
      </c>
      <c r="O58" s="9">
        <v>764.49147615924687</v>
      </c>
      <c r="P58" s="9">
        <v>754.69030338797461</v>
      </c>
      <c r="Q58" s="9">
        <v>744.889130616702</v>
      </c>
      <c r="R58" s="9">
        <v>735.08795784542951</v>
      </c>
      <c r="S58" s="9">
        <v>725.28678507415714</v>
      </c>
      <c r="T58" s="9">
        <v>715.48561230288453</v>
      </c>
      <c r="U58" s="9">
        <v>705.68443953161216</v>
      </c>
      <c r="V58" s="9">
        <v>695.88326676033967</v>
      </c>
      <c r="W58" s="9">
        <v>686.08209398906718</v>
      </c>
      <c r="X58" s="9">
        <v>676.28092121779491</v>
      </c>
      <c r="Y58" s="9">
        <v>666.47974844652254</v>
      </c>
      <c r="Z58" s="9">
        <v>656.67857567524993</v>
      </c>
      <c r="AA58" s="9">
        <v>646.87740290397755</v>
      </c>
      <c r="AB58" s="9">
        <v>637.07623013270529</v>
      </c>
      <c r="AC58" s="9">
        <v>627.2750573614328</v>
      </c>
      <c r="AD58" s="9">
        <v>617.47388459016042</v>
      </c>
      <c r="AE58" s="9">
        <v>607.67271181888805</v>
      </c>
      <c r="AF58" s="9">
        <v>597.87153904761556</v>
      </c>
      <c r="AG58" s="9">
        <v>588.07036627634386</v>
      </c>
    </row>
    <row r="59" spans="1:33">
      <c r="A59" t="s">
        <v>160</v>
      </c>
      <c r="B59" s="16" t="s">
        <v>70</v>
      </c>
      <c r="C59" s="15">
        <f>1-(C58/B58)</f>
        <v>4.950294821661394E-2</v>
      </c>
      <c r="D59" s="15">
        <f t="shared" ref="D59" si="11">1-(D58/C58)</f>
        <v>5.9760956175298863E-2</v>
      </c>
      <c r="E59" s="15">
        <f t="shared" ref="E59" si="12">1-(E58/D58)</f>
        <v>6.3559322033898136E-2</v>
      </c>
      <c r="F59" s="15">
        <f t="shared" ref="F59" si="13">1-(F58/E58)</f>
        <v>6.7873303167420795E-2</v>
      </c>
      <c r="G59" s="15">
        <f t="shared" ref="G59" si="14">1-(G58/F58)</f>
        <v>7.281553398058227E-2</v>
      </c>
      <c r="H59" s="15">
        <f t="shared" ref="H59" si="15">1-(H58/G58)</f>
        <v>7.8534031413612815E-2</v>
      </c>
      <c r="I59" s="15">
        <f t="shared" ref="I59" si="16">1-(I58/H58)</f>
        <v>3.5951346965422348E-2</v>
      </c>
      <c r="J59" s="15">
        <f t="shared" ref="J59" si="17">1-(J58/I58)</f>
        <v>3.7292046259549849E-2</v>
      </c>
      <c r="K59" s="15">
        <f t="shared" ref="K59" si="18">1-(K58/J58)</f>
        <v>3.8736613855383184E-2</v>
      </c>
      <c r="L59" s="15">
        <f t="shared" ref="L59" si="19">1-(L58/K58)</f>
        <v>4.0297606684829623E-2</v>
      </c>
      <c r="M59" s="15">
        <f t="shared" ref="M59" si="20">1-(M58/L58)</f>
        <v>4.1989690726545015E-2</v>
      </c>
      <c r="N59" s="15">
        <f t="shared" ref="N59" si="21">1-(N58/M58)</f>
        <v>1.2500000000000289E-2</v>
      </c>
      <c r="O59" s="15">
        <f t="shared" ref="O59" si="22">1-(O58/N58)</f>
        <v>1.2658227848101333E-2</v>
      </c>
      <c r="P59" s="15">
        <f t="shared" ref="P59" si="23">1-(P58/O58)</f>
        <v>1.2820512820512664E-2</v>
      </c>
      <c r="Q59" s="15">
        <f t="shared" ref="Q59" si="24">1-(Q58/P58)</f>
        <v>1.2987012987013213E-2</v>
      </c>
      <c r="R59" s="15">
        <f t="shared" ref="R59" si="25">1-(R58/Q58)</f>
        <v>1.3157894736842257E-2</v>
      </c>
      <c r="S59" s="15">
        <f t="shared" ref="S59" si="26">1-(S58/R58)</f>
        <v>1.3333333333333308E-2</v>
      </c>
      <c r="T59" s="15">
        <f t="shared" ref="T59" si="27">1-(T58/S58)</f>
        <v>1.351351351351382E-2</v>
      </c>
      <c r="U59" s="15">
        <f t="shared" ref="U59" si="28">1-(U58/T58)</f>
        <v>1.3698630136986245E-2</v>
      </c>
      <c r="V59" s="15">
        <f t="shared" ref="V59" si="29">1-(V58/U58)</f>
        <v>1.3888888888889062E-2</v>
      </c>
      <c r="W59" s="15">
        <f t="shared" ref="W59" si="30">1-(W58/V58)</f>
        <v>1.4084507042253613E-2</v>
      </c>
      <c r="X59" s="15">
        <f t="shared" ref="X59" si="31">1-(X58/W58)</f>
        <v>1.4285714285714124E-2</v>
      </c>
      <c r="Y59" s="15">
        <f t="shared" ref="Y59" si="32">1-(Y58/X58)</f>
        <v>1.4492753623188359E-2</v>
      </c>
      <c r="Z59" s="15">
        <f t="shared" ref="Z59" si="33">1-(Z58/Y58)</f>
        <v>1.4705882352941457E-2</v>
      </c>
      <c r="AA59" s="15">
        <f t="shared" ref="AA59" si="34">1-(AA58/Z58)</f>
        <v>1.492537313432829E-2</v>
      </c>
      <c r="AB59" s="15">
        <f t="shared" ref="AB59" si="35">1-(AB58/AA58)</f>
        <v>1.5151515151514916E-2</v>
      </c>
      <c r="AC59" s="15">
        <f t="shared" ref="AC59" si="36">1-(AC58/AB58)</f>
        <v>1.5384615384615552E-2</v>
      </c>
      <c r="AD59" s="15">
        <f t="shared" ref="AD59" si="37">1-(AD58/AC58)</f>
        <v>1.5625E-2</v>
      </c>
      <c r="AE59" s="15">
        <f t="shared" ref="AE59" si="38">1-(AE58/AD58)</f>
        <v>1.5873015873015817E-2</v>
      </c>
      <c r="AF59" s="15">
        <f t="shared" ref="AF59" si="39">1-(AF58/AE58)</f>
        <v>1.6129032258064724E-2</v>
      </c>
      <c r="AG59" s="15">
        <f t="shared" ref="AG59" si="40">1-(AG58/AF58)</f>
        <v>1.6393442622949617E-2</v>
      </c>
    </row>
    <row r="60" spans="1:33">
      <c r="A60" t="s">
        <v>161</v>
      </c>
      <c r="B60" s="9">
        <f>E12</f>
        <v>1519.5966328401471</v>
      </c>
      <c r="C60" s="9">
        <f>B60*(1-C59)</f>
        <v>1444.3721194145203</v>
      </c>
      <c r="D60" s="9">
        <f t="shared" ref="D60" si="41">C60*(1-D59)</f>
        <v>1358.0550604853656</v>
      </c>
      <c r="E60" s="9">
        <f t="shared" ref="E60" si="42">D60*(1-E59)</f>
        <v>1271.7380015562112</v>
      </c>
      <c r="F60" s="9">
        <f t="shared" ref="F60" si="43">E60*(1-F59)</f>
        <v>1185.4209426270565</v>
      </c>
      <c r="G60" s="9">
        <f t="shared" ref="G60" si="44">F60*(1-G59)</f>
        <v>1099.1038836979023</v>
      </c>
      <c r="H60" s="9">
        <f t="shared" ref="H60" si="45">G60*(1-H59)</f>
        <v>1012.7868247687475</v>
      </c>
      <c r="I60" s="9">
        <f t="shared" ref="I60" si="46">H60*(1-I59)</f>
        <v>976.37577422947777</v>
      </c>
      <c r="J60" s="9">
        <f t="shared" ref="J60" si="47">I60*(1-J59)</f>
        <v>939.9647236902083</v>
      </c>
      <c r="K60" s="9">
        <f t="shared" ref="K60" si="48">J60*(1-K59)</f>
        <v>903.55367315093872</v>
      </c>
      <c r="L60" s="9">
        <f t="shared" ref="L60" si="49">K60*(1-L59)</f>
        <v>867.14262261166914</v>
      </c>
      <c r="M60" s="9">
        <f t="shared" ref="M60" si="50">L60*(1-M59)</f>
        <v>830.73157207240001</v>
      </c>
      <c r="N60" s="9">
        <f t="shared" ref="N60" si="51">M60*(1-N59)</f>
        <v>820.34742742149479</v>
      </c>
      <c r="O60" s="9">
        <f t="shared" ref="O60" si="52">N60*(1-O59)</f>
        <v>809.96328277058979</v>
      </c>
      <c r="P60" s="9">
        <f t="shared" ref="P60" si="53">O60*(1-P59)</f>
        <v>799.5791381196849</v>
      </c>
      <c r="Q60" s="9">
        <f t="shared" ref="Q60" si="54">P60*(1-Q59)</f>
        <v>789.19499346877967</v>
      </c>
      <c r="R60" s="9">
        <f t="shared" ref="R60" si="55">Q60*(1-R59)</f>
        <v>778.81084881787456</v>
      </c>
      <c r="S60" s="9">
        <f t="shared" ref="S60" si="56">R60*(1-S59)</f>
        <v>768.42670416696956</v>
      </c>
      <c r="T60" s="9">
        <f t="shared" ref="T60" si="57">S60*(1-T59)</f>
        <v>758.04255951606433</v>
      </c>
      <c r="U60" s="9">
        <f t="shared" ref="U60" si="58">T60*(1-U59)</f>
        <v>747.65841486515933</v>
      </c>
      <c r="V60" s="9">
        <f t="shared" ref="V60" si="59">U60*(1-V59)</f>
        <v>737.27427021425422</v>
      </c>
      <c r="W60" s="9">
        <f t="shared" ref="W60" si="60">V60*(1-W59)</f>
        <v>726.89012556334922</v>
      </c>
      <c r="X60" s="9">
        <f t="shared" ref="X60" si="61">W60*(1-X59)</f>
        <v>716.50598091244433</v>
      </c>
      <c r="Y60" s="9">
        <f t="shared" ref="Y60" si="62">X60*(1-Y59)</f>
        <v>706.12183626153933</v>
      </c>
      <c r="Z60" s="9">
        <f t="shared" ref="Z60" si="63">Y60*(1-Z59)</f>
        <v>695.7376916106341</v>
      </c>
      <c r="AA60" s="9">
        <f t="shared" ref="AA60" si="64">Z60*(1-AA59)</f>
        <v>685.35354695972921</v>
      </c>
      <c r="AB60" s="9">
        <f t="shared" ref="AB60" si="65">AA60*(1-AB59)</f>
        <v>674.96940230882444</v>
      </c>
      <c r="AC60" s="9">
        <f t="shared" ref="AC60" si="66">AB60*(1-AC59)</f>
        <v>664.58525765791933</v>
      </c>
      <c r="AD60" s="9">
        <f t="shared" ref="AD60" si="67">AC60*(1-AD59)</f>
        <v>654.20111300701433</v>
      </c>
      <c r="AE60" s="9">
        <f t="shared" ref="AE60" si="68">AD60*(1-AE59)</f>
        <v>643.81696835610933</v>
      </c>
      <c r="AF60" s="9">
        <f t="shared" ref="AF60" si="69">AE60*(1-AF59)</f>
        <v>633.43282370520421</v>
      </c>
      <c r="AG60" s="9">
        <f t="shared" ref="AG60" si="70">AF60*(1-AG59)</f>
        <v>623.04867905430001</v>
      </c>
    </row>
    <row r="62" spans="1:33">
      <c r="A62" t="s">
        <v>162</v>
      </c>
      <c r="B62" s="9">
        <v>1436</v>
      </c>
      <c r="C62" s="9">
        <v>1391.8181818181818</v>
      </c>
      <c r="D62" s="9">
        <v>1347.6363636363637</v>
      </c>
      <c r="E62" s="9">
        <v>1303.4545454545455</v>
      </c>
      <c r="F62" s="9">
        <v>1259.2727272727273</v>
      </c>
      <c r="G62" s="9">
        <v>1215.090909090909</v>
      </c>
      <c r="H62" s="9">
        <v>1170.909090909091</v>
      </c>
      <c r="I62" s="9">
        <v>1126.7272727272727</v>
      </c>
      <c r="J62" s="9">
        <v>1082.5454545454545</v>
      </c>
      <c r="K62" s="9">
        <v>1038.3636363636363</v>
      </c>
      <c r="L62" s="9">
        <v>994.18181818181813</v>
      </c>
      <c r="M62" s="9">
        <v>950</v>
      </c>
      <c r="N62" s="9">
        <v>940.5</v>
      </c>
      <c r="O62" s="9">
        <v>931</v>
      </c>
      <c r="P62" s="9">
        <v>921.5</v>
      </c>
      <c r="Q62" s="9">
        <v>912</v>
      </c>
      <c r="R62" s="9">
        <v>902.5</v>
      </c>
      <c r="S62" s="9">
        <v>893</v>
      </c>
      <c r="T62" s="9">
        <v>883.5</v>
      </c>
      <c r="U62" s="9">
        <v>874</v>
      </c>
      <c r="V62" s="9">
        <v>864.5</v>
      </c>
      <c r="W62" s="9">
        <v>855</v>
      </c>
      <c r="X62" s="9">
        <v>845.5</v>
      </c>
      <c r="Y62" s="9">
        <v>836</v>
      </c>
      <c r="Z62" s="9">
        <v>826.5</v>
      </c>
      <c r="AA62" s="9">
        <v>817</v>
      </c>
      <c r="AB62" s="9">
        <v>807.5</v>
      </c>
      <c r="AC62" s="9">
        <v>798</v>
      </c>
      <c r="AD62" s="9">
        <v>788.5</v>
      </c>
      <c r="AE62" s="9">
        <v>779</v>
      </c>
      <c r="AF62" s="9">
        <v>769.5</v>
      </c>
      <c r="AG62" s="9">
        <v>760</v>
      </c>
    </row>
    <row r="63" spans="1:33">
      <c r="A63" t="s">
        <v>163</v>
      </c>
      <c r="B63" s="16" t="s">
        <v>70</v>
      </c>
      <c r="C63" s="15">
        <f>1-(C62/B62)</f>
        <v>3.0767282856419387E-2</v>
      </c>
      <c r="D63" s="15">
        <f t="shared" ref="D63" si="71">1-(D62/C62)</f>
        <v>3.1743958197256616E-2</v>
      </c>
      <c r="E63" s="15">
        <f t="shared" ref="E63" si="72">1-(E62/D62)</f>
        <v>3.278467350242853E-2</v>
      </c>
      <c r="F63" s="15">
        <f t="shared" ref="F63" si="73">1-(F62/E62)</f>
        <v>3.3895940856465412E-2</v>
      </c>
      <c r="G63" s="15">
        <f t="shared" ref="G63" si="74">1-(G62/F62)</f>
        <v>3.508518625469248E-2</v>
      </c>
      <c r="H63" s="15">
        <f t="shared" ref="H63" si="75">1-(H62/G62)</f>
        <v>3.6360915756396661E-2</v>
      </c>
      <c r="I63" s="15">
        <f t="shared" ref="I63" si="76">1-(I62/H62)</f>
        <v>3.7732919254658381E-2</v>
      </c>
      <c r="J63" s="15">
        <f t="shared" ref="J63" si="77">1-(J62/I62)</f>
        <v>3.921252218815563E-2</v>
      </c>
      <c r="K63" s="15">
        <f t="shared" ref="K63" si="78">1-(K62/J62)</f>
        <v>4.0812898891501526E-2</v>
      </c>
      <c r="L63" s="15">
        <f t="shared" ref="L63" si="79">1-(L62/K62)</f>
        <v>4.2549465942917086E-2</v>
      </c>
      <c r="M63" s="15">
        <f t="shared" ref="M63" si="80">1-(M62/L62)</f>
        <v>4.4440380395025514E-2</v>
      </c>
      <c r="N63" s="15">
        <f t="shared" ref="N63" si="81">1-(N62/M62)</f>
        <v>1.0000000000000009E-2</v>
      </c>
      <c r="O63" s="15">
        <f t="shared" ref="O63" si="82">1-(O62/N62)</f>
        <v>1.0101010101010055E-2</v>
      </c>
      <c r="P63" s="15">
        <f t="shared" ref="P63" si="83">1-(P62/O62)</f>
        <v>1.0204081632653073E-2</v>
      </c>
      <c r="Q63" s="15">
        <f t="shared" ref="Q63" si="84">1-(Q62/P62)</f>
        <v>1.0309278350515427E-2</v>
      </c>
      <c r="R63" s="15">
        <f t="shared" ref="R63" si="85">1-(R62/Q62)</f>
        <v>1.041666666666663E-2</v>
      </c>
      <c r="S63" s="15">
        <f t="shared" ref="S63" si="86">1-(S62/R62)</f>
        <v>1.0526315789473717E-2</v>
      </c>
      <c r="T63" s="15">
        <f t="shared" ref="T63" si="87">1-(T62/S62)</f>
        <v>1.0638297872340385E-2</v>
      </c>
      <c r="U63" s="15">
        <f t="shared" ref="U63" si="88">1-(U62/T62)</f>
        <v>1.0752688172043001E-2</v>
      </c>
      <c r="V63" s="15">
        <f t="shared" ref="V63" si="89">1-(V62/U62)</f>
        <v>1.0869565217391353E-2</v>
      </c>
      <c r="W63" s="15">
        <f t="shared" ref="W63" si="90">1-(W62/V62)</f>
        <v>1.098901098901095E-2</v>
      </c>
      <c r="X63" s="15">
        <f t="shared" ref="X63" si="91">1-(X62/W62)</f>
        <v>1.1111111111111072E-2</v>
      </c>
      <c r="Y63" s="15">
        <f t="shared" ref="Y63" si="92">1-(Y62/X62)</f>
        <v>1.1235955056179803E-2</v>
      </c>
      <c r="Z63" s="15">
        <f t="shared" ref="Z63" si="93">1-(Z62/Y62)</f>
        <v>1.1363636363636354E-2</v>
      </c>
      <c r="AA63" s="15">
        <f t="shared" ref="AA63" si="94">1-(AA62/Z62)</f>
        <v>1.1494252873563204E-2</v>
      </c>
      <c r="AB63" s="15">
        <f t="shared" ref="AB63" si="95">1-(AB62/AA62)</f>
        <v>1.1627906976744207E-2</v>
      </c>
      <c r="AC63" s="15">
        <f t="shared" ref="AC63" si="96">1-(AC62/AB62)</f>
        <v>1.1764705882352899E-2</v>
      </c>
      <c r="AD63" s="15">
        <f t="shared" ref="AD63" si="97">1-(AD62/AC62)</f>
        <v>1.1904761904761862E-2</v>
      </c>
      <c r="AE63" s="15">
        <f t="shared" ref="AE63" si="98">1-(AE62/AD62)</f>
        <v>1.2048192771084376E-2</v>
      </c>
      <c r="AF63" s="15">
        <f t="shared" ref="AF63" si="99">1-(AF62/AE62)</f>
        <v>1.2195121951219523E-2</v>
      </c>
      <c r="AG63" s="15">
        <f t="shared" ref="AG63" si="100">1-(AG62/AF62)</f>
        <v>1.2345679012345734E-2</v>
      </c>
    </row>
    <row r="64" spans="1:33">
      <c r="A64" t="s">
        <v>164</v>
      </c>
      <c r="B64" s="9">
        <f>K27</f>
        <v>1352.5874999999996</v>
      </c>
      <c r="C64" s="9">
        <f>B64*(1-C63)</f>
        <v>1310.9720577994424</v>
      </c>
      <c r="D64" s="9">
        <f t="shared" ref="D64" si="101">C64*(1-D63)</f>
        <v>1269.3566155988854</v>
      </c>
      <c r="E64" s="9">
        <f t="shared" ref="E64" si="102">D64*(1-E63)</f>
        <v>1227.7411733983283</v>
      </c>
      <c r="F64" s="9">
        <f t="shared" ref="F64" si="103">E64*(1-F63)</f>
        <v>1186.1257311977711</v>
      </c>
      <c r="G64" s="9">
        <f t="shared" ref="G64" si="104">F64*(1-G63)</f>
        <v>1144.510288997214</v>
      </c>
      <c r="H64" s="9">
        <f t="shared" ref="H64" si="105">G64*(1-H63)</f>
        <v>1102.8948467966572</v>
      </c>
      <c r="I64" s="9">
        <f t="shared" ref="I64" si="106">H64*(1-I63)</f>
        <v>1061.2794045961002</v>
      </c>
      <c r="J64" s="9">
        <f t="shared" ref="J64" si="107">I64*(1-J63)</f>
        <v>1019.6639623955431</v>
      </c>
      <c r="K64" s="9">
        <f t="shared" ref="K64" si="108">J64*(1-K63)</f>
        <v>978.04852019498594</v>
      </c>
      <c r="L64" s="9">
        <f t="shared" ref="L64" si="109">K64*(1-L63)</f>
        <v>936.43307799442891</v>
      </c>
      <c r="M64" s="9">
        <f t="shared" ref="M64" si="110">L64*(1-M63)</f>
        <v>894.81763579387189</v>
      </c>
      <c r="N64" s="9">
        <f t="shared" ref="N64" si="111">M64*(1-N63)</f>
        <v>885.86945943593321</v>
      </c>
      <c r="O64" s="9">
        <f t="shared" ref="O64" si="112">N64*(1-O63)</f>
        <v>876.92128307799453</v>
      </c>
      <c r="P64" s="9">
        <f t="shared" ref="P64" si="113">O64*(1-P63)</f>
        <v>867.97310672005585</v>
      </c>
      <c r="Q64" s="9">
        <f t="shared" ref="Q64" si="114">P64*(1-Q63)</f>
        <v>859.02493036211717</v>
      </c>
      <c r="R64" s="9">
        <f t="shared" ref="R64" si="115">Q64*(1-R63)</f>
        <v>850.0767540041785</v>
      </c>
      <c r="S64" s="9">
        <f t="shared" ref="S64" si="116">R64*(1-S63)</f>
        <v>841.12857764623971</v>
      </c>
      <c r="T64" s="9">
        <f t="shared" ref="T64" si="117">S64*(1-T63)</f>
        <v>832.18040128830103</v>
      </c>
      <c r="U64" s="9">
        <f t="shared" ref="U64" si="118">T64*(1-U63)</f>
        <v>823.23222493036235</v>
      </c>
      <c r="V64" s="9">
        <f t="shared" ref="V64" si="119">U64*(1-V63)</f>
        <v>814.28404857242356</v>
      </c>
      <c r="W64" s="9">
        <f t="shared" ref="W64" si="120">V64*(1-W63)</f>
        <v>805.33587221448488</v>
      </c>
      <c r="X64" s="9">
        <f t="shared" ref="X64" si="121">W64*(1-X63)</f>
        <v>796.3876958565462</v>
      </c>
      <c r="Y64" s="9">
        <f t="shared" ref="Y64" si="122">X64*(1-Y63)</f>
        <v>787.43951949860741</v>
      </c>
      <c r="Z64" s="9">
        <f t="shared" ref="Z64" si="123">Y64*(1-Z63)</f>
        <v>778.49134314066873</v>
      </c>
      <c r="AA64" s="9">
        <f t="shared" ref="AA64" si="124">Z64*(1-AA63)</f>
        <v>769.54316678273005</v>
      </c>
      <c r="AB64" s="9">
        <f t="shared" ref="AB64" si="125">AA64*(1-AB63)</f>
        <v>760.59499042479126</v>
      </c>
      <c r="AC64" s="9">
        <f t="shared" ref="AC64" si="126">AB64*(1-AC63)</f>
        <v>751.64681406685258</v>
      </c>
      <c r="AD64" s="9">
        <f t="shared" ref="AD64" si="127">AC64*(1-AD63)</f>
        <v>742.69863770891391</v>
      </c>
      <c r="AE64" s="9">
        <f t="shared" ref="AE64" si="128">AD64*(1-AE63)</f>
        <v>733.75046135097512</v>
      </c>
      <c r="AF64" s="9">
        <f t="shared" ref="AF64" si="129">AE64*(1-AF63)</f>
        <v>724.80228499303644</v>
      </c>
      <c r="AG64" s="9">
        <f t="shared" ref="AG64" si="130">AF64*(1-AG63)</f>
        <v>715.85410863509765</v>
      </c>
    </row>
    <row r="66" spans="1:33">
      <c r="A66" t="s">
        <v>165</v>
      </c>
      <c r="B66" s="9">
        <f>(100*B56+50*B60) / 150</f>
        <v>1354.8680012277498</v>
      </c>
      <c r="C66" s="9">
        <f t="shared" ref="C66:AG66" si="131">(100*C56+50*C60) / 150</f>
        <v>1320.878352573596</v>
      </c>
      <c r="D66" s="9">
        <f t="shared" si="131"/>
        <v>1255.4793150615167</v>
      </c>
      <c r="E66" s="9">
        <f t="shared" si="131"/>
        <v>1190.0802775494374</v>
      </c>
      <c r="F66" s="9">
        <f t="shared" si="131"/>
        <v>1124.6812400373581</v>
      </c>
      <c r="G66" s="9">
        <f t="shared" si="131"/>
        <v>1059.2822025252788</v>
      </c>
      <c r="H66" s="9">
        <f t="shared" si="131"/>
        <v>993.88316501319912</v>
      </c>
      <c r="I66" s="9">
        <f t="shared" si="131"/>
        <v>945.11946363108154</v>
      </c>
      <c r="J66" s="9">
        <f t="shared" si="131"/>
        <v>896.35576224896397</v>
      </c>
      <c r="K66" s="9">
        <f t="shared" si="131"/>
        <v>847.5920608668464</v>
      </c>
      <c r="L66" s="9">
        <f t="shared" si="131"/>
        <v>798.82835948472871</v>
      </c>
      <c r="M66" s="9">
        <f t="shared" si="131"/>
        <v>750.06465810261159</v>
      </c>
      <c r="N66" s="9">
        <f t="shared" si="131"/>
        <v>742.38706812075054</v>
      </c>
      <c r="O66" s="9">
        <f t="shared" si="131"/>
        <v>734.70947813888949</v>
      </c>
      <c r="P66" s="9">
        <f t="shared" si="131"/>
        <v>727.03188815702867</v>
      </c>
      <c r="Q66" s="9">
        <f t="shared" si="131"/>
        <v>719.35429817516751</v>
      </c>
      <c r="R66" s="9">
        <f t="shared" si="131"/>
        <v>711.67670819330647</v>
      </c>
      <c r="S66" s="9">
        <f t="shared" si="131"/>
        <v>703.99911821144542</v>
      </c>
      <c r="T66" s="9">
        <f t="shared" si="131"/>
        <v>696.32152822958437</v>
      </c>
      <c r="U66" s="9">
        <f t="shared" si="131"/>
        <v>688.64393824772344</v>
      </c>
      <c r="V66" s="9">
        <f t="shared" si="131"/>
        <v>680.96634826586251</v>
      </c>
      <c r="W66" s="9">
        <f t="shared" si="131"/>
        <v>673.28875828400135</v>
      </c>
      <c r="X66" s="9">
        <f t="shared" si="131"/>
        <v>665.61116830214041</v>
      </c>
      <c r="Y66" s="9">
        <f t="shared" si="131"/>
        <v>657.93357832027948</v>
      </c>
      <c r="Z66" s="9">
        <f t="shared" si="131"/>
        <v>650.25598833841832</v>
      </c>
      <c r="AA66" s="9">
        <f t="shared" si="131"/>
        <v>642.57839835655761</v>
      </c>
      <c r="AB66" s="9">
        <f t="shared" si="131"/>
        <v>634.90080837469668</v>
      </c>
      <c r="AC66" s="9">
        <f t="shared" si="131"/>
        <v>627.22321839283552</v>
      </c>
      <c r="AD66" s="9">
        <f t="shared" si="131"/>
        <v>619.54562841097459</v>
      </c>
      <c r="AE66" s="9">
        <f t="shared" si="131"/>
        <v>611.86803842911354</v>
      </c>
      <c r="AF66" s="9">
        <f t="shared" si="131"/>
        <v>604.19044844725249</v>
      </c>
      <c r="AG66" s="9">
        <f t="shared" si="131"/>
        <v>596.51285846539167</v>
      </c>
    </row>
    <row r="67" spans="1:33">
      <c r="A67" t="s">
        <v>166</v>
      </c>
      <c r="B67" s="9">
        <f>(100*B64+50*B60) / 150</f>
        <v>1408.2572109467155</v>
      </c>
      <c r="C67" s="9">
        <f t="shared" ref="C67:AG67" si="132">(100*C64+50*C60) / 150</f>
        <v>1355.4387450044683</v>
      </c>
      <c r="D67" s="9">
        <f t="shared" si="132"/>
        <v>1298.9227638943789</v>
      </c>
      <c r="E67" s="9">
        <f t="shared" si="132"/>
        <v>1242.4067827842894</v>
      </c>
      <c r="F67" s="9">
        <f t="shared" si="132"/>
        <v>1185.8908016741996</v>
      </c>
      <c r="G67" s="9">
        <f t="shared" si="132"/>
        <v>1129.3748205641102</v>
      </c>
      <c r="H67" s="9">
        <f t="shared" si="132"/>
        <v>1072.8588394540207</v>
      </c>
      <c r="I67" s="9">
        <f t="shared" si="132"/>
        <v>1032.9781944738927</v>
      </c>
      <c r="J67" s="9">
        <f t="shared" si="132"/>
        <v>993.09754949376486</v>
      </c>
      <c r="K67" s="9">
        <f t="shared" si="132"/>
        <v>953.21690451363679</v>
      </c>
      <c r="L67" s="9">
        <f t="shared" si="132"/>
        <v>913.33625953350895</v>
      </c>
      <c r="M67" s="9">
        <f t="shared" si="132"/>
        <v>873.45561455338122</v>
      </c>
      <c r="N67" s="9">
        <f t="shared" si="132"/>
        <v>864.02878209778714</v>
      </c>
      <c r="O67" s="9">
        <f t="shared" si="132"/>
        <v>854.60194964219295</v>
      </c>
      <c r="P67" s="9">
        <f t="shared" si="132"/>
        <v>845.17511718659887</v>
      </c>
      <c r="Q67" s="9">
        <f t="shared" si="132"/>
        <v>835.74828473100467</v>
      </c>
      <c r="R67" s="9">
        <f t="shared" si="132"/>
        <v>826.32145227541048</v>
      </c>
      <c r="S67" s="9">
        <f t="shared" si="132"/>
        <v>816.89461981981628</v>
      </c>
      <c r="T67" s="9">
        <f t="shared" si="132"/>
        <v>807.4677873642222</v>
      </c>
      <c r="U67" s="9">
        <f t="shared" si="132"/>
        <v>798.0409549086279</v>
      </c>
      <c r="V67" s="9">
        <f t="shared" si="132"/>
        <v>788.6141224530337</v>
      </c>
      <c r="W67" s="9">
        <f t="shared" si="132"/>
        <v>779.18728999743962</v>
      </c>
      <c r="X67" s="9">
        <f t="shared" si="132"/>
        <v>769.76045754184554</v>
      </c>
      <c r="Y67" s="9">
        <f t="shared" si="132"/>
        <v>760.33362508625146</v>
      </c>
      <c r="Z67" s="9">
        <f t="shared" si="132"/>
        <v>750.90679263065726</v>
      </c>
      <c r="AA67" s="9">
        <f t="shared" si="132"/>
        <v>741.47996017506318</v>
      </c>
      <c r="AB67" s="9">
        <f t="shared" si="132"/>
        <v>732.0531277194691</v>
      </c>
      <c r="AC67" s="9">
        <f t="shared" si="132"/>
        <v>722.62629526387468</v>
      </c>
      <c r="AD67" s="9">
        <f t="shared" si="132"/>
        <v>713.19946280828071</v>
      </c>
      <c r="AE67" s="9">
        <f t="shared" si="132"/>
        <v>703.77263035268652</v>
      </c>
      <c r="AF67" s="9">
        <f t="shared" si="132"/>
        <v>694.34579789709244</v>
      </c>
      <c r="AG67" s="9">
        <f t="shared" si="132"/>
        <v>684.91896544149847</v>
      </c>
    </row>
    <row r="68" spans="1:33">
      <c r="A68" t="s">
        <v>167</v>
      </c>
      <c r="B68" s="9">
        <f>(100*B56+100*B64+50*B60)/200</f>
        <v>1692.4447509208121</v>
      </c>
      <c r="C68" s="9">
        <f t="shared" ref="C68:AG68" si="133">(100*C56+100*C64+50*C60)/200</f>
        <v>1646.1447933299182</v>
      </c>
      <c r="D68" s="9">
        <f t="shared" si="133"/>
        <v>1576.2877940955802</v>
      </c>
      <c r="E68" s="9">
        <f t="shared" si="133"/>
        <v>1506.4307948612422</v>
      </c>
      <c r="F68" s="9">
        <f t="shared" si="133"/>
        <v>1436.5737956269038</v>
      </c>
      <c r="G68" s="9">
        <f t="shared" si="133"/>
        <v>1366.7167963925663</v>
      </c>
      <c r="H68" s="9">
        <f t="shared" si="133"/>
        <v>1296.859797158228</v>
      </c>
      <c r="I68" s="9">
        <f t="shared" si="133"/>
        <v>1239.4793000213615</v>
      </c>
      <c r="J68" s="9">
        <f t="shared" si="133"/>
        <v>1182.0988028844947</v>
      </c>
      <c r="K68" s="9">
        <f t="shared" si="133"/>
        <v>1124.7183057476277</v>
      </c>
      <c r="L68" s="9">
        <f t="shared" si="133"/>
        <v>1067.3378086107612</v>
      </c>
      <c r="M68" s="9">
        <f t="shared" si="133"/>
        <v>1009.9573114738946</v>
      </c>
      <c r="N68" s="9">
        <f t="shared" si="133"/>
        <v>999.72503080852971</v>
      </c>
      <c r="O68" s="9">
        <f t="shared" si="133"/>
        <v>989.49275014316447</v>
      </c>
      <c r="P68" s="9">
        <f t="shared" si="133"/>
        <v>979.26046947779946</v>
      </c>
      <c r="Q68" s="9">
        <f t="shared" si="133"/>
        <v>969.02818881243422</v>
      </c>
      <c r="R68" s="9">
        <f t="shared" si="133"/>
        <v>958.79590814706899</v>
      </c>
      <c r="S68" s="9">
        <f t="shared" si="133"/>
        <v>948.56362748170386</v>
      </c>
      <c r="T68" s="9">
        <f t="shared" si="133"/>
        <v>938.33134681633874</v>
      </c>
      <c r="U68" s="9">
        <f t="shared" si="133"/>
        <v>928.09906615097361</v>
      </c>
      <c r="V68" s="9">
        <f t="shared" si="133"/>
        <v>917.8667854856086</v>
      </c>
      <c r="W68" s="9">
        <f t="shared" si="133"/>
        <v>907.63450482024348</v>
      </c>
      <c r="X68" s="9">
        <f t="shared" si="133"/>
        <v>897.40222415487835</v>
      </c>
      <c r="Y68" s="9">
        <f t="shared" si="133"/>
        <v>887.16994348951323</v>
      </c>
      <c r="Z68" s="9">
        <f t="shared" si="133"/>
        <v>876.93766282414833</v>
      </c>
      <c r="AA68" s="9">
        <f t="shared" si="133"/>
        <v>866.70538215878321</v>
      </c>
      <c r="AB68" s="9">
        <f t="shared" si="133"/>
        <v>856.47310149341808</v>
      </c>
      <c r="AC68" s="9">
        <f t="shared" si="133"/>
        <v>846.24082082805296</v>
      </c>
      <c r="AD68" s="9">
        <f t="shared" si="133"/>
        <v>836.00854016268784</v>
      </c>
      <c r="AE68" s="9">
        <f t="shared" si="133"/>
        <v>825.77625949732271</v>
      </c>
      <c r="AF68" s="9">
        <f t="shared" si="133"/>
        <v>815.54397883195747</v>
      </c>
      <c r="AG68" s="9">
        <f t="shared" si="133"/>
        <v>805.31169816659258</v>
      </c>
    </row>
  </sheetData>
  <mergeCells count="1">
    <mergeCell ref="A50:B51"/>
  </mergeCell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32374263CF3D41AA39029A5DD8767E" ma:contentTypeVersion="2" ma:contentTypeDescription="Create a new document." ma:contentTypeScope="" ma:versionID="0433bcd2ec190c0e1cf9439abd4b7b40">
  <xsd:schema xmlns:xsd="http://www.w3.org/2001/XMLSchema" xmlns:xs="http://www.w3.org/2001/XMLSchema" xmlns:p="http://schemas.microsoft.com/office/2006/metadata/properties" xmlns:ns2="8349dfd3-ed97-4bfd-8460-3dff5853967a" targetNamespace="http://schemas.microsoft.com/office/2006/metadata/properties" ma:root="true" ma:fieldsID="8af9e54decfdce5aeb987d581f5b789f" ns2:_="">
    <xsd:import namespace="8349dfd3-ed97-4bfd-8460-3dff5853967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9dfd3-ed97-4bfd-8460-3dff585396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C40DC6-E768-4345-8325-01576D9E17DE}"/>
</file>

<file path=customXml/itemProps2.xml><?xml version="1.0" encoding="utf-8"?>
<ds:datastoreItem xmlns:ds="http://schemas.openxmlformats.org/officeDocument/2006/customXml" ds:itemID="{80965049-14B7-49BF-A709-A03C7E247F77}"/>
</file>

<file path=customXml/itemProps3.xml><?xml version="1.0" encoding="utf-8"?>
<ds:datastoreItem xmlns:ds="http://schemas.openxmlformats.org/officeDocument/2006/customXml" ds:itemID="{1886A311-D60E-4A58-B8AA-0CFFC0EC16E0}"/>
</file>

<file path=docProps/app.xml><?xml version="1.0" encoding="utf-8"?>
<Properties xmlns="http://schemas.openxmlformats.org/officeDocument/2006/extended-properties" xmlns:vt="http://schemas.openxmlformats.org/officeDocument/2006/docPropsVTypes">
  <Application>Microsoft Excel Online</Application>
  <Manager/>
  <Company>PUGET SOUND ENERGY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Hart, Douglass</dc:creator>
  <cp:keywords/>
  <dc:description/>
  <cp:lastModifiedBy>Tobin, Tyler</cp:lastModifiedBy>
  <cp:revision/>
  <dcterms:created xsi:type="dcterms:W3CDTF">2022-03-11T00:46:13Z</dcterms:created>
  <dcterms:modified xsi:type="dcterms:W3CDTF">2022-03-15T18:33:41Z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0x010100B132374263CF3D41AA39029A5DD8767E</vt:lpwstr>
  </property>
</Properties>
</file>