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estfile01v01\REACQ\ResourcePlanning\2023 IRP\03. Public Participation\01. Webinars\01_22_March 2022\ELECTRIC\FIles_For_Posting\"/>
    </mc:Choice>
  </mc:AlternateContent>
  <bookViews>
    <workbookView xWindow="0" yWindow="0" windowWidth="20175" windowHeight="6135" tabRatio="845"/>
  </bookViews>
  <sheets>
    <sheet name="Readme" sheetId="18" r:id="rId1"/>
    <sheet name="Metadata" sheetId="8" r:id="rId2"/>
    <sheet name="Offshore wind" sheetId="1" r:id="rId3"/>
    <sheet name="Onshore wind" sheetId="7" r:id="rId4"/>
    <sheet name="Solar +" sheetId="6" r:id="rId5"/>
    <sheet name="Batteries" sheetId="5" r:id="rId6"/>
    <sheet name="Pumped Storage Hydro" sheetId="9" r:id="rId7"/>
    <sheet name="CCCT" sheetId="3" r:id="rId8"/>
    <sheet name="Recip Peaker" sheetId="12" r:id="rId9"/>
    <sheet name="frame peaker" sheetId="13" r:id="rId10"/>
    <sheet name="Biomass" sheetId="10" r:id="rId11"/>
    <sheet name="Small Modular Nuclear" sheetId="11" r:id="rId12"/>
    <sheet name="CC matrix" sheetId="14" r:id="rId13"/>
    <sheet name="alt matrix" sheetId="17"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7" i="5" l="1"/>
  <c r="M19" i="6" l="1"/>
  <c r="N19" i="6"/>
  <c r="O19" i="6"/>
  <c r="P19" i="6"/>
  <c r="L19" i="6"/>
  <c r="I19" i="5" l="1"/>
  <c r="AB20" i="5"/>
  <c r="H19" i="5"/>
  <c r="W33" i="5"/>
  <c r="W34" i="5"/>
  <c r="W35" i="5"/>
  <c r="W36" i="5"/>
  <c r="W37" i="5"/>
  <c r="W38" i="5"/>
  <c r="W39" i="5"/>
  <c r="W40" i="5"/>
  <c r="U33" i="5"/>
  <c r="U34" i="5"/>
  <c r="U35" i="5"/>
  <c r="U36" i="5"/>
  <c r="U37" i="5"/>
  <c r="U38" i="5"/>
  <c r="U39" i="5"/>
  <c r="U40" i="5"/>
  <c r="U32" i="5"/>
  <c r="W32" i="5"/>
  <c r="T25" i="3" l="1"/>
  <c r="T27" i="3"/>
  <c r="P20" i="3"/>
  <c r="P7" i="3"/>
  <c r="T7" i="3" s="1"/>
  <c r="T16" i="3" s="1"/>
  <c r="D35" i="1"/>
  <c r="C35" i="1"/>
  <c r="B29" i="7"/>
  <c r="F45" i="1" l="1"/>
  <c r="D23" i="14" l="1"/>
  <c r="O22" i="14"/>
  <c r="O21" i="14"/>
  <c r="F21" i="14"/>
  <c r="L21" i="14"/>
  <c r="C22" i="14"/>
  <c r="D22" i="14"/>
  <c r="D21" i="14"/>
  <c r="C21" i="14"/>
  <c r="T76" i="3"/>
  <c r="T77" i="3"/>
  <c r="J31" i="3"/>
  <c r="I31" i="3"/>
  <c r="I71" i="3" s="1"/>
  <c r="J71" i="3"/>
  <c r="I72" i="3"/>
  <c r="J72" i="3"/>
  <c r="I73" i="3"/>
  <c r="U73" i="3"/>
  <c r="U74" i="3"/>
  <c r="U75" i="3"/>
  <c r="U76" i="3"/>
  <c r="U71" i="3"/>
  <c r="U72" i="3"/>
  <c r="T71" i="3"/>
  <c r="T72" i="3"/>
  <c r="T73" i="3"/>
  <c r="T74" i="3"/>
  <c r="T75" i="3"/>
  <c r="T70" i="3"/>
  <c r="U30" i="3"/>
  <c r="U32" i="3"/>
  <c r="T30" i="3"/>
  <c r="T32" i="3" s="1"/>
  <c r="F74" i="5"/>
  <c r="F72" i="5"/>
  <c r="E49" i="9" l="1"/>
  <c r="E47" i="9"/>
  <c r="B52" i="10"/>
  <c r="B53" i="10"/>
  <c r="U9" i="14" l="1"/>
  <c r="G15" i="14"/>
  <c r="G12" i="14"/>
  <c r="G9" i="14"/>
  <c r="F17" i="14"/>
  <c r="F19" i="14" s="1"/>
  <c r="F12" i="14"/>
  <c r="F7" i="14"/>
  <c r="F6" i="14"/>
  <c r="F5" i="14"/>
  <c r="C11" i="14"/>
  <c r="N54" i="1"/>
  <c r="N15" i="14" s="1"/>
  <c r="C5" i="7"/>
  <c r="V13" i="5"/>
  <c r="V38" i="5" s="1"/>
  <c r="D22" i="5"/>
  <c r="D46" i="5" s="1"/>
  <c r="C26" i="9"/>
  <c r="F11" i="14" s="1"/>
  <c r="C25" i="9"/>
  <c r="B9" i="12"/>
  <c r="B17" i="12" s="1"/>
  <c r="B47" i="12" s="1"/>
  <c r="E17" i="14" s="1"/>
  <c r="U17" i="14" s="1"/>
  <c r="F47" i="1"/>
  <c r="G47" i="1"/>
  <c r="F48" i="1"/>
  <c r="G48" i="1"/>
  <c r="F49" i="1"/>
  <c r="G49" i="1"/>
  <c r="F50" i="1"/>
  <c r="G50" i="1"/>
  <c r="F51" i="1"/>
  <c r="G51" i="1"/>
  <c r="F52" i="1"/>
  <c r="G52" i="1"/>
  <c r="F53" i="1"/>
  <c r="G53" i="1"/>
  <c r="F54" i="1"/>
  <c r="G54" i="1"/>
  <c r="F56" i="1"/>
  <c r="G56" i="1"/>
  <c r="F57" i="1"/>
  <c r="G57" i="1"/>
  <c r="F58" i="1"/>
  <c r="G58" i="1"/>
  <c r="F59" i="1"/>
  <c r="G59" i="1"/>
  <c r="F60" i="1"/>
  <c r="G60" i="1"/>
  <c r="F61" i="1"/>
  <c r="G61" i="1"/>
  <c r="F62" i="1"/>
  <c r="G62" i="1"/>
  <c r="G45" i="1"/>
  <c r="N48" i="1"/>
  <c r="N49" i="1"/>
  <c r="N50" i="1"/>
  <c r="N51" i="1"/>
  <c r="N52" i="1"/>
  <c r="N53" i="1"/>
  <c r="N55" i="1"/>
  <c r="N56" i="1"/>
  <c r="N58" i="1"/>
  <c r="N59" i="1"/>
  <c r="N47" i="1"/>
  <c r="B33" i="13"/>
  <c r="B34" i="13"/>
  <c r="D6" i="14" s="1"/>
  <c r="B35" i="13"/>
  <c r="B36" i="13"/>
  <c r="B37" i="13"/>
  <c r="B38" i="13"/>
  <c r="B39" i="13"/>
  <c r="D7" i="14" s="1"/>
  <c r="B40" i="13"/>
  <c r="D11" i="14" s="1"/>
  <c r="B41" i="13"/>
  <c r="D9" i="14" s="1"/>
  <c r="B42" i="13"/>
  <c r="D15" i="14" s="1"/>
  <c r="B43" i="13"/>
  <c r="D16" i="14" s="1"/>
  <c r="B45" i="13"/>
  <c r="D12" i="14" s="1"/>
  <c r="B49" i="13"/>
  <c r="B51" i="13"/>
  <c r="B52" i="13"/>
  <c r="B32" i="13"/>
  <c r="B33" i="12"/>
  <c r="B34" i="12"/>
  <c r="E6" i="14" s="1"/>
  <c r="B35" i="12"/>
  <c r="B36" i="12"/>
  <c r="B37" i="12"/>
  <c r="B38" i="12"/>
  <c r="B39" i="12"/>
  <c r="E7" i="14" s="1"/>
  <c r="B40" i="12"/>
  <c r="B41" i="12"/>
  <c r="E9" i="14" s="1"/>
  <c r="B43" i="12"/>
  <c r="E15" i="14" s="1"/>
  <c r="B44" i="12"/>
  <c r="E16" i="14" s="1"/>
  <c r="B45" i="12"/>
  <c r="B46" i="12"/>
  <c r="E12" i="14" s="1"/>
  <c r="B50" i="12"/>
  <c r="E21" i="14" s="1"/>
  <c r="B51" i="12"/>
  <c r="E22" i="14" s="1"/>
  <c r="B32" i="12"/>
  <c r="B32" i="10"/>
  <c r="B33" i="10"/>
  <c r="B34" i="10"/>
  <c r="B35" i="10"/>
  <c r="B37" i="10"/>
  <c r="B38" i="10"/>
  <c r="O11" i="14" s="1"/>
  <c r="B39" i="10"/>
  <c r="O9" i="14" s="1"/>
  <c r="B40" i="10"/>
  <c r="O15" i="14" s="1"/>
  <c r="B42" i="10"/>
  <c r="O12" i="14" s="1"/>
  <c r="B48" i="10"/>
  <c r="B49" i="10"/>
  <c r="B50" i="10"/>
  <c r="B51" i="10"/>
  <c r="B31" i="10"/>
  <c r="O5" i="14" s="1"/>
  <c r="B44" i="11"/>
  <c r="P21" i="14" s="1"/>
  <c r="B45" i="11"/>
  <c r="P22" i="14" s="1"/>
  <c r="B28" i="11"/>
  <c r="B29" i="11"/>
  <c r="B30" i="11"/>
  <c r="P6" i="14" s="1"/>
  <c r="B31" i="11"/>
  <c r="B32" i="11"/>
  <c r="B33" i="11"/>
  <c r="B34" i="11"/>
  <c r="B36" i="11"/>
  <c r="P11" i="14" s="1"/>
  <c r="B37" i="11"/>
  <c r="P9" i="14" s="1"/>
  <c r="B38" i="11"/>
  <c r="P15" i="14" s="1"/>
  <c r="B40" i="11"/>
  <c r="P12" i="14" s="1"/>
  <c r="B27" i="11"/>
  <c r="P5" i="14" s="1"/>
  <c r="M32" i="6"/>
  <c r="N32" i="6"/>
  <c r="O32" i="6"/>
  <c r="P32" i="6"/>
  <c r="M33" i="6"/>
  <c r="N33" i="6"/>
  <c r="O33" i="6"/>
  <c r="P33" i="6"/>
  <c r="M34" i="6"/>
  <c r="Q34" i="6" s="1"/>
  <c r="N34" i="6"/>
  <c r="O34" i="6"/>
  <c r="P34" i="6"/>
  <c r="M35" i="6"/>
  <c r="N35" i="6"/>
  <c r="O35" i="6"/>
  <c r="P35" i="6"/>
  <c r="M36" i="6"/>
  <c r="Q36" i="6" s="1"/>
  <c r="N36" i="6"/>
  <c r="O36" i="6"/>
  <c r="P36" i="6"/>
  <c r="M37" i="6"/>
  <c r="N37" i="6"/>
  <c r="O37" i="6"/>
  <c r="P37" i="6"/>
  <c r="M38" i="6"/>
  <c r="Q38" i="6" s="1"/>
  <c r="N38" i="6"/>
  <c r="O38" i="6"/>
  <c r="P38" i="6"/>
  <c r="M39" i="6"/>
  <c r="N39" i="6"/>
  <c r="O39" i="6"/>
  <c r="P39" i="6"/>
  <c r="M40" i="6"/>
  <c r="N40" i="6"/>
  <c r="O40" i="6"/>
  <c r="P40" i="6"/>
  <c r="M41" i="6"/>
  <c r="N41" i="6"/>
  <c r="O41" i="6"/>
  <c r="P41" i="6"/>
  <c r="L33" i="6"/>
  <c r="L34" i="6"/>
  <c r="L35" i="6"/>
  <c r="L36" i="6"/>
  <c r="L37" i="6"/>
  <c r="L38" i="6"/>
  <c r="L39" i="6"/>
  <c r="L40" i="6"/>
  <c r="L41" i="6"/>
  <c r="L32" i="6"/>
  <c r="I33" i="6"/>
  <c r="I34" i="6"/>
  <c r="I35" i="6"/>
  <c r="I37" i="6"/>
  <c r="L10" i="14" s="1"/>
  <c r="I38" i="6"/>
  <c r="I39" i="6"/>
  <c r="I41" i="6"/>
  <c r="I42" i="6"/>
  <c r="I43" i="6"/>
  <c r="I44" i="6"/>
  <c r="L15" i="14" s="1"/>
  <c r="I45" i="6"/>
  <c r="L11" i="14" s="1"/>
  <c r="I46" i="6"/>
  <c r="L12" i="14" s="1"/>
  <c r="I47" i="6"/>
  <c r="I50" i="6"/>
  <c r="I32" i="6"/>
  <c r="L5" i="14" s="1"/>
  <c r="C34" i="6"/>
  <c r="F34" i="6" s="1"/>
  <c r="D34" i="6"/>
  <c r="E34" i="6"/>
  <c r="C35" i="6"/>
  <c r="F35" i="6" s="1"/>
  <c r="D35" i="6"/>
  <c r="E35" i="6"/>
  <c r="C36" i="6"/>
  <c r="F36" i="6" s="1"/>
  <c r="D36" i="6"/>
  <c r="E36" i="6"/>
  <c r="C37" i="6"/>
  <c r="F37" i="6" s="1"/>
  <c r="D37" i="6"/>
  <c r="E37" i="6"/>
  <c r="C38" i="6"/>
  <c r="F38" i="6" s="1"/>
  <c r="D38" i="6"/>
  <c r="E38" i="6"/>
  <c r="C39" i="6"/>
  <c r="F39" i="6" s="1"/>
  <c r="J10" i="14" s="1"/>
  <c r="D39" i="6"/>
  <c r="E39" i="6"/>
  <c r="C40" i="6"/>
  <c r="F40" i="6" s="1"/>
  <c r="D40" i="6"/>
  <c r="E40" i="6"/>
  <c r="C41" i="6"/>
  <c r="F41" i="6" s="1"/>
  <c r="D41" i="6"/>
  <c r="E41" i="6"/>
  <c r="C43" i="6"/>
  <c r="F43" i="6" s="1"/>
  <c r="D43" i="6"/>
  <c r="E43" i="6"/>
  <c r="C44" i="6"/>
  <c r="F44" i="6" s="1"/>
  <c r="D44" i="6"/>
  <c r="E44" i="6"/>
  <c r="C45" i="6"/>
  <c r="F45" i="6" s="1"/>
  <c r="J15" i="14" s="1"/>
  <c r="D45" i="6"/>
  <c r="E45" i="6"/>
  <c r="C46" i="6"/>
  <c r="F46" i="6" s="1"/>
  <c r="D46" i="6"/>
  <c r="E46" i="6"/>
  <c r="C47" i="6"/>
  <c r="F47" i="6" s="1"/>
  <c r="J12" i="14" s="1"/>
  <c r="D47" i="6"/>
  <c r="E47" i="6"/>
  <c r="C48" i="6"/>
  <c r="F48" i="6" s="1"/>
  <c r="J11" i="14" s="1"/>
  <c r="D48" i="6"/>
  <c r="E48" i="6"/>
  <c r="C49" i="6"/>
  <c r="F49" i="6" s="1"/>
  <c r="D49" i="6"/>
  <c r="E49" i="6"/>
  <c r="D33" i="6"/>
  <c r="E33" i="6"/>
  <c r="C33" i="6"/>
  <c r="F33" i="6" s="1"/>
  <c r="R33" i="5"/>
  <c r="T33" i="5"/>
  <c r="X33" i="5"/>
  <c r="Q34" i="5"/>
  <c r="R34" i="5"/>
  <c r="S34" i="5"/>
  <c r="T34" i="5"/>
  <c r="V34" i="5"/>
  <c r="X34" i="5"/>
  <c r="Q35" i="5"/>
  <c r="R35" i="5"/>
  <c r="S35" i="5"/>
  <c r="T35" i="5"/>
  <c r="V35" i="5"/>
  <c r="X35" i="5"/>
  <c r="R36" i="5"/>
  <c r="T36" i="5"/>
  <c r="X36" i="5"/>
  <c r="R37" i="5"/>
  <c r="T37" i="5"/>
  <c r="X37" i="5"/>
  <c r="R38" i="5"/>
  <c r="T38" i="5"/>
  <c r="X38" i="5"/>
  <c r="Q39" i="5"/>
  <c r="R39" i="5"/>
  <c r="S39" i="5"/>
  <c r="T39" i="5"/>
  <c r="V39" i="5"/>
  <c r="X39" i="5"/>
  <c r="R32" i="5"/>
  <c r="T32" i="5"/>
  <c r="X32" i="5"/>
  <c r="I34" i="5"/>
  <c r="J34" i="5"/>
  <c r="K34" i="5"/>
  <c r="L34" i="5"/>
  <c r="M34" i="5"/>
  <c r="N34" i="5"/>
  <c r="I35" i="5"/>
  <c r="J35" i="5"/>
  <c r="K35" i="5"/>
  <c r="L35" i="5"/>
  <c r="M35" i="5"/>
  <c r="N35" i="5"/>
  <c r="L36" i="5"/>
  <c r="N36" i="5"/>
  <c r="J37" i="5"/>
  <c r="L37" i="5"/>
  <c r="N37" i="5"/>
  <c r="J38" i="5"/>
  <c r="L38" i="5"/>
  <c r="N38" i="5"/>
  <c r="I39" i="5"/>
  <c r="J39" i="5"/>
  <c r="K39" i="5"/>
  <c r="L39" i="5"/>
  <c r="M39" i="5"/>
  <c r="N39" i="5"/>
  <c r="C33" i="5"/>
  <c r="D33" i="5"/>
  <c r="E33" i="5"/>
  <c r="F33" i="5"/>
  <c r="C34" i="5"/>
  <c r="D34" i="5"/>
  <c r="E34" i="5"/>
  <c r="F34" i="5"/>
  <c r="C35" i="5"/>
  <c r="D35" i="5"/>
  <c r="E35" i="5"/>
  <c r="F35" i="5"/>
  <c r="C36" i="5"/>
  <c r="H10" i="14" s="1"/>
  <c r="D36" i="5"/>
  <c r="G10" i="14" s="1"/>
  <c r="E36" i="5"/>
  <c r="F36" i="5"/>
  <c r="C37" i="5"/>
  <c r="D37" i="5"/>
  <c r="E37" i="5"/>
  <c r="F37" i="5"/>
  <c r="C38" i="5"/>
  <c r="D38" i="5"/>
  <c r="E38" i="5"/>
  <c r="F38" i="5"/>
  <c r="C40" i="5"/>
  <c r="D40" i="5"/>
  <c r="E40" i="5"/>
  <c r="F40" i="5"/>
  <c r="C41" i="5"/>
  <c r="H9" i="14" s="1"/>
  <c r="D41" i="5"/>
  <c r="E41" i="5"/>
  <c r="F41" i="5"/>
  <c r="C42" i="5"/>
  <c r="D42" i="5"/>
  <c r="E42" i="5"/>
  <c r="F42" i="5"/>
  <c r="C43" i="5"/>
  <c r="H12" i="14" s="1"/>
  <c r="D43" i="5"/>
  <c r="E43" i="5"/>
  <c r="F43" i="5"/>
  <c r="C44" i="5"/>
  <c r="H11" i="14" s="1"/>
  <c r="D44" i="5"/>
  <c r="G11" i="14" s="1"/>
  <c r="E44" i="5"/>
  <c r="F44" i="5"/>
  <c r="C45" i="5"/>
  <c r="D45" i="5"/>
  <c r="E45" i="5"/>
  <c r="F45" i="5"/>
  <c r="D32" i="5"/>
  <c r="G5" i="14" s="1"/>
  <c r="E32" i="5"/>
  <c r="F32" i="5"/>
  <c r="C32" i="5"/>
  <c r="C33" i="7"/>
  <c r="B30" i="7"/>
  <c r="C30" i="7" s="1"/>
  <c r="B31" i="7"/>
  <c r="B32" i="7"/>
  <c r="C32" i="7" s="1"/>
  <c r="M5" i="14" s="1"/>
  <c r="B34" i="7"/>
  <c r="C34" i="7" s="1"/>
  <c r="B35" i="7"/>
  <c r="C35" i="7" s="1"/>
  <c r="B36" i="7"/>
  <c r="C36" i="7" s="1"/>
  <c r="B37" i="7"/>
  <c r="C37" i="7" s="1"/>
  <c r="M9" i="14" s="1"/>
  <c r="B38" i="7"/>
  <c r="C38" i="7" s="1"/>
  <c r="B39" i="7"/>
  <c r="B40" i="7"/>
  <c r="B42" i="7"/>
  <c r="C42" i="7" s="1"/>
  <c r="M8" i="14" s="1"/>
  <c r="B43" i="7"/>
  <c r="C43" i="7" s="1"/>
  <c r="M12" i="14" s="1"/>
  <c r="B44" i="7"/>
  <c r="C44" i="7" s="1"/>
  <c r="B45" i="7"/>
  <c r="C45" i="7" s="1"/>
  <c r="M17" i="14" s="1"/>
  <c r="M19" i="14" s="1"/>
  <c r="C29" i="7"/>
  <c r="C41" i="7"/>
  <c r="C40" i="7"/>
  <c r="M6" i="14" s="1"/>
  <c r="C39" i="7"/>
  <c r="C31" i="7"/>
  <c r="U77" i="3"/>
  <c r="U70" i="3"/>
  <c r="T60" i="3"/>
  <c r="T61" i="3"/>
  <c r="T62" i="3"/>
  <c r="C9" i="14" s="1"/>
  <c r="T63" i="3"/>
  <c r="T64" i="3"/>
  <c r="C8" i="14" s="1"/>
  <c r="T66" i="3"/>
  <c r="U66" i="3"/>
  <c r="N47" i="3"/>
  <c r="O47" i="3"/>
  <c r="Q47" i="3"/>
  <c r="R47" i="3"/>
  <c r="S47" i="3"/>
  <c r="N48" i="3"/>
  <c r="O48" i="3"/>
  <c r="Q48" i="3"/>
  <c r="R48" i="3"/>
  <c r="S48" i="3"/>
  <c r="N49" i="3"/>
  <c r="O49" i="3"/>
  <c r="Q49" i="3"/>
  <c r="R49" i="3"/>
  <c r="S49" i="3"/>
  <c r="N50" i="3"/>
  <c r="O50" i="3"/>
  <c r="Q50" i="3"/>
  <c r="R50" i="3"/>
  <c r="S50" i="3"/>
  <c r="N51" i="3"/>
  <c r="O51" i="3"/>
  <c r="Q51" i="3"/>
  <c r="R51" i="3"/>
  <c r="S51" i="3"/>
  <c r="N52" i="3"/>
  <c r="O52" i="3"/>
  <c r="Q52" i="3"/>
  <c r="R52" i="3"/>
  <c r="S52" i="3"/>
  <c r="N53" i="3"/>
  <c r="O53" i="3"/>
  <c r="Q53" i="3"/>
  <c r="R53" i="3"/>
  <c r="S53" i="3"/>
  <c r="N54" i="3"/>
  <c r="O54" i="3"/>
  <c r="Q54" i="3"/>
  <c r="R54" i="3"/>
  <c r="S54" i="3"/>
  <c r="N55" i="3"/>
  <c r="O55" i="3"/>
  <c r="Q55" i="3"/>
  <c r="R55" i="3"/>
  <c r="S55" i="3"/>
  <c r="M48" i="3"/>
  <c r="M49" i="3"/>
  <c r="M50" i="3"/>
  <c r="M51" i="3"/>
  <c r="M52" i="3"/>
  <c r="M53" i="3"/>
  <c r="M54" i="3"/>
  <c r="M55" i="3"/>
  <c r="M47" i="3"/>
  <c r="I74" i="3"/>
  <c r="J74" i="3"/>
  <c r="I75" i="3"/>
  <c r="J75" i="3"/>
  <c r="I76" i="3"/>
  <c r="J76" i="3"/>
  <c r="I77" i="3"/>
  <c r="J77" i="3"/>
  <c r="I78" i="3"/>
  <c r="J78" i="3"/>
  <c r="J73" i="3"/>
  <c r="J67" i="3"/>
  <c r="I67" i="3"/>
  <c r="I65" i="3"/>
  <c r="I64" i="3"/>
  <c r="I63" i="3"/>
  <c r="I62" i="3"/>
  <c r="I61" i="3"/>
  <c r="I60" i="3"/>
  <c r="B48" i="3"/>
  <c r="C48" i="3"/>
  <c r="D48" i="3"/>
  <c r="F48" i="3"/>
  <c r="G48" i="3"/>
  <c r="H48" i="3"/>
  <c r="B49" i="3"/>
  <c r="C49" i="3"/>
  <c r="D49" i="3"/>
  <c r="F49" i="3"/>
  <c r="G49" i="3"/>
  <c r="H49" i="3"/>
  <c r="B50" i="3"/>
  <c r="C50" i="3"/>
  <c r="D50" i="3"/>
  <c r="F50" i="3"/>
  <c r="G50" i="3"/>
  <c r="H50" i="3"/>
  <c r="B51" i="3"/>
  <c r="C51" i="3"/>
  <c r="D51" i="3"/>
  <c r="F51" i="3"/>
  <c r="G51" i="3"/>
  <c r="H51" i="3"/>
  <c r="B52" i="3"/>
  <c r="C52" i="3"/>
  <c r="D52" i="3"/>
  <c r="F52" i="3"/>
  <c r="G52" i="3"/>
  <c r="H52" i="3"/>
  <c r="B53" i="3"/>
  <c r="C53" i="3"/>
  <c r="D53" i="3"/>
  <c r="F53" i="3"/>
  <c r="G53" i="3"/>
  <c r="H53" i="3"/>
  <c r="B54" i="3"/>
  <c r="C54" i="3"/>
  <c r="D54" i="3"/>
  <c r="F54" i="3"/>
  <c r="G54" i="3"/>
  <c r="H54" i="3"/>
  <c r="B55" i="3"/>
  <c r="C55" i="3"/>
  <c r="D55" i="3"/>
  <c r="F55" i="3"/>
  <c r="G55" i="3"/>
  <c r="H55" i="3"/>
  <c r="B56" i="3"/>
  <c r="C56" i="3"/>
  <c r="D56" i="3"/>
  <c r="F56" i="3"/>
  <c r="G56" i="3"/>
  <c r="H56" i="3"/>
  <c r="C47" i="3"/>
  <c r="D47" i="3"/>
  <c r="F47" i="3"/>
  <c r="G47" i="3"/>
  <c r="H47" i="3"/>
  <c r="B47" i="3"/>
  <c r="E58" i="8"/>
  <c r="E59" i="8"/>
  <c r="E60" i="8"/>
  <c r="E61" i="8"/>
  <c r="E62" i="8"/>
  <c r="C6" i="7"/>
  <c r="C7" i="7"/>
  <c r="C8" i="7"/>
  <c r="C9" i="7"/>
  <c r="C10" i="7"/>
  <c r="C11" i="7"/>
  <c r="C12" i="7"/>
  <c r="C13" i="7"/>
  <c r="C14" i="7"/>
  <c r="C15" i="7"/>
  <c r="C16" i="7"/>
  <c r="C17" i="7"/>
  <c r="C18" i="7"/>
  <c r="C19" i="7"/>
  <c r="C20" i="7"/>
  <c r="C21" i="7"/>
  <c r="H7" i="1"/>
  <c r="H8" i="1"/>
  <c r="H47" i="1" s="1"/>
  <c r="H9" i="1"/>
  <c r="H48" i="1" s="1"/>
  <c r="H10" i="1"/>
  <c r="H49" i="1" s="1"/>
  <c r="H11" i="1"/>
  <c r="H50" i="1" s="1"/>
  <c r="H12" i="1"/>
  <c r="H51" i="1" s="1"/>
  <c r="H13" i="1"/>
  <c r="H52" i="1" s="1"/>
  <c r="H14" i="1"/>
  <c r="H53" i="1" s="1"/>
  <c r="H15" i="1"/>
  <c r="H54" i="1" s="1"/>
  <c r="N6" i="14" s="1"/>
  <c r="H16" i="1"/>
  <c r="H17" i="1"/>
  <c r="H56" i="1" s="1"/>
  <c r="H18" i="1"/>
  <c r="H57" i="1" s="1"/>
  <c r="H19" i="1"/>
  <c r="H58" i="1" s="1"/>
  <c r="N8" i="14" s="1"/>
  <c r="H20" i="1"/>
  <c r="H59" i="1" s="1"/>
  <c r="N12" i="14" s="1"/>
  <c r="H21" i="1"/>
  <c r="H60" i="1" s="1"/>
  <c r="H22" i="1"/>
  <c r="H61" i="1" s="1"/>
  <c r="H23" i="1"/>
  <c r="H62" i="1" s="1"/>
  <c r="H6" i="1"/>
  <c r="H45" i="1" s="1"/>
  <c r="N5" i="14" s="1"/>
  <c r="C40" i="9"/>
  <c r="B40" i="9"/>
  <c r="C24" i="9"/>
  <c r="C31" i="9" s="1"/>
  <c r="B30" i="9"/>
  <c r="B24" i="9"/>
  <c r="B31" i="9" s="1"/>
  <c r="Q41" i="6" l="1"/>
  <c r="Q40" i="6"/>
  <c r="K10" i="14" s="1"/>
  <c r="D5" i="14"/>
  <c r="E5" i="14"/>
  <c r="U5" i="14" s="1"/>
  <c r="E11" i="14"/>
  <c r="O6" i="14"/>
  <c r="Q39" i="6"/>
  <c r="Q37" i="6"/>
  <c r="K6" i="14" s="1"/>
  <c r="Q35" i="6"/>
  <c r="Q33" i="6"/>
  <c r="Q32" i="6"/>
  <c r="J6" i="14"/>
  <c r="K5" i="14"/>
  <c r="J5" i="14"/>
  <c r="D60" i="5"/>
  <c r="C61" i="5"/>
  <c r="H15" i="14" s="1"/>
  <c r="D59" i="5"/>
  <c r="I7" i="14" s="1"/>
  <c r="C56" i="5"/>
  <c r="C57" i="5"/>
  <c r="G6" i="14"/>
  <c r="D58" i="5"/>
  <c r="D56" i="5"/>
  <c r="D61" i="5"/>
  <c r="I15" i="14" s="1"/>
  <c r="D57" i="5"/>
  <c r="M57" i="3"/>
  <c r="C6" i="14" s="1"/>
  <c r="N11" i="14"/>
  <c r="N17" i="14"/>
  <c r="AD17" i="14" s="1"/>
  <c r="U12" i="14"/>
  <c r="AC5" i="14"/>
  <c r="U15" i="14"/>
  <c r="U16" i="14"/>
  <c r="AC12" i="14"/>
  <c r="U7" i="14"/>
  <c r="AC9" i="14"/>
  <c r="AD5" i="14"/>
  <c r="AC6" i="14"/>
  <c r="AC8" i="14"/>
  <c r="AC17" i="14"/>
  <c r="V7" i="14"/>
  <c r="V11" i="14"/>
  <c r="V6" i="14"/>
  <c r="V5" i="14"/>
  <c r="V12" i="14"/>
  <c r="V17" i="14"/>
  <c r="U6" i="14"/>
  <c r="U11" i="14"/>
  <c r="E19" i="14"/>
  <c r="I23" i="6"/>
  <c r="I49" i="6" s="1"/>
  <c r="L17" i="14" s="1"/>
  <c r="AB17" i="14" s="1"/>
  <c r="I14" i="6"/>
  <c r="I40" i="6" s="1"/>
  <c r="L7" i="14" s="1"/>
  <c r="I22" i="6"/>
  <c r="I48" i="6" s="1"/>
  <c r="C24" i="6"/>
  <c r="C50" i="6" s="1"/>
  <c r="I10" i="6"/>
  <c r="I36" i="6" s="1"/>
  <c r="L6" i="14" s="1"/>
  <c r="B14" i="13"/>
  <c r="B44" i="13" s="1"/>
  <c r="B14" i="11"/>
  <c r="B39" i="11" s="1"/>
  <c r="B10" i="11"/>
  <c r="B35" i="11" s="1"/>
  <c r="P7" i="14" s="1"/>
  <c r="N18" i="1"/>
  <c r="N57" i="1" s="1"/>
  <c r="N7" i="14" s="1"/>
  <c r="B14" i="10"/>
  <c r="B41" i="10" s="1"/>
  <c r="B9" i="10"/>
  <c r="B36" i="10" s="1"/>
  <c r="O7" i="14" s="1"/>
  <c r="D7" i="9"/>
  <c r="C10" i="9"/>
  <c r="D10" i="9"/>
  <c r="E10" i="9"/>
  <c r="B10" i="9"/>
  <c r="B7" i="9"/>
  <c r="Q7" i="5"/>
  <c r="Q32" i="5" s="1"/>
  <c r="V12" i="5"/>
  <c r="V37" i="5" s="1"/>
  <c r="V11" i="5"/>
  <c r="V36" i="5" s="1"/>
  <c r="V8" i="5"/>
  <c r="V33" i="5" s="1"/>
  <c r="V7" i="5"/>
  <c r="V32" i="5" s="1"/>
  <c r="S13" i="5"/>
  <c r="S38" i="5" s="1"/>
  <c r="S12" i="5"/>
  <c r="S37" i="5" s="1"/>
  <c r="S11" i="5"/>
  <c r="S36" i="5" s="1"/>
  <c r="S8" i="5"/>
  <c r="S33" i="5" s="1"/>
  <c r="S7" i="5"/>
  <c r="S32" i="5" s="1"/>
  <c r="R15" i="5"/>
  <c r="R40" i="5" s="1"/>
  <c r="T15" i="5"/>
  <c r="T40" i="5" s="1"/>
  <c r="X15" i="5"/>
  <c r="X40" i="5" s="1"/>
  <c r="Q13" i="5"/>
  <c r="Q38" i="5" s="1"/>
  <c r="Q12" i="5"/>
  <c r="Q37" i="5" s="1"/>
  <c r="Q11" i="5"/>
  <c r="Q36" i="5" s="1"/>
  <c r="Q8" i="5"/>
  <c r="Q33" i="5" s="1"/>
  <c r="N19" i="14" l="1"/>
  <c r="AB7" i="14"/>
  <c r="B16" i="10"/>
  <c r="B43" i="10" s="1"/>
  <c r="O17" i="14" s="1"/>
  <c r="AB6" i="14"/>
  <c r="L19" i="14"/>
  <c r="AB11" i="14"/>
  <c r="AB15" i="14"/>
  <c r="AB12" i="14"/>
  <c r="AB5" i="14"/>
  <c r="AB10" i="14"/>
  <c r="V15" i="5"/>
  <c r="V40" i="5" s="1"/>
  <c r="Q15" i="5"/>
  <c r="Q40" i="5" s="1"/>
  <c r="B16" i="11"/>
  <c r="B41" i="11" s="1"/>
  <c r="P17" i="14" s="1"/>
  <c r="AF17" i="14" s="1"/>
  <c r="AD15" i="14"/>
  <c r="AD11" i="14"/>
  <c r="AD12" i="14"/>
  <c r="AD8" i="14"/>
  <c r="AD6" i="14"/>
  <c r="N21" i="1"/>
  <c r="N60" i="1" s="1"/>
  <c r="AD7" i="14"/>
  <c r="AF15" i="14"/>
  <c r="AF5" i="14"/>
  <c r="AF6" i="14"/>
  <c r="B16" i="13"/>
  <c r="B46" i="13" s="1"/>
  <c r="D17" i="14" s="1"/>
  <c r="S15" i="5"/>
  <c r="S40" i="5" s="1"/>
  <c r="M13" i="5"/>
  <c r="M12" i="5"/>
  <c r="M37" i="5" s="1"/>
  <c r="C59" i="5" s="1"/>
  <c r="H7" i="14" s="1"/>
  <c r="M11" i="5"/>
  <c r="M36" i="5" s="1"/>
  <c r="C58" i="5" s="1"/>
  <c r="K13" i="5"/>
  <c r="K38" i="5" s="1"/>
  <c r="K12" i="5"/>
  <c r="K11" i="5"/>
  <c r="K36" i="5" s="1"/>
  <c r="J11" i="5"/>
  <c r="J36" i="5" s="1"/>
  <c r="I13" i="5"/>
  <c r="I38" i="5" s="1"/>
  <c r="I12" i="5"/>
  <c r="I37" i="5" s="1"/>
  <c r="I11" i="5"/>
  <c r="I36" i="5" s="1"/>
  <c r="N8" i="5"/>
  <c r="N33" i="5" s="1"/>
  <c r="D55" i="5" s="1"/>
  <c r="I6" i="14" s="1"/>
  <c r="M8" i="5"/>
  <c r="M33" i="5" s="1"/>
  <c r="C55" i="5" s="1"/>
  <c r="H6" i="14" s="1"/>
  <c r="K8" i="5"/>
  <c r="K33" i="5" s="1"/>
  <c r="L8" i="5"/>
  <c r="L33" i="5" s="1"/>
  <c r="J8" i="5"/>
  <c r="J33" i="5" s="1"/>
  <c r="I8" i="5"/>
  <c r="I33" i="5" s="1"/>
  <c r="K7" i="5"/>
  <c r="K32" i="5" s="1"/>
  <c r="M7" i="5"/>
  <c r="M32" i="5" s="1"/>
  <c r="C54" i="5" s="1"/>
  <c r="H5" i="14" s="1"/>
  <c r="N7" i="5"/>
  <c r="N32" i="5" s="1"/>
  <c r="D54" i="5" s="1"/>
  <c r="I5" i="14" s="1"/>
  <c r="L7" i="5"/>
  <c r="L32" i="5" s="1"/>
  <c r="J7" i="5"/>
  <c r="J32" i="5" s="1"/>
  <c r="I7" i="5"/>
  <c r="I32" i="5" s="1"/>
  <c r="M42" i="6"/>
  <c r="N42" i="6"/>
  <c r="O42" i="6"/>
  <c r="P42" i="6"/>
  <c r="L42" i="6"/>
  <c r="AF11" i="14" l="1"/>
  <c r="AF7" i="14"/>
  <c r="AF12" i="14"/>
  <c r="O19" i="14"/>
  <c r="AE12" i="14"/>
  <c r="AE5" i="14"/>
  <c r="AE6" i="14"/>
  <c r="AE9" i="14"/>
  <c r="AE15" i="14"/>
  <c r="AE11" i="14"/>
  <c r="AE17" i="14"/>
  <c r="AE7" i="14"/>
  <c r="Q42" i="6"/>
  <c r="N15" i="5"/>
  <c r="N40" i="5" s="1"/>
  <c r="D62" i="5" s="1"/>
  <c r="I17" i="14" s="1"/>
  <c r="Y15" i="14" s="1"/>
  <c r="J15" i="5"/>
  <c r="J40" i="5" s="1"/>
  <c r="M15" i="5"/>
  <c r="M40" i="5" s="1"/>
  <c r="M38" i="5"/>
  <c r="C60" i="5" s="1"/>
  <c r="I15" i="5"/>
  <c r="I40" i="5" s="1"/>
  <c r="L15" i="5"/>
  <c r="L40" i="5" s="1"/>
  <c r="K15" i="5"/>
  <c r="K40" i="5" s="1"/>
  <c r="K37" i="5"/>
  <c r="AF9" i="14"/>
  <c r="T17" i="14"/>
  <c r="T7" i="14"/>
  <c r="D19" i="14"/>
  <c r="T12" i="14"/>
  <c r="T16" i="14"/>
  <c r="T5" i="14"/>
  <c r="T6" i="14"/>
  <c r="T11" i="14"/>
  <c r="T15" i="14"/>
  <c r="T9" i="14"/>
  <c r="K17" i="14" l="1"/>
  <c r="Y5" i="14"/>
  <c r="Y17" i="14"/>
  <c r="Y6" i="14"/>
  <c r="Y7" i="14"/>
  <c r="C5" i="1"/>
  <c r="C6" i="1"/>
  <c r="C7" i="1"/>
  <c r="C4" i="1"/>
  <c r="E24" i="6"/>
  <c r="E50" i="6" s="1"/>
  <c r="D24" i="6"/>
  <c r="D50" i="6" s="1"/>
  <c r="F50" i="6" s="1"/>
  <c r="E16" i="6"/>
  <c r="E42" i="6" s="1"/>
  <c r="D16" i="6"/>
  <c r="D42" i="6" s="1"/>
  <c r="C16" i="6"/>
  <c r="C8" i="1" l="1"/>
  <c r="K19" i="14"/>
  <c r="AA10" i="14"/>
  <c r="AA17" i="14"/>
  <c r="AA5" i="14"/>
  <c r="AA6" i="14"/>
  <c r="C25" i="6"/>
  <c r="C51" i="6" s="1"/>
  <c r="C42" i="6"/>
  <c r="F42" i="6" s="1"/>
  <c r="J7" i="14" s="1"/>
  <c r="D25" i="6"/>
  <c r="D51" i="6" s="1"/>
  <c r="E25" i="6"/>
  <c r="E51" i="6" s="1"/>
  <c r="E22" i="5"/>
  <c r="E46" i="5" s="1"/>
  <c r="F22" i="5"/>
  <c r="F46" i="5" s="1"/>
  <c r="C22" i="5"/>
  <c r="C46" i="5" s="1"/>
  <c r="D15" i="5"/>
  <c r="E15" i="5"/>
  <c r="E39" i="5" s="1"/>
  <c r="F15" i="5"/>
  <c r="F39" i="5" s="1"/>
  <c r="C15" i="5"/>
  <c r="F51" i="6" l="1"/>
  <c r="J17" i="14" s="1"/>
  <c r="D23" i="5"/>
  <c r="D39" i="5"/>
  <c r="G7" i="14" s="1"/>
  <c r="C23" i="5"/>
  <c r="C47" i="5" s="1"/>
  <c r="C62" i="5" s="1"/>
  <c r="H17" i="14" s="1"/>
  <c r="C39" i="5"/>
  <c r="E23" i="5"/>
  <c r="E47" i="5" s="1"/>
  <c r="F23" i="5"/>
  <c r="F47" i="5" s="1"/>
  <c r="Z17" i="14" l="1"/>
  <c r="Z6" i="14"/>
  <c r="Z10" i="14"/>
  <c r="Z15" i="14"/>
  <c r="Z11" i="14"/>
  <c r="Z12" i="14"/>
  <c r="J19" i="14"/>
  <c r="Z5" i="14"/>
  <c r="Z7" i="14"/>
  <c r="H19" i="14"/>
  <c r="X12" i="14"/>
  <c r="X9" i="14"/>
  <c r="X17" i="14"/>
  <c r="X10" i="14"/>
  <c r="X15" i="14"/>
  <c r="X11" i="14"/>
  <c r="X6" i="14"/>
  <c r="X7" i="14"/>
  <c r="X5" i="14"/>
  <c r="D47" i="5"/>
  <c r="G17" i="14"/>
  <c r="U20" i="3"/>
  <c r="U60" i="3" s="1"/>
  <c r="U21" i="3"/>
  <c r="U61" i="3" s="1"/>
  <c r="U22" i="3"/>
  <c r="U62" i="3" s="1"/>
  <c r="U23" i="3"/>
  <c r="U63" i="3" s="1"/>
  <c r="U24" i="3"/>
  <c r="U64" i="3" s="1"/>
  <c r="T19" i="3"/>
  <c r="T59" i="3" s="1"/>
  <c r="P9" i="3"/>
  <c r="P8" i="3"/>
  <c r="P48" i="3" s="1"/>
  <c r="S16" i="3"/>
  <c r="R16" i="3"/>
  <c r="R56" i="3" s="1"/>
  <c r="Q16" i="3"/>
  <c r="Q56" i="3" s="1"/>
  <c r="C7" i="14" s="1"/>
  <c r="O16" i="3"/>
  <c r="O56" i="3" s="1"/>
  <c r="C10" i="14" s="1"/>
  <c r="N16" i="3"/>
  <c r="N56" i="3" s="1"/>
  <c r="M16" i="3"/>
  <c r="M56" i="3" s="1"/>
  <c r="P15" i="3"/>
  <c r="P14" i="3"/>
  <c r="P13" i="3"/>
  <c r="P12" i="3"/>
  <c r="P11" i="3"/>
  <c r="P10" i="3"/>
  <c r="J25" i="3"/>
  <c r="J65" i="3" s="1"/>
  <c r="J24" i="3"/>
  <c r="J64" i="3" s="1"/>
  <c r="J21" i="3"/>
  <c r="J61" i="3" s="1"/>
  <c r="J22" i="3"/>
  <c r="J62" i="3" s="1"/>
  <c r="J23" i="3"/>
  <c r="J63" i="3" s="1"/>
  <c r="J20" i="3"/>
  <c r="J60" i="3" s="1"/>
  <c r="C17" i="3"/>
  <c r="C57" i="3" s="1"/>
  <c r="D17" i="3"/>
  <c r="D57" i="3" s="1"/>
  <c r="F17" i="3"/>
  <c r="F57" i="3" s="1"/>
  <c r="G17" i="3"/>
  <c r="G57" i="3" s="1"/>
  <c r="H17" i="3"/>
  <c r="H57" i="3" s="1"/>
  <c r="B17" i="3"/>
  <c r="B57" i="3" s="1"/>
  <c r="E16" i="3"/>
  <c r="E8" i="3"/>
  <c r="E9" i="3"/>
  <c r="E10" i="3"/>
  <c r="E11" i="3"/>
  <c r="E12" i="3"/>
  <c r="E13" i="3"/>
  <c r="E14" i="3"/>
  <c r="E15" i="3"/>
  <c r="E7" i="3"/>
  <c r="B23" i="1"/>
  <c r="G19" i="14" l="1"/>
  <c r="W15" i="14"/>
  <c r="W10" i="14"/>
  <c r="W6" i="14"/>
  <c r="W17" i="14"/>
  <c r="W9" i="14"/>
  <c r="W11" i="14"/>
  <c r="W5" i="14"/>
  <c r="W12" i="14"/>
  <c r="W7" i="14"/>
  <c r="U19" i="3"/>
  <c r="U59" i="3" s="1"/>
  <c r="I15" i="3"/>
  <c r="E55" i="3"/>
  <c r="T12" i="3"/>
  <c r="P52" i="3"/>
  <c r="C12" i="14"/>
  <c r="S56" i="3"/>
  <c r="T14" i="3"/>
  <c r="P54" i="3"/>
  <c r="I14" i="3"/>
  <c r="E54" i="3"/>
  <c r="T13" i="3"/>
  <c r="P53" i="3"/>
  <c r="I13" i="3"/>
  <c r="E53" i="3"/>
  <c r="T15" i="3"/>
  <c r="P55" i="3"/>
  <c r="T9" i="3"/>
  <c r="T49" i="3" s="1"/>
  <c r="P49" i="3"/>
  <c r="I7" i="3"/>
  <c r="I47" i="3" s="1"/>
  <c r="E47" i="3"/>
  <c r="I12" i="3"/>
  <c r="E52" i="3"/>
  <c r="I11" i="3"/>
  <c r="E51" i="3"/>
  <c r="C5" i="14"/>
  <c r="T11" i="3"/>
  <c r="P51" i="3"/>
  <c r="I16" i="3"/>
  <c r="E56" i="3"/>
  <c r="I10" i="3"/>
  <c r="E50" i="3"/>
  <c r="P47" i="3"/>
  <c r="T47" i="3"/>
  <c r="I8" i="3"/>
  <c r="I48" i="3" s="1"/>
  <c r="E48" i="3"/>
  <c r="I9" i="3"/>
  <c r="E49" i="3"/>
  <c r="T10" i="3"/>
  <c r="P50" i="3"/>
  <c r="T8" i="3"/>
  <c r="E17" i="3"/>
  <c r="E57" i="3" s="1"/>
  <c r="P16" i="3"/>
  <c r="U9" i="3"/>
  <c r="U49" i="3" s="1"/>
  <c r="P56" i="3" l="1"/>
  <c r="J7" i="3"/>
  <c r="J47" i="3" s="1"/>
  <c r="U15" i="3"/>
  <c r="U55" i="3" s="1"/>
  <c r="T55" i="3"/>
  <c r="J13" i="3"/>
  <c r="J53" i="3" s="1"/>
  <c r="I53" i="3"/>
  <c r="J16" i="3"/>
  <c r="J56" i="3" s="1"/>
  <c r="I56" i="3"/>
  <c r="U14" i="3"/>
  <c r="U54" i="3" s="1"/>
  <c r="T54" i="3"/>
  <c r="U13" i="3"/>
  <c r="U53" i="3" s="1"/>
  <c r="T53" i="3"/>
  <c r="U12" i="3"/>
  <c r="U52" i="3" s="1"/>
  <c r="T52" i="3"/>
  <c r="J10" i="3"/>
  <c r="J50" i="3" s="1"/>
  <c r="I50" i="3"/>
  <c r="U8" i="3"/>
  <c r="U48" i="3" s="1"/>
  <c r="T48" i="3"/>
  <c r="U11" i="3"/>
  <c r="U51" i="3" s="1"/>
  <c r="T51" i="3"/>
  <c r="U10" i="3"/>
  <c r="U50" i="3" s="1"/>
  <c r="T50" i="3"/>
  <c r="J11" i="3"/>
  <c r="J51" i="3" s="1"/>
  <c r="I51" i="3"/>
  <c r="J12" i="3"/>
  <c r="J52" i="3" s="1"/>
  <c r="I52" i="3"/>
  <c r="J15" i="3"/>
  <c r="J55" i="3" s="1"/>
  <c r="I55" i="3"/>
  <c r="J9" i="3"/>
  <c r="J49" i="3" s="1"/>
  <c r="I49" i="3"/>
  <c r="I17" i="3"/>
  <c r="J14" i="3"/>
  <c r="J54" i="3" s="1"/>
  <c r="I54" i="3"/>
  <c r="J8" i="3"/>
  <c r="J48" i="3" s="1"/>
  <c r="U7" i="3"/>
  <c r="B32" i="1"/>
  <c r="U47" i="3" l="1"/>
  <c r="U16" i="3"/>
  <c r="J17" i="3"/>
  <c r="J57" i="3" s="1"/>
  <c r="U56" i="3"/>
  <c r="T56" i="3"/>
  <c r="I57" i="3"/>
  <c r="I26" i="3"/>
  <c r="T65" i="3" l="1"/>
  <c r="U25" i="3"/>
  <c r="U65" i="3" s="1"/>
  <c r="I66" i="3"/>
  <c r="I28" i="3"/>
  <c r="J26" i="3"/>
  <c r="J66" i="3" s="1"/>
  <c r="I68" i="3" l="1"/>
  <c r="J28" i="3"/>
  <c r="J68" i="3" s="1"/>
  <c r="U27" i="3"/>
  <c r="U67" i="3" s="1"/>
  <c r="T67" i="3"/>
  <c r="C17" i="14" s="1"/>
  <c r="S17" i="14" l="1"/>
  <c r="S11" i="14"/>
  <c r="S8" i="14"/>
  <c r="S9" i="14"/>
  <c r="S6" i="14"/>
  <c r="C19" i="14"/>
  <c r="S7" i="14"/>
  <c r="S10" i="14"/>
  <c r="S5" i="14"/>
  <c r="S12" i="14"/>
</calcChain>
</file>

<file path=xl/sharedStrings.xml><?xml version="1.0" encoding="utf-8"?>
<sst xmlns="http://schemas.openxmlformats.org/spreadsheetml/2006/main" count="1703" uniqueCount="771">
  <si>
    <t>source:</t>
  </si>
  <si>
    <t>https://www.nrel.gov/docs/fy16osti/66579.pdf</t>
  </si>
  <si>
    <t>Table 5</t>
  </si>
  <si>
    <t>Turbine</t>
  </si>
  <si>
    <t>Development</t>
  </si>
  <si>
    <t>Ports &amp; Staging</t>
  </si>
  <si>
    <t>Operations</t>
  </si>
  <si>
    <t>Cost ($/kW)</t>
  </si>
  <si>
    <t>costs listed in 2015 dollars</t>
  </si>
  <si>
    <t>modeled for year 2015</t>
  </si>
  <si>
    <t>Engineering &amp; Mgmt</t>
  </si>
  <si>
    <t>Factor</t>
  </si>
  <si>
    <t>3.5% of all CAPEX</t>
  </si>
  <si>
    <t>Installation Contingency</t>
  </si>
  <si>
    <t>Procurement Contingency</t>
  </si>
  <si>
    <t>Decommissioning</t>
  </si>
  <si>
    <t>30% installation CAPEX</t>
  </si>
  <si>
    <t>5% non-installation CAPEX</t>
  </si>
  <si>
    <t>15% Installation CAPEX</t>
  </si>
  <si>
    <t>cost / t (USD)</t>
  </si>
  <si>
    <t>Pile</t>
  </si>
  <si>
    <t>Monopile Transition Piece</t>
  </si>
  <si>
    <t>Jacket Main Lattice Structure</t>
  </si>
  <si>
    <t>Jacket Transition Piece</t>
  </si>
  <si>
    <t>Floating Component Costs</t>
  </si>
  <si>
    <t>Stiffened Column</t>
  </si>
  <si>
    <t>Tapered Column</t>
  </si>
  <si>
    <t>Truss Members</t>
  </si>
  <si>
    <t>Heave Plate</t>
  </si>
  <si>
    <t>Outfitting</t>
  </si>
  <si>
    <t>Fixed Ballast</t>
  </si>
  <si>
    <t>Total</t>
  </si>
  <si>
    <t>Total Fixed CC</t>
  </si>
  <si>
    <t>Total Floating CC</t>
  </si>
  <si>
    <t>Description</t>
  </si>
  <si>
    <t>B31A</t>
  </si>
  <si>
    <t>B31B</t>
  </si>
  <si>
    <t>Consumables</t>
  </si>
  <si>
    <t>Waste Disposal</t>
  </si>
  <si>
    <t xml:space="preserve">Source: </t>
  </si>
  <si>
    <t>https://www.netl.doe.gov/projects/files/CostAndPerformanceBaselineForFossilEnergyPlantsVol1BitumCoalAndNGtoElectBBRRev4-1_092419.pdf</t>
  </si>
  <si>
    <t>BOP</t>
  </si>
  <si>
    <t>Engineering CM H.O.&amp; Fee</t>
  </si>
  <si>
    <t>Contingencies</t>
  </si>
  <si>
    <t>Notes</t>
  </si>
  <si>
    <t>Gasifier/Boiler tech: HRSG</t>
  </si>
  <si>
    <t>Feedwater &amp; Misc. BOP Systems</t>
  </si>
  <si>
    <t>Flue Gas Cleanup</t>
  </si>
  <si>
    <t>CT &amp; Accessories</t>
  </si>
  <si>
    <t>HRSG, Ductwork &amp; Stack</t>
  </si>
  <si>
    <t>Steam Turbine &amp; Accessories</t>
  </si>
  <si>
    <t>Accessory Electric Plant</t>
  </si>
  <si>
    <t>Instrumentation &amp; Control</t>
  </si>
  <si>
    <t>Improvements to Site</t>
  </si>
  <si>
    <t>Building &amp; Structure</t>
  </si>
  <si>
    <t>Equipment Cost</t>
  </si>
  <si>
    <t>Material Cost</t>
  </si>
  <si>
    <t>Labor</t>
  </si>
  <si>
    <t>Bare Erected Cost</t>
  </si>
  <si>
    <t>Process</t>
  </si>
  <si>
    <t>Project</t>
  </si>
  <si>
    <t>Total Plant Cost</t>
  </si>
  <si>
    <t>$/1,000</t>
  </si>
  <si>
    <t>$/kW</t>
  </si>
  <si>
    <t xml:space="preserve">Case: </t>
  </si>
  <si>
    <t>Plant Size (MW, net):</t>
  </si>
  <si>
    <t>2X1 CT NGCC w/CO2</t>
  </si>
  <si>
    <t>Cooling Water System</t>
  </si>
  <si>
    <t>Owners Cost</t>
  </si>
  <si>
    <t>Pre-Production Costs</t>
  </si>
  <si>
    <t>Inventory Capital</t>
  </si>
  <si>
    <t>Initial Cost for Catalyst &amp; Chemicals</t>
  </si>
  <si>
    <t>Land</t>
  </si>
  <si>
    <t>Other Owner's Costs</t>
  </si>
  <si>
    <t>Financing Costs</t>
  </si>
  <si>
    <t>Total Overnight Costs</t>
  </si>
  <si>
    <t>TASC Multiplier (IOU, 33 year)</t>
  </si>
  <si>
    <t>Total As-Spent Cost</t>
  </si>
  <si>
    <t>Annual Operating &amp; Maintenance Costs</t>
  </si>
  <si>
    <t>$</t>
  </si>
  <si>
    <t>$/kW-net</t>
  </si>
  <si>
    <t>Variable Operating Costs Total</t>
  </si>
  <si>
    <t>Maintenance Material</t>
  </si>
  <si>
    <t>Fuel Cost</t>
  </si>
  <si>
    <t>2X1 CT NGCC w/o CO2</t>
  </si>
  <si>
    <t>Battery (4hr, Li-Ion)</t>
  </si>
  <si>
    <t>Battery (2hr, Li-Ion)</t>
  </si>
  <si>
    <t>Battery (4hr, Flow)</t>
  </si>
  <si>
    <t>Battery (6hr, Flow)</t>
  </si>
  <si>
    <t>https://www.nrel.gov/docs/fy21osti/77324.pdf</t>
  </si>
  <si>
    <t>Notes:</t>
  </si>
  <si>
    <t>assumed model baseline 100-MW 1,500 Vdc using 72 cell monocrystalline 19.5% efficient modules</t>
  </si>
  <si>
    <t>Developer overhead</t>
  </si>
  <si>
    <t>Contingency</t>
  </si>
  <si>
    <t>Source: Table 18</t>
  </si>
  <si>
    <t>Size</t>
  </si>
  <si>
    <t>4 hour</t>
  </si>
  <si>
    <t>2 hour</t>
  </si>
  <si>
    <t>1 hour</t>
  </si>
  <si>
    <t>.5 hour</t>
  </si>
  <si>
    <t>Module Components Cost in $</t>
  </si>
  <si>
    <t>LI-ion Battery</t>
  </si>
  <si>
    <t>Battery central inverter</t>
  </si>
  <si>
    <t>Structural BOS</t>
  </si>
  <si>
    <t>Electrical BOS</t>
  </si>
  <si>
    <t>EPC overheard</t>
  </si>
  <si>
    <t>Sales Tax at 5%</t>
  </si>
  <si>
    <t>Total EPC</t>
  </si>
  <si>
    <t>Install. Labor &amp; equip.</t>
  </si>
  <si>
    <t>Land acquisition</t>
  </si>
  <si>
    <t>Permitting fee</t>
  </si>
  <si>
    <t>Interconnection fee</t>
  </si>
  <si>
    <t>EPC/developer profit</t>
  </si>
  <si>
    <t>Developer cost</t>
  </si>
  <si>
    <t>Total energy storage system cost</t>
  </si>
  <si>
    <t>Source: Table 21</t>
  </si>
  <si>
    <t>Configuration</t>
  </si>
  <si>
    <t>DC-coupled, colocated</t>
  </si>
  <si>
    <t>AC-coupled, colocated</t>
  </si>
  <si>
    <t>in Different States</t>
  </si>
  <si>
    <t>PV module</t>
  </si>
  <si>
    <t>Solar interver</t>
  </si>
  <si>
    <t>Bidirectional inverter</t>
  </si>
  <si>
    <t>Transmission line</t>
  </si>
  <si>
    <t>total cost for 6MW turbine</t>
  </si>
  <si>
    <t>$/MW/mile</t>
  </si>
  <si>
    <t>Regional Spur Line (230kV)</t>
  </si>
  <si>
    <t>https://www.nrel.gov/docs/fy21osti/78471.pdf</t>
  </si>
  <si>
    <t>Cost Component</t>
  </si>
  <si>
    <t>Turbine capital cost</t>
  </si>
  <si>
    <t>financial costs</t>
  </si>
  <si>
    <t>Rotor module</t>
  </si>
  <si>
    <t>Nacelle module</t>
  </si>
  <si>
    <t>Tower module</t>
  </si>
  <si>
    <t>total</t>
  </si>
  <si>
    <t>2.6MW</t>
  </si>
  <si>
    <t>Balance of System</t>
  </si>
  <si>
    <t>Dev cost</t>
  </si>
  <si>
    <t>Foundation</t>
  </si>
  <si>
    <t>Site access &amp; staging</t>
  </si>
  <si>
    <t>Assembly &amp; installation</t>
  </si>
  <si>
    <t>electrical infrastructure</t>
  </si>
  <si>
    <t>Construction financing</t>
  </si>
  <si>
    <t>Contingency fund</t>
  </si>
  <si>
    <t>Total CAPEX</t>
  </si>
  <si>
    <t>Net CF</t>
  </si>
  <si>
    <t>OpEx</t>
  </si>
  <si>
    <t>43/year</t>
  </si>
  <si>
    <t>Turbine capital costs</t>
  </si>
  <si>
    <t>Substructure &amp; foundation</t>
  </si>
  <si>
    <t>Port &amp; staging,logistics,transport</t>
  </si>
  <si>
    <t>Lease price</t>
  </si>
  <si>
    <t>Soft Costs</t>
  </si>
  <si>
    <t>Insurance during construction</t>
  </si>
  <si>
    <t>Decommissioning bond</t>
  </si>
  <si>
    <t>construction financing</t>
  </si>
  <si>
    <t>contingency</t>
  </si>
  <si>
    <t>Plant commissioning</t>
  </si>
  <si>
    <t xml:space="preserve">6.1 MW </t>
  </si>
  <si>
    <t>fixed bottom</t>
  </si>
  <si>
    <t>floating bottom</t>
  </si>
  <si>
    <t>124/year</t>
  </si>
  <si>
    <t>130/year</t>
  </si>
  <si>
    <t>currency year</t>
  </si>
  <si>
    <t>offshore wind</t>
  </si>
  <si>
    <t>onshore wind</t>
  </si>
  <si>
    <t>NGCC</t>
  </si>
  <si>
    <t>Batteries</t>
  </si>
  <si>
    <t>size/config</t>
  </si>
  <si>
    <t>fixed</t>
  </si>
  <si>
    <t>floating</t>
  </si>
  <si>
    <t>w/ capture</t>
  </si>
  <si>
    <t>w/o capture</t>
  </si>
  <si>
    <t>battery + PV</t>
  </si>
  <si>
    <t>CCCT</t>
  </si>
  <si>
    <t>Frame Peaker</t>
  </si>
  <si>
    <t>Recip Peaker</t>
  </si>
  <si>
    <t>Solar Utility</t>
  </si>
  <si>
    <t>Solar Residential</t>
  </si>
  <si>
    <t>Onshore Wind - WA</t>
  </si>
  <si>
    <t>Onshore Wind - MT</t>
  </si>
  <si>
    <t>Onshore Wind - ID/WY</t>
  </si>
  <si>
    <t>Offshore Wind</t>
  </si>
  <si>
    <t>Pumped Storage</t>
  </si>
  <si>
    <t>Solar + Battery</t>
  </si>
  <si>
    <t>Wind + Battery</t>
  </si>
  <si>
    <t>Biomass</t>
  </si>
  <si>
    <t>Wind + PSEH</t>
  </si>
  <si>
    <t>All listings for 100MW PV + 60MW Battery; Utility</t>
  </si>
  <si>
    <t>Source: Figure 37</t>
  </si>
  <si>
    <t xml:space="preserve">Module Components </t>
  </si>
  <si>
    <t>Cost in $</t>
  </si>
  <si>
    <t>Residential PV, storage</t>
  </si>
  <si>
    <t>Cost components</t>
  </si>
  <si>
    <t>PV modules</t>
  </si>
  <si>
    <t>Lithium-ion battery</t>
  </si>
  <si>
    <t>PV inverter</t>
  </si>
  <si>
    <t>Battery inverter</t>
  </si>
  <si>
    <t>Supply chain costs</t>
  </si>
  <si>
    <t>Sales tax</t>
  </si>
  <si>
    <t>Installed Labor &amp; equipment</t>
  </si>
  <si>
    <t>Permitting, inspection, interconnection</t>
  </si>
  <si>
    <t>7kW PV</t>
  </si>
  <si>
    <t>7kW PV + DC coupled 3kW bat</t>
  </si>
  <si>
    <t>Pumped Hydro</t>
  </si>
  <si>
    <t>System Size (MW)</t>
  </si>
  <si>
    <t>Duration (hours)</t>
  </si>
  <si>
    <t>https://www.pnnl.gov/sites/default/files/media/file/Final%20-%20ESGC%20Cost%20Performance%20Report%2012-11-2020.pdf</t>
  </si>
  <si>
    <t>Costs were adjusted to 2020 US dollars (USD) using producer price index data for the electric power distribution industry from the U.S. Bureau of Labor Statistics (BLS) (U.S. BLS, 2020).</t>
  </si>
  <si>
    <t>All listings for 60MW LI batteries</t>
  </si>
  <si>
    <t>Lead Acid Batteries</t>
  </si>
  <si>
    <t>1MW</t>
  </si>
  <si>
    <t>10MW</t>
  </si>
  <si>
    <t>100MW</t>
  </si>
  <si>
    <t>Storage Block</t>
  </si>
  <si>
    <t>Storage balance of system</t>
  </si>
  <si>
    <t>Power Equipment</t>
  </si>
  <si>
    <t>Controls &amp; communication</t>
  </si>
  <si>
    <t>System integration</t>
  </si>
  <si>
    <t>Eng., procurement, construction</t>
  </si>
  <si>
    <t>Project Dev</t>
  </si>
  <si>
    <t>Grid integration</t>
  </si>
  <si>
    <t>Total ESS intalled cost</t>
  </si>
  <si>
    <t>Vanadium Batteries</t>
  </si>
  <si>
    <t>Cost component</t>
  </si>
  <si>
    <t>cost ($/kW)</t>
  </si>
  <si>
    <t>Reservoir construction &amp; infrastructure</t>
  </si>
  <si>
    <t>Powerhouse construction &amp; infrastructure</t>
  </si>
  <si>
    <t>Electro/mechanical</t>
  </si>
  <si>
    <t>Total ESS installed cost</t>
  </si>
  <si>
    <t>Total ESS + contigency fee</t>
  </si>
  <si>
    <t>Fixed O&amp;M</t>
  </si>
  <si>
    <t>Fixed O&amp;M $/kW-yr</t>
  </si>
  <si>
    <t>Variable O&amp;M $/MWh</t>
  </si>
  <si>
    <t>https://www.eia.gov/analysis/studies/powerplants/capitalcost/pdf/capital_cost_AEO2020.pdf</t>
  </si>
  <si>
    <t>50MW plant</t>
  </si>
  <si>
    <t>Fuel type</t>
  </si>
  <si>
    <t>woodchips</t>
  </si>
  <si>
    <t>civil/structural/architectural</t>
  </si>
  <si>
    <t>Mechanical</t>
  </si>
  <si>
    <t>Electrical</t>
  </si>
  <si>
    <t>EPC subtotal</t>
  </si>
  <si>
    <t>Project indirects</t>
  </si>
  <si>
    <t>EPC fee</t>
  </si>
  <si>
    <t>Owners costs</t>
  </si>
  <si>
    <t>Owner's services</t>
  </si>
  <si>
    <t>Electrical Interconnection</t>
  </si>
  <si>
    <t>Owners cost subtotal</t>
  </si>
  <si>
    <t>Electrical Interconnection*</t>
  </si>
  <si>
    <t>*assumes 1 mile spur line</t>
  </si>
  <si>
    <t>Materials &amp; contract services</t>
  </si>
  <si>
    <t>Admin &amp; general</t>
  </si>
  <si>
    <t>Fixed O&amp;M subtotal</t>
  </si>
  <si>
    <t>Fixed-bottom Monopile foundations 400MW</t>
  </si>
  <si>
    <t>Offshore cable length (miles)</t>
  </si>
  <si>
    <t>Onshore cable length (miles)</t>
  </si>
  <si>
    <t>Water depth (ft)</t>
  </si>
  <si>
    <t>Cost Components</t>
  </si>
  <si>
    <t>Thousands $</t>
  </si>
  <si>
    <t>Civil/Structural/Architectural subtotal</t>
  </si>
  <si>
    <t>WTG Procurement &amp; supply</t>
  </si>
  <si>
    <t>WTG Assembly/installation</t>
  </si>
  <si>
    <t>Mechanical subtotal</t>
  </si>
  <si>
    <t>Interconnection</t>
  </si>
  <si>
    <t>Offshore transmission &amp; eBOP</t>
  </si>
  <si>
    <t>Onshore transmission</t>
  </si>
  <si>
    <t>Electrical subtotal</t>
  </si>
  <si>
    <t>EPC Fee</t>
  </si>
  <si>
    <t>Owner's cost</t>
  </si>
  <si>
    <t>Project contingency</t>
  </si>
  <si>
    <t>case 4</t>
  </si>
  <si>
    <t>Configuration:</t>
  </si>
  <si>
    <t>12 * 50MW small module reactor plant. 600MW total capacity</t>
  </si>
  <si>
    <t>Assumptions:</t>
  </si>
  <si>
    <t>EPC contracting fee</t>
  </si>
  <si>
    <t>10% of direct &amp; indirect costs</t>
  </si>
  <si>
    <t>Estimated land Requirements</t>
  </si>
  <si>
    <t>Estimated land cost ($/acre)</t>
  </si>
  <si>
    <t>10% of Project costs</t>
  </si>
  <si>
    <t>7.5% of project costs</t>
  </si>
  <si>
    <t>Transmission line costs ($/mile)</t>
  </si>
  <si>
    <t>Substation expansion ($)</t>
  </si>
  <si>
    <t>thousands $</t>
  </si>
  <si>
    <t>Civil/structural/architectural subtotal</t>
  </si>
  <si>
    <t>Nuclear island</t>
  </si>
  <si>
    <t>Conventional island</t>
  </si>
  <si>
    <t>Balance of Plant</t>
  </si>
  <si>
    <t>Owner's cost subtotal</t>
  </si>
  <si>
    <t>Variable O&amp;M ($/MWh)</t>
  </si>
  <si>
    <t>Small mod nuclear</t>
  </si>
  <si>
    <t>Cost</t>
  </si>
  <si>
    <t>Internal combustion engine 4 * 5.6 MW</t>
  </si>
  <si>
    <t>Fuel</t>
  </si>
  <si>
    <t>NG</t>
  </si>
  <si>
    <t>Pipeline cost ($/mile)</t>
  </si>
  <si>
    <t>miles</t>
  </si>
  <si>
    <t>metering station</t>
  </si>
  <si>
    <t>$, thousands</t>
  </si>
  <si>
    <t>Engines</t>
  </si>
  <si>
    <t>Mechanical BOP</t>
  </si>
  <si>
    <t>Owner's fuirnished equipment</t>
  </si>
  <si>
    <t>Gas interconnection</t>
  </si>
  <si>
    <t>Case 6</t>
  </si>
  <si>
    <t>Combustion turbine, simple cycle F-class, 233MW</t>
  </si>
  <si>
    <t>Miles</t>
  </si>
  <si>
    <t>Mech. Major equipment</t>
  </si>
  <si>
    <t>Mech. BOP</t>
  </si>
  <si>
    <t xml:space="preserve">Variable O&amp;M </t>
  </si>
  <si>
    <t>Consumables ($/MWh)</t>
  </si>
  <si>
    <t>CT major maintenance ($/Start)</t>
  </si>
  <si>
    <t xml:space="preserve">Component </t>
  </si>
  <si>
    <t>Overnight cost</t>
  </si>
  <si>
    <t>eng, procurement &amp; construction</t>
  </si>
  <si>
    <t>financing for overnight</t>
  </si>
  <si>
    <t>AFUDC</t>
  </si>
  <si>
    <t>Substation</t>
  </si>
  <si>
    <t>Transmission</t>
  </si>
  <si>
    <t>Gas Pipeline</t>
  </si>
  <si>
    <t>Resource</t>
  </si>
  <si>
    <t>pump storage hydro</t>
  </si>
  <si>
    <t>Battery 2 hour</t>
  </si>
  <si>
    <t>Battery 4 hour</t>
  </si>
  <si>
    <t>Battery 10 hour</t>
  </si>
  <si>
    <t>PV + Bat.</t>
  </si>
  <si>
    <t>PV</t>
  </si>
  <si>
    <t>Offshore wind</t>
  </si>
  <si>
    <t>Onshore wind</t>
  </si>
  <si>
    <t>Sm Mod Nuclear</t>
  </si>
  <si>
    <t>Other Owner's costs</t>
  </si>
  <si>
    <t>Structural/Equipment</t>
  </si>
  <si>
    <t>NOT SURE</t>
  </si>
  <si>
    <t>BOP/BOS</t>
  </si>
  <si>
    <t>PV + B Residential</t>
  </si>
  <si>
    <t>NOT APPLICABLE</t>
  </si>
  <si>
    <t>Key</t>
  </si>
  <si>
    <t>HAVE DATA</t>
  </si>
  <si>
    <t>NO DATA</t>
  </si>
  <si>
    <t>Source: Figure 30</t>
  </si>
  <si>
    <t>100MW dc single axis tracking</t>
  </si>
  <si>
    <t>Module component</t>
  </si>
  <si>
    <t>Module</t>
  </si>
  <si>
    <t>Inverter</t>
  </si>
  <si>
    <t>Install labor &amp; equipment</t>
  </si>
  <si>
    <t>EPC overhead</t>
  </si>
  <si>
    <t>Total BOS</t>
  </si>
  <si>
    <t>Cost in $, rough</t>
  </si>
  <si>
    <t>O&amp;M Expenses ($/kW-yr)</t>
  </si>
  <si>
    <t>$/kw</t>
  </si>
  <si>
    <t>Upper + lower reservoir</t>
  </si>
  <si>
    <t>Tunnels</t>
  </si>
  <si>
    <t>Powerhouse excavation</t>
  </si>
  <si>
    <t>Powerhouse structure, equip. BOP</t>
  </si>
  <si>
    <t>Total direct costs</t>
  </si>
  <si>
    <t>EPC management services inc. contingency</t>
  </si>
  <si>
    <t>Total indirect cost</t>
  </si>
  <si>
    <t>Total installed cost</t>
  </si>
  <si>
    <t>$M, 2020 USD</t>
  </si>
  <si>
    <t>Proj mgmt &amp; design engineering</t>
  </si>
  <si>
    <t>Construction mgmt &amp; startup support</t>
  </si>
  <si>
    <t>Fixed O&amp;M Components</t>
  </si>
  <si>
    <t>$/kW-yr</t>
  </si>
  <si>
    <t>Parts</t>
  </si>
  <si>
    <t>Refurbishment</t>
  </si>
  <si>
    <t>Total Fixed O&amp;M</t>
  </si>
  <si>
    <t>Size MW</t>
  </si>
  <si>
    <t>Hours</t>
  </si>
  <si>
    <t>Source: Table 34</t>
  </si>
  <si>
    <t>Table 26</t>
  </si>
  <si>
    <t>Table 27</t>
  </si>
  <si>
    <t>$/1000</t>
  </si>
  <si>
    <t>BEA</t>
  </si>
  <si>
    <t>mean</t>
  </si>
  <si>
    <t>ADJUSTED TO 2020 $</t>
  </si>
  <si>
    <t>Updated to 2020 $</t>
  </si>
  <si>
    <t>frame peaker</t>
  </si>
  <si>
    <t>recip peaker</t>
  </si>
  <si>
    <t xml:space="preserve">Adjusted to 2020 $ </t>
  </si>
  <si>
    <t>Adjusted to 2020 $</t>
  </si>
  <si>
    <t>Difference</t>
  </si>
  <si>
    <t>cost scale</t>
  </si>
  <si>
    <t>Average Battery</t>
  </si>
  <si>
    <t>size</t>
  </si>
  <si>
    <t>Cost in $/1000</t>
  </si>
  <si>
    <t>Average</t>
  </si>
  <si>
    <t>Size (MW)</t>
  </si>
  <si>
    <t>100MW PV + 60MW Battery</t>
  </si>
  <si>
    <t>Ave 7kW with battery</t>
  </si>
  <si>
    <t>7kW PV w/ 3-5kW bat.</t>
  </si>
  <si>
    <t>N/A</t>
  </si>
  <si>
    <t>Total 2022 from NREL ATB</t>
  </si>
  <si>
    <t>Battery 2hr</t>
  </si>
  <si>
    <t>Battery 4 hr</t>
  </si>
  <si>
    <t>Battery 10 hr</t>
  </si>
  <si>
    <t>Operating Characteristics</t>
  </si>
  <si>
    <t xml:space="preserve"> annual degradation </t>
  </si>
  <si>
    <t>0.5% - 0.7%</t>
  </si>
  <si>
    <t>System losses - preintervter derate</t>
  </si>
  <si>
    <t>System losses - inverter efficiency</t>
  </si>
  <si>
    <t>Utility scale inverter</t>
  </si>
  <si>
    <t>1500 V</t>
  </si>
  <si>
    <t>PV systems quoted in DC terms</t>
  </si>
  <si>
    <t>inverter loading ratio (2020)</t>
  </si>
  <si>
    <t>inverter</t>
  </si>
  <si>
    <t>6-8 kW 48V bidirectional</t>
  </si>
  <si>
    <t>assumed depth of discharge</t>
  </si>
  <si>
    <t>assumed efficiency</t>
  </si>
  <si>
    <t>10yr schedule for bat, inv replacement</t>
  </si>
  <si>
    <t>20% replacement rate</t>
  </si>
  <si>
    <t>20yr schedule for bat, inv replacement</t>
  </si>
  <si>
    <t>% of generation fed to bat.</t>
  </si>
  <si>
    <t>25% - 33%</t>
  </si>
  <si>
    <t>O&amp;M ($/kW/yr)</t>
  </si>
  <si>
    <t>roudtrip energy losses</t>
  </si>
  <si>
    <t>8% - 10%</t>
  </si>
  <si>
    <t>system lifetime (years)</t>
  </si>
  <si>
    <t>Operating characteristics</t>
  </si>
  <si>
    <t>Lithium-ion 100 MW</t>
  </si>
  <si>
    <t>inverter loading ratio</t>
  </si>
  <si>
    <t>inverter size</t>
  </si>
  <si>
    <t>2.5MW per inverter</t>
  </si>
  <si>
    <t>30% - 42%</t>
  </si>
  <si>
    <t>Degradation</t>
  </si>
  <si>
    <t>Assumes storage O&amp;M add $10/kW-yr to PV costs</t>
  </si>
  <si>
    <t>Asumes a 75% discharge per day for a 4-hr 60 MW battery</t>
  </si>
  <si>
    <t>Asumes a 75% discharge per day for a 2-hr 3 kW battery</t>
  </si>
  <si>
    <t>Post-Combustion Emissions Control</t>
  </si>
  <si>
    <t>Combustion Emissions Controls</t>
  </si>
  <si>
    <t>None</t>
  </si>
  <si>
    <t>SCR</t>
  </si>
  <si>
    <t>Plant Characteristics</t>
  </si>
  <si>
    <t>Net Plant Capacity (60 deg F, 60% RH)</t>
  </si>
  <si>
    <t>21.4 MW</t>
  </si>
  <si>
    <t>Net Plant Heat Rate, HHV Basis</t>
  </si>
  <si>
    <t>8295 Btu/Wh</t>
  </si>
  <si>
    <t>Dry Low Emissions Combustor</t>
  </si>
  <si>
    <t>NG / No.2 Backup 1 x 237 MW rating</t>
  </si>
  <si>
    <t>233 MW</t>
  </si>
  <si>
    <t>9905 Btu/kWh</t>
  </si>
  <si>
    <t>Case 13</t>
  </si>
  <si>
    <t>50MW plant, Bubbling Fluidized Bed</t>
  </si>
  <si>
    <t>OFA</t>
  </si>
  <si>
    <t>SCR / Baghouse</t>
  </si>
  <si>
    <t>Net Plant Capacity (60 deg F, 60% RH) (MW)</t>
  </si>
  <si>
    <t>Net Plant Heat Rate, HHV Basis (Btu/kWh)</t>
  </si>
  <si>
    <t>Estimated land Requirements (acres)</t>
  </si>
  <si>
    <t>Predicted Emissions Rates</t>
  </si>
  <si>
    <t>NOx</t>
  </si>
  <si>
    <t>SO2</t>
  </si>
  <si>
    <t>CO</t>
  </si>
  <si>
    <t>CO2</t>
  </si>
  <si>
    <t>lb/MMBtu</t>
  </si>
  <si>
    <t>No regulated emissions to report</t>
  </si>
  <si>
    <t>PM</t>
  </si>
  <si>
    <t>Per 40 CFR 98</t>
  </si>
  <si>
    <t>SO2 assumed negligable for wood fuel</t>
  </si>
  <si>
    <t>Controlled using pulse jet fabric filter</t>
  </si>
  <si>
    <t>NOx removal using OFA, SCR</t>
  </si>
  <si>
    <t>Note</t>
  </si>
  <si>
    <t>&lt;0.03</t>
  </si>
  <si>
    <t>RTE - ratio of net energy discharged to grid</t>
  </si>
  <si>
    <t>Cycle life</t>
  </si>
  <si>
    <t>resource</t>
  </si>
  <si>
    <t>Vanadium</t>
  </si>
  <si>
    <t>Lead Acid</t>
  </si>
  <si>
    <t>PSH</t>
  </si>
  <si>
    <t>response time (seconds)</t>
  </si>
  <si>
    <t>Calendar life (yrs)</t>
  </si>
  <si>
    <t>Duration corresponding to cycle life (yrs)</t>
  </si>
  <si>
    <t>LI - LFP</t>
  </si>
  <si>
    <t>LI - NMC</t>
  </si>
  <si>
    <t>(1-4)</t>
  </si>
  <si>
    <t>Via: PNNL paper</t>
  </si>
  <si>
    <t>Batteries (100 MW)</t>
  </si>
  <si>
    <t>5 - 500</t>
  </si>
  <si>
    <t>offshore cable length (miles)</t>
  </si>
  <si>
    <t>water depth (ft)</t>
  </si>
  <si>
    <t>Fixed O&amp;M ($/kW-yr)</t>
  </si>
  <si>
    <t>Emissions</t>
  </si>
  <si>
    <t>Table 4</t>
  </si>
  <si>
    <t>Operating characteristics and specs</t>
  </si>
  <si>
    <t>Number of turbines</t>
  </si>
  <si>
    <t>Altitude about mean sea level</t>
  </si>
  <si>
    <t>Project design life (yrs)</t>
  </si>
  <si>
    <t>Turbine rated power (MW)</t>
  </si>
  <si>
    <t>Wind plant capacity (MW)</t>
  </si>
  <si>
    <t>Turbine rotor diameter (m)</t>
  </si>
  <si>
    <t>Turbine height (m)</t>
  </si>
  <si>
    <t>Max rotor tip speed (m/s)</t>
  </si>
  <si>
    <t>Drivetrain design</t>
  </si>
  <si>
    <t>geared</t>
  </si>
  <si>
    <t>Cut-in wind speed (m/s)</t>
  </si>
  <si>
    <t>Cut-out wind speed (m/s)</t>
  </si>
  <si>
    <t>Max coefficient of power</t>
  </si>
  <si>
    <t>Annual mean wind speed at 50m</t>
  </si>
  <si>
    <t>Annual mean wind speed at 90.1 m</t>
  </si>
  <si>
    <t>Weibull k</t>
  </si>
  <si>
    <t>Shear exponent</t>
  </si>
  <si>
    <t>Losses</t>
  </si>
  <si>
    <t>Availability</t>
  </si>
  <si>
    <t>Net energy capture (MWh/MW/year)</t>
  </si>
  <si>
    <t>Net capacity factor</t>
  </si>
  <si>
    <t>Annual mean wind speed at 50m (m/s)</t>
  </si>
  <si>
    <t>Annual mean wind speed at 101.8 m (m/s)</t>
  </si>
  <si>
    <t>Steam Cycle, MPa/°C/°C (psig/°F/°F)</t>
  </si>
  <si>
    <t xml:space="preserve"> 16.4/585/585 (2,378/1,085/1,085)</t>
  </si>
  <si>
    <t xml:space="preserve">Fuel </t>
  </si>
  <si>
    <t>Natural Gas</t>
  </si>
  <si>
    <t xml:space="preserve">Fuel Pressure at Plant Battery Limit MPa (psia) </t>
  </si>
  <si>
    <t xml:space="preserve">Cooling Water to Condenser, °C (°F) </t>
  </si>
  <si>
    <t>3.0 (430)</t>
  </si>
  <si>
    <t xml:space="preserve">Condenser Pressure, mm Hg (in. Hg) </t>
  </si>
  <si>
    <t>50.8 (2)</t>
  </si>
  <si>
    <t>16 (60)</t>
  </si>
  <si>
    <t xml:space="preserve">Cooling Water from Condenser, °C (°F) </t>
  </si>
  <si>
    <t>27 (80)</t>
  </si>
  <si>
    <t xml:space="preserve">Stack Temperature, °C (°F) </t>
  </si>
  <si>
    <t xml:space="preserve">82 (181) </t>
  </si>
  <si>
    <t>31 (87)</t>
  </si>
  <si>
    <t xml:space="preserve">SO2 Control </t>
  </si>
  <si>
    <t>Low Sulfur Fuel</t>
  </si>
  <si>
    <t xml:space="preserve">NOx Control </t>
  </si>
  <si>
    <t>LNB and SCR</t>
  </si>
  <si>
    <t xml:space="preserve">SCR Efficiency, %A </t>
  </si>
  <si>
    <t xml:space="preserve">Ammonia Slip (End of Catalyst Life), ppmv </t>
  </si>
  <si>
    <t xml:space="preserve">Particulate Control </t>
  </si>
  <si>
    <t xml:space="preserve">Mercury Control </t>
  </si>
  <si>
    <t xml:space="preserve">CO2 Control </t>
  </si>
  <si>
    <t xml:space="preserve">N/A </t>
  </si>
  <si>
    <t>Cansolv</t>
  </si>
  <si>
    <t xml:space="preserve">Overall Carbon CaptureA </t>
  </si>
  <si>
    <t xml:space="preserve">CO2 Sequestration </t>
  </si>
  <si>
    <t>Off-site Saline formation</t>
  </si>
  <si>
    <t>Performance Summary</t>
  </si>
  <si>
    <t>HHV net plant efficiency</t>
  </si>
  <si>
    <t>HHV net plant heat rate, kj/kWh (Btu/kWh)</t>
  </si>
  <si>
    <t>6713 (6363)</t>
  </si>
  <si>
    <t>LHV net plant efficiency</t>
  </si>
  <si>
    <t>LHV net plant heat rate, kj/kWh (Btu/kWh)</t>
  </si>
  <si>
    <t>6060 (5743)</t>
  </si>
  <si>
    <t>HHV Combustion Turbine Efficiency</t>
  </si>
  <si>
    <t xml:space="preserve">LHV Combustion Turbine Efficiency, % </t>
  </si>
  <si>
    <t xml:space="preserve">Steam Turbine Cycle Efficiency, % </t>
  </si>
  <si>
    <t xml:space="preserve">Steam Turbine Heat Rate, kJ/kWh (Btu/kWh) </t>
  </si>
  <si>
    <t>9,074 (8,600)</t>
  </si>
  <si>
    <t xml:space="preserve">Condenser Duty, GJ/hr (MMBtu/hr) </t>
  </si>
  <si>
    <t>1,405 (1,332)</t>
  </si>
  <si>
    <t>AGR Cooling Duty, GJ/hr (MMBtu/hr)</t>
  </si>
  <si>
    <t xml:space="preserve"> – (–)</t>
  </si>
  <si>
    <t xml:space="preserve">Natural Gas Feed Flow, kg/hr (lb/hr) </t>
  </si>
  <si>
    <t>93,272 (205,630)</t>
  </si>
  <si>
    <t xml:space="preserve">HHV Thermal Input, kWt </t>
  </si>
  <si>
    <t xml:space="preserve">LHV Thermal Input, kWt </t>
  </si>
  <si>
    <t>0.015 (4.0)</t>
  </si>
  <si>
    <t xml:space="preserve">Raw Water Withdrawal, (m3/min)/MWnet (gpm/MWnet) </t>
  </si>
  <si>
    <t>Raw Water Consumption, (m3/min)/MWnet (gpm/MWnet)</t>
  </si>
  <si>
    <t xml:space="preserve"> 0.012 (3.1)</t>
  </si>
  <si>
    <t>Plant Power Summary</t>
  </si>
  <si>
    <t>Auxiliary Load Summary</t>
  </si>
  <si>
    <t xml:space="preserve">Combustion Turbine Power, MWe </t>
  </si>
  <si>
    <t xml:space="preserve">Steam Turbine Power, MWe </t>
  </si>
  <si>
    <t xml:space="preserve">Total Gross Power, MWe </t>
  </si>
  <si>
    <t xml:space="preserve">Circulating Water Pumps, kWe </t>
  </si>
  <si>
    <t xml:space="preserve">Combustion Turbine Auxiliaries, kWe </t>
  </si>
  <si>
    <t xml:space="preserve">Condensate Pumps, kWe </t>
  </si>
  <si>
    <t xml:space="preserve">Cooling Tower Fans, kWe </t>
  </si>
  <si>
    <t xml:space="preserve">CO2 Capture/Removal Auxiliaries, kWe </t>
  </si>
  <si>
    <t xml:space="preserve">CO2 Compression, kWe </t>
  </si>
  <si>
    <t xml:space="preserve">Feedwater Pumps, kWe </t>
  </si>
  <si>
    <t xml:space="preserve">Ground Water Pumps, kWe </t>
  </si>
  <si>
    <t xml:space="preserve">Miscellaneous Balance of PlantA , kWe </t>
  </si>
  <si>
    <t xml:space="preserve">SCR, kWe </t>
  </si>
  <si>
    <t xml:space="preserve">Steam Turbine Auxiliaries, kWe </t>
  </si>
  <si>
    <t xml:space="preserve">Transformer Losses, kWe </t>
  </si>
  <si>
    <t xml:space="preserve">Total Auxiliaries, MWe </t>
  </si>
  <si>
    <t xml:space="preserve">Net Power, MWe </t>
  </si>
  <si>
    <t>Air Emissions</t>
  </si>
  <si>
    <t>Case B31A</t>
  </si>
  <si>
    <t xml:space="preserve">kg/GJ (lb/MMBtu) </t>
  </si>
  <si>
    <t xml:space="preserve">Tonne/year (ton/year)A </t>
  </si>
  <si>
    <t>kg/MWh (lb/MWh)B</t>
  </si>
  <si>
    <t xml:space="preserve">SO2 </t>
  </si>
  <si>
    <t xml:space="preserve">0.000 (0.001) </t>
  </si>
  <si>
    <t xml:space="preserve">15 (16) </t>
  </si>
  <si>
    <t>0.003 (0.006)</t>
  </si>
  <si>
    <t xml:space="preserve">NOx </t>
  </si>
  <si>
    <t xml:space="preserve">0.002 (0.004) </t>
  </si>
  <si>
    <t xml:space="preserve">56 (61) </t>
  </si>
  <si>
    <t>0.010 (0.022)</t>
  </si>
  <si>
    <t xml:space="preserve">Particulate </t>
  </si>
  <si>
    <t xml:space="preserve">0.001 (0.002) </t>
  </si>
  <si>
    <t xml:space="preserve">29 (32) </t>
  </si>
  <si>
    <t>0.005 (0.012)</t>
  </si>
  <si>
    <t xml:space="preserve">Hg </t>
  </si>
  <si>
    <t>0.000 (0.000)</t>
  </si>
  <si>
    <t xml:space="preserve">0.00E+0 (0.00E+0) </t>
  </si>
  <si>
    <t>0.00E+0 (0.00E+0)</t>
  </si>
  <si>
    <t xml:space="preserve">CO </t>
  </si>
  <si>
    <t>336 (741)</t>
  </si>
  <si>
    <t xml:space="preserve">1,852,253 (2,041,760) </t>
  </si>
  <si>
    <t xml:space="preserve"> 51 (119) </t>
  </si>
  <si>
    <t>CO2C</t>
  </si>
  <si>
    <t>-</t>
  </si>
  <si>
    <t xml:space="preserve"> - </t>
  </si>
  <si>
    <t>342 (755)</t>
  </si>
  <si>
    <t>7,554 (7,159)</t>
  </si>
  <si>
    <t>6,818 (6,462)</t>
  </si>
  <si>
    <t>7,684 (7,283)</t>
  </si>
  <si>
    <t>832 (788)</t>
  </si>
  <si>
    <t>1,351 (1,281)</t>
  </si>
  <si>
    <t>0.028 (7.4)</t>
  </si>
  <si>
    <t>0.018 (4.8)</t>
  </si>
  <si>
    <t>Case B31B</t>
  </si>
  <si>
    <t>0.001 (0.003)</t>
  </si>
  <si>
    <t>5 (12)</t>
  </si>
  <si>
    <t>0 (0)</t>
  </si>
  <si>
    <t>51 (56)</t>
  </si>
  <si>
    <t>185,225 (204,176)</t>
  </si>
  <si>
    <t>36 (80)</t>
  </si>
  <si>
    <t>39 (85)</t>
  </si>
  <si>
    <t>time to full load - zero to full output</t>
  </si>
  <si>
    <t>Start up Cost</t>
  </si>
  <si>
    <t>2020$</t>
  </si>
  <si>
    <t>Estimates made for 100 unit order, include 5 yr warranty, &amp; delivery to staging port</t>
  </si>
  <si>
    <t>Fixed bottom: monopile foundations 400MW | 10MW WTG</t>
  </si>
  <si>
    <t>Source: https://www.nrel.gov/docs/fy21osti/78471.pdf</t>
  </si>
  <si>
    <t>source: https://www.nrel.gov/docs/fy16osti/66579.pdf</t>
  </si>
  <si>
    <t>Source: https://www.eia.gov/analysis/studies/powerplants/capitalcost/pdf/capital_cost_AEO2020.pdf</t>
  </si>
  <si>
    <t>2019 $</t>
  </si>
  <si>
    <t>Table 9</t>
  </si>
  <si>
    <t>Commisioning</t>
  </si>
  <si>
    <t>Insurance During Construction</t>
  </si>
  <si>
    <t>1% of all CAPEX</t>
  </si>
  <si>
    <t>Table 8</t>
  </si>
  <si>
    <t>3,751 - 4,000</t>
  </si>
  <si>
    <t>Via Figure A-8</t>
  </si>
  <si>
    <t>Native 2019 $</t>
  </si>
  <si>
    <t>2X1 CT NGCC w/CO2 Capture</t>
  </si>
  <si>
    <t>2X1 CT NGCC w/o CO2 Capture</t>
  </si>
  <si>
    <t>Source: https://www.netl.doe.gov/projects/files/CostAndPerformanceBaselineForFossilEnergyPlantsVol1BitumCoalAndNGtoElectBBRRev4-1_092419.pdf</t>
  </si>
  <si>
    <t>Source: https://www.pnnl.gov/sites/default/files/media/file/Final%20-%20ESGC%20Cost%20Performance%20Report%2012-11-2020.pdf</t>
  </si>
  <si>
    <t>Duration</t>
  </si>
  <si>
    <t>60 MW</t>
  </si>
  <si>
    <t>Lithium Ion</t>
  </si>
  <si>
    <t>Lithium Ion Batteries</t>
  </si>
  <si>
    <t>Misc. Lithium Ion</t>
  </si>
  <si>
    <t>Lithium Ion Source: https://www.nrel.gov/docs/fy21osti/77324.pdf</t>
  </si>
  <si>
    <t>Lead Acid &amp; Vanadium Flow Source: https://www.pnnl.gov/sites/default/files/media/file/Final%20-%20ESGC%20Cost%20Performance%20Report%2012-11-2020.pdf</t>
  </si>
  <si>
    <t>Case 12</t>
  </si>
  <si>
    <t>Unavailable:</t>
  </si>
  <si>
    <t>minimum load heat rate/ turn down, %</t>
  </si>
  <si>
    <t>CO2 - Per 40 CFR98 Sub Part C</t>
  </si>
  <si>
    <t>Nox - with SCR</t>
  </si>
  <si>
    <t xml:space="preserve">Source: https://www.eia.gov/analysis/studies/powerplants/capitalcost/pdf/capital_cost_AEO2020.pdf </t>
  </si>
  <si>
    <t>Resources List in NREL ATB Report</t>
  </si>
  <si>
    <t>URL</t>
  </si>
  <si>
    <t>A Spatial-Economic CostReduction Pathway Analysis for U.S. Offshore Wind Energy Development from 2015–2030</t>
  </si>
  <si>
    <t>Title</t>
  </si>
  <si>
    <t>Authors</t>
  </si>
  <si>
    <t>Philipp Beiter, Walter Musial, Aaron Smith, Levi Kilcher, Rick Damiani, Michael Maness, Senu Sirnivas, Tyler Stehly, Vahan Gevorgian, Meghan Mooney, and George Scott National Renewable Energy Laboratory</t>
  </si>
  <si>
    <t>2019 Cost of Wind Energy Review</t>
  </si>
  <si>
    <t>Tyler Stehly, Philipp Beiter, and Patrick Duffy National Renewable Energy Laboratory</t>
  </si>
  <si>
    <t>Capital Cost and Performance Characteristic Estimates for Utility Scale Electric Power Generating Technologies</t>
  </si>
  <si>
    <t>Sargent &amp; Lundy for EIA</t>
  </si>
  <si>
    <t>COST AND PERFORMANCE BASELINE FOR FOSSIL ENERGY PLANTS VOLUME 1: BITUMINOUS COAL AND NATURAL GAS TO ELECTRICITY</t>
  </si>
  <si>
    <t>National Energy Technology Laboratory (NETL) - Robert James, Mission Execution and Strategic Analysis (MESA) - Alexander Zoelle, Dale Keairns, Marc Turner, Mark Woods, Norma Kuehn</t>
  </si>
  <si>
    <t>U.S. Solar Photovoltaic System and Energy Storage Cost Benchmark: Q1 2020</t>
  </si>
  <si>
    <t>David Feldman, Vignesh Ramasamy, Ran Fu, Ashwin Ramdas, Jal Desai, and Robert Margolis National Renewable Energy Laboratory</t>
  </si>
  <si>
    <t>2020 Grid Energy Storage Technology Cost and Performance Assessment</t>
  </si>
  <si>
    <t>Kendall Mongird, Vilayanur Viswanathan, Jan Alam, Charlie Vartanian, Vincent Sprenkle*, Pacific Northwest National Laboratory. Richard Baxter, Mustang Prairie Energy</t>
  </si>
  <si>
    <t>Sources, gathered from 2021 NREL ATB cost report</t>
  </si>
  <si>
    <t>Publication Date</t>
  </si>
  <si>
    <t>References used</t>
  </si>
  <si>
    <t>A</t>
  </si>
  <si>
    <t>B</t>
  </si>
  <si>
    <t>C</t>
  </si>
  <si>
    <t>D</t>
  </si>
  <si>
    <t>E</t>
  </si>
  <si>
    <t>F</t>
  </si>
  <si>
    <t>A, B</t>
  </si>
  <si>
    <t>B, F</t>
  </si>
  <si>
    <t>Resource type</t>
  </si>
  <si>
    <t>Reference ID</t>
  </si>
  <si>
    <t>Inflation rate by Year</t>
  </si>
  <si>
    <t>bls.gov</t>
  </si>
  <si>
    <t>FRED via Worldbank</t>
  </si>
  <si>
    <t>Fixed Operating Costs Total</t>
  </si>
  <si>
    <t>Tax + Insurance</t>
  </si>
  <si>
    <t>VOM ($/MWh)</t>
  </si>
  <si>
    <t>FOM ($/kW-yr)</t>
  </si>
  <si>
    <t>2019, 2020</t>
  </si>
  <si>
    <t>2015, 2019</t>
  </si>
  <si>
    <t>7kW PV + DC coupled 3kW battery</t>
  </si>
  <si>
    <t>7kW PV + AC coupled 3kW battery</t>
  </si>
  <si>
    <t>7kW PV + DC coupled 5kW battery</t>
  </si>
  <si>
    <t>7kW PV + AC coupled 5kW battery</t>
  </si>
  <si>
    <t>2018 $</t>
  </si>
  <si>
    <t>List of resources examined</t>
  </si>
  <si>
    <t>Renewable</t>
  </si>
  <si>
    <t>Thermal</t>
  </si>
  <si>
    <t>Battery Hybrid</t>
  </si>
  <si>
    <t>Emerging Technology</t>
  </si>
  <si>
    <t>Onshore Wind</t>
  </si>
  <si>
    <t>Pumped Hydro Storage</t>
  </si>
  <si>
    <t>Storage</t>
  </si>
  <si>
    <t>Small Modular Nuclear</t>
  </si>
  <si>
    <t>Solar +</t>
  </si>
  <si>
    <t>Cost &amp; operating characteristic data for utility &amp; residential scale solar. With and without battery hybrid.</t>
  </si>
  <si>
    <t>Cost, operating characteristic data</t>
  </si>
  <si>
    <t>Cost data across various battery technologies, sizes &amp; and discharging widows</t>
  </si>
  <si>
    <t>Cost data</t>
  </si>
  <si>
    <t>Cost, operating characteristic data for configurations with &amp; without carbon capture</t>
  </si>
  <si>
    <t>Description of included information</t>
  </si>
  <si>
    <t>Category</t>
  </si>
  <si>
    <t>Resource Type</t>
  </si>
  <si>
    <t>Operating Characteristics &amp; Assumptions</t>
  </si>
  <si>
    <t>All plants assumed to be located at generic site in midwestern US. Likely need to adjust for area</t>
  </si>
  <si>
    <t>Missing:</t>
  </si>
  <si>
    <t>Native 2020 $</t>
  </si>
  <si>
    <t>Land costs for Lithium Ion captured as fixed cost over time for rental rather than up-front purchase</t>
  </si>
  <si>
    <t>PV (solar)</t>
  </si>
  <si>
    <t>Residential PV + Battery</t>
  </si>
  <si>
    <t>Utility PV + Battery</t>
  </si>
  <si>
    <t>*reffers to build costs which don't vary with turbine size</t>
  </si>
  <si>
    <t>Fixed Component Build Cost*</t>
  </si>
  <si>
    <t>Relevant Charts from Source Material</t>
  </si>
  <si>
    <t>Figure 12. Estimated excluded areas due to competing use and environmental exclusions. Image
from Black &amp; Veatch (2010)</t>
  </si>
  <si>
    <t>Figure 27. Construction and operations port and inshore assembly area locations</t>
  </si>
  <si>
    <t>Cost, operating characteristic data &amp; relevant source maps</t>
  </si>
  <si>
    <t>Objective</t>
  </si>
  <si>
    <t>Values listed in currency year in native sources and converted to 2020 dollars</t>
  </si>
  <si>
    <t>Definitions</t>
  </si>
  <si>
    <t>Balance of Plant/Balance of System</t>
  </si>
  <si>
    <t>Photo Voltaic</t>
  </si>
  <si>
    <t>LI</t>
  </si>
  <si>
    <t>HHV/LHV</t>
  </si>
  <si>
    <t>Higher Heating Value/Lower Heating Value</t>
  </si>
  <si>
    <t>CAPEX</t>
  </si>
  <si>
    <t>Capital expenditures accrued in construction of resource</t>
  </si>
  <si>
    <t>Detailed source information can be found in Metadata sheet</t>
  </si>
  <si>
    <t>Cost comparison across resources can be found in CC Matrix sheet</t>
  </si>
  <si>
    <t>$/kW/mile</t>
  </si>
  <si>
    <t>10 MW</t>
  </si>
  <si>
    <t>100 MW</t>
  </si>
  <si>
    <t>Module Components</t>
  </si>
  <si>
    <t>Lithium Ion Batteries (LFP)</t>
  </si>
  <si>
    <t>Additional info from this source at: https://www.pnnl.gov/lithium-ion-battery-lfp-and-nmc</t>
  </si>
  <si>
    <t>And https://www.pnnl.gov/vanadium-redox-flow-battery</t>
  </si>
  <si>
    <t>https://www.pnnl.gov/lithium-ion-battery-lfp-and-nmc</t>
  </si>
  <si>
    <t>https://www.pnnl.gov/vanadium-redox-flow-battery</t>
  </si>
  <si>
    <t>Sales &amp; Marketing</t>
  </si>
  <si>
    <t>Net profit</t>
  </si>
  <si>
    <t>Reported total</t>
  </si>
  <si>
    <t>Calculated Total</t>
  </si>
  <si>
    <t>https://www.nrel.gov/docs/fy21osti/78694.pdf</t>
  </si>
  <si>
    <t>Residential Batteries - Lithium Ion - Storage Only-AC Coupled</t>
  </si>
  <si>
    <t>5 kW</t>
  </si>
  <si>
    <t>2.5 hrs (14 kwH)</t>
  </si>
  <si>
    <t>Lithium Ion Battery</t>
  </si>
  <si>
    <t>Battery Inverter</t>
  </si>
  <si>
    <t>Suuply Chain Costs</t>
  </si>
  <si>
    <t>Sales Tax</t>
  </si>
  <si>
    <t>Install Labor and Equipment</t>
  </si>
  <si>
    <t>Permitting, Inspection, Interconnection</t>
  </si>
  <si>
    <t>Overhead</t>
  </si>
  <si>
    <t>Sales and Marketing</t>
  </si>
  <si>
    <t>Net Profit</t>
  </si>
  <si>
    <t xml:space="preserve">TOTAL </t>
  </si>
  <si>
    <t xml:space="preserve">The objective of this document is to provide an organized accounting of potential Generic Resource costs pulled from the various technical sources available from the 2021 NREL ATB cost methodology page in order to better understand how specific cost components effect total Generic Resource costs. </t>
  </si>
  <si>
    <t>This workbook provides a summary of each the generic resource costs extracted from technical sources documented in 2021 NREL Annual Technology Baseline cost report which are relevant to options to be considered in the 2023 Electric Progress Report portfolio planning process.</t>
  </si>
  <si>
    <t>Capital Cost</t>
  </si>
  <si>
    <t xml:space="preserve">Capital expenditures required to achieve commercial operation of the generation plant. This document attempts to present a reasonable breakdown of capital cost into components such as equipment, balance of plant, engineer, procure, construct, and other costs based on source material provided as part of the 2021 NREL ATB.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</si>
</sst>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quot;$&quot;#,##0"/>
    <numFmt numFmtId="165" formatCode="_(* #,##0.0_);_(* \(#,##0.0\);_(* &quot;-&quot;??_);_(@_)"/>
    <numFmt numFmtId="166" formatCode="_(* #,##0_);_(* \(#,##0\);_(* &quot;-&quot;??_);_(@_)"/>
    <numFmt numFmtId="167" formatCode="_(* #,##0.0000_);_(* \(#,##0.0000\);_(* &quot;-&quot;??_);_(@_)"/>
    <numFmt numFmtId="168" formatCode="0.0%"/>
    <numFmt numFmtId="169" formatCode="_(* #,##0_);_(* \(#,##0\);_(* &quot;-&quot;????_);_(@_)"/>
    <numFmt numFmtId="170" formatCode="_(* #,##0_);_(* \(#,##0\);_(* &quot;-&quot;???_);_(@_)"/>
    <numFmt numFmtId="171" formatCode="_(* #,##0.0_);_(* \(#,##0.0\);_(* &quot;-&quot;?_);_(@_)"/>
  </numFmts>
  <fonts count="12" x14ac:knownFonts="1">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name val="Calibri"/>
      <family val="2"/>
      <scheme val="minor"/>
    </font>
    <font>
      <sz val="11"/>
      <color rgb="FFFF0000"/>
      <name val="Calibri"/>
      <family val="2"/>
      <scheme val="minor"/>
    </font>
    <font>
      <i/>
      <sz val="11"/>
      <color theme="1"/>
      <name val="Calibri"/>
      <family val="2"/>
      <scheme val="minor"/>
    </font>
    <font>
      <sz val="11"/>
      <color theme="1"/>
      <name val="Calibri"/>
      <family val="2"/>
    </font>
    <font>
      <sz val="12"/>
      <color theme="1"/>
      <name val="Calibri"/>
      <family val="2"/>
      <scheme val="minor"/>
    </font>
    <font>
      <b/>
      <sz val="22"/>
      <color theme="1"/>
      <name val="Calibri"/>
      <family val="2"/>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59999389629810485"/>
        <bgColor indexed="65"/>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2" fillId="8" borderId="0" applyNumberFormat="0" applyBorder="0" applyAlignment="0" applyProtection="0"/>
  </cellStyleXfs>
  <cellXfs count="313">
    <xf numFmtId="0" fontId="0" fillId="0" borderId="0" xfId="0"/>
    <xf numFmtId="0" fontId="1" fillId="0" borderId="1" xfId="0" applyFont="1" applyBorder="1"/>
    <xf numFmtId="0" fontId="0" fillId="0" borderId="1" xfId="0" applyBorder="1"/>
    <xf numFmtId="0" fontId="0" fillId="0" borderId="4" xfId="0" applyBorder="1"/>
    <xf numFmtId="0" fontId="0" fillId="0" borderId="5" xfId="0" applyBorder="1"/>
    <xf numFmtId="0" fontId="0" fillId="0" borderId="0" xfId="0" applyBorder="1"/>
    <xf numFmtId="0" fontId="0" fillId="0" borderId="7" xfId="0" applyBorder="1"/>
    <xf numFmtId="0" fontId="0" fillId="0" borderId="8" xfId="0" applyBorder="1"/>
    <xf numFmtId="0" fontId="0" fillId="0" borderId="3" xfId="0" applyBorder="1"/>
    <xf numFmtId="0" fontId="0" fillId="0" borderId="0" xfId="0" applyFill="1" applyBorder="1"/>
    <xf numFmtId="165" fontId="0" fillId="0" borderId="0" xfId="1" applyNumberFormat="1" applyFont="1" applyFill="1" applyBorder="1"/>
    <xf numFmtId="165" fontId="0" fillId="0" borderId="0" xfId="1" applyNumberFormat="1" applyFont="1" applyBorder="1"/>
    <xf numFmtId="166" fontId="0" fillId="0" borderId="3" xfId="1" applyNumberFormat="1" applyFont="1" applyBorder="1"/>
    <xf numFmtId="166" fontId="0" fillId="0" borderId="0" xfId="1" applyNumberFormat="1" applyFont="1" applyFill="1" applyBorder="1"/>
    <xf numFmtId="166" fontId="0" fillId="0" borderId="5" xfId="1" applyNumberFormat="1" applyFont="1" applyBorder="1"/>
    <xf numFmtId="166" fontId="0" fillId="0" borderId="8" xfId="1" applyNumberFormat="1" applyFont="1" applyBorder="1"/>
    <xf numFmtId="166" fontId="0" fillId="0" borderId="0" xfId="1" applyNumberFormat="1" applyFont="1" applyBorder="1"/>
    <xf numFmtId="0" fontId="0" fillId="0" borderId="9" xfId="0" applyBorder="1"/>
    <xf numFmtId="166" fontId="0" fillId="0" borderId="0" xfId="0" applyNumberFormat="1"/>
    <xf numFmtId="0" fontId="0" fillId="0" borderId="2" xfId="0" applyBorder="1"/>
    <xf numFmtId="0" fontId="0" fillId="0" borderId="6" xfId="0" applyBorder="1"/>
    <xf numFmtId="0" fontId="0" fillId="0" borderId="10" xfId="0" applyBorder="1"/>
    <xf numFmtId="0" fontId="0" fillId="0" borderId="5" xfId="0" applyFill="1" applyBorder="1"/>
    <xf numFmtId="166" fontId="0" fillId="0" borderId="0" xfId="0" applyNumberFormat="1" applyBorder="1"/>
    <xf numFmtId="167" fontId="0" fillId="0" borderId="0" xfId="1" applyNumberFormat="1" applyFont="1" applyBorder="1"/>
    <xf numFmtId="0" fontId="0" fillId="0" borderId="4" xfId="0" applyFill="1" applyBorder="1"/>
    <xf numFmtId="166" fontId="0" fillId="0" borderId="5" xfId="0" applyNumberFormat="1" applyBorder="1"/>
    <xf numFmtId="166" fontId="0" fillId="0" borderId="8" xfId="0" applyNumberFormat="1" applyBorder="1"/>
    <xf numFmtId="166" fontId="0" fillId="0" borderId="1" xfId="1" applyNumberFormat="1" applyFont="1" applyBorder="1"/>
    <xf numFmtId="166" fontId="0" fillId="0" borderId="4" xfId="1" applyNumberFormat="1" applyFont="1" applyBorder="1"/>
    <xf numFmtId="166" fontId="0" fillId="0" borderId="1" xfId="1" applyNumberFormat="1" applyFont="1" applyFill="1" applyBorder="1"/>
    <xf numFmtId="166" fontId="0" fillId="0" borderId="7" xfId="1" applyNumberFormat="1" applyFont="1" applyBorder="1"/>
    <xf numFmtId="166" fontId="0" fillId="0" borderId="4" xfId="0" applyNumberFormat="1" applyBorder="1"/>
    <xf numFmtId="166" fontId="0" fillId="0" borderId="1" xfId="0" applyNumberFormat="1" applyBorder="1"/>
    <xf numFmtId="166" fontId="0" fillId="0" borderId="7" xfId="0" applyNumberFormat="1" applyBorder="1"/>
    <xf numFmtId="43" fontId="0" fillId="0" borderId="8" xfId="0" applyNumberFormat="1" applyBorder="1"/>
    <xf numFmtId="2" fontId="0" fillId="0" borderId="8" xfId="0" applyNumberFormat="1" applyBorder="1"/>
    <xf numFmtId="43" fontId="0" fillId="0" borderId="0" xfId="0" applyNumberFormat="1" applyBorder="1"/>
    <xf numFmtId="165" fontId="0" fillId="0" borderId="1" xfId="1" applyNumberFormat="1" applyFont="1" applyBorder="1"/>
    <xf numFmtId="166" fontId="0" fillId="0" borderId="8" xfId="1" applyNumberFormat="1" applyFont="1" applyFill="1" applyBorder="1"/>
    <xf numFmtId="43" fontId="0" fillId="0" borderId="7" xfId="0" applyNumberFormat="1" applyBorder="1"/>
    <xf numFmtId="9" fontId="0" fillId="0" borderId="0" xfId="0" applyNumberFormat="1"/>
    <xf numFmtId="0" fontId="0" fillId="0" borderId="11" xfId="0" applyBorder="1"/>
    <xf numFmtId="166" fontId="0" fillId="0" borderId="9" xfId="1" applyNumberFormat="1" applyFont="1" applyBorder="1"/>
    <xf numFmtId="166" fontId="0" fillId="0" borderId="11" xfId="1" applyNumberFormat="1" applyFont="1" applyBorder="1"/>
    <xf numFmtId="166" fontId="0" fillId="0" borderId="0" xfId="1" applyNumberFormat="1" applyFont="1"/>
    <xf numFmtId="0" fontId="0" fillId="0" borderId="1" xfId="0" applyBorder="1" applyAlignment="1">
      <alignment horizontal="center"/>
    </xf>
    <xf numFmtId="165" fontId="0" fillId="0" borderId="0" xfId="1" applyNumberFormat="1" applyFont="1"/>
    <xf numFmtId="3" fontId="0" fillId="0" borderId="0" xfId="0" applyNumberFormat="1"/>
    <xf numFmtId="0" fontId="1" fillId="0" borderId="0" xfId="0" applyFont="1" applyBorder="1"/>
    <xf numFmtId="0" fontId="0" fillId="0" borderId="7" xfId="0" applyBorder="1" applyAlignment="1">
      <alignment horizontal="center"/>
    </xf>
    <xf numFmtId="0" fontId="0" fillId="0" borderId="8" xfId="0" applyFill="1" applyBorder="1"/>
    <xf numFmtId="0" fontId="0" fillId="0" borderId="10" xfId="0" applyFill="1" applyBorder="1"/>
    <xf numFmtId="43" fontId="0" fillId="0" borderId="0" xfId="1" applyNumberFormat="1" applyFont="1"/>
    <xf numFmtId="10" fontId="0" fillId="0" borderId="0" xfId="0" applyNumberFormat="1"/>
    <xf numFmtId="0" fontId="3" fillId="2" borderId="0" xfId="3"/>
    <xf numFmtId="0" fontId="5" fillId="4" borderId="0" xfId="5"/>
    <xf numFmtId="0" fontId="4" fillId="3" borderId="0" xfId="4"/>
    <xf numFmtId="166" fontId="0" fillId="0" borderId="11" xfId="0" applyNumberFormat="1" applyBorder="1"/>
    <xf numFmtId="0" fontId="0" fillId="5" borderId="0" xfId="0" applyFill="1"/>
    <xf numFmtId="43" fontId="0" fillId="0" borderId="0" xfId="0" applyNumberFormat="1"/>
    <xf numFmtId="0" fontId="8" fillId="0" borderId="5" xfId="0" applyFont="1" applyFill="1" applyBorder="1"/>
    <xf numFmtId="0" fontId="0" fillId="6" borderId="11" xfId="0" applyFill="1" applyBorder="1"/>
    <xf numFmtId="0" fontId="0" fillId="6" borderId="8" xfId="0" applyFill="1" applyBorder="1"/>
    <xf numFmtId="166" fontId="0" fillId="6" borderId="8" xfId="0" applyNumberFormat="1" applyFill="1" applyBorder="1"/>
    <xf numFmtId="166" fontId="0" fillId="6" borderId="7" xfId="0" applyNumberFormat="1" applyFill="1" applyBorder="1"/>
    <xf numFmtId="166" fontId="8" fillId="6" borderId="0" xfId="1" applyNumberFormat="1" applyFont="1" applyFill="1" applyBorder="1"/>
    <xf numFmtId="0" fontId="0" fillId="7" borderId="9" xfId="0" applyFill="1" applyBorder="1"/>
    <xf numFmtId="166" fontId="0" fillId="7" borderId="0" xfId="1" applyNumberFormat="1" applyFont="1" applyFill="1" applyBorder="1"/>
    <xf numFmtId="43" fontId="0" fillId="7" borderId="0" xfId="1" applyNumberFormat="1" applyFont="1" applyFill="1" applyBorder="1"/>
    <xf numFmtId="166" fontId="0" fillId="7" borderId="1" xfId="1" applyNumberFormat="1" applyFont="1" applyFill="1" applyBorder="1"/>
    <xf numFmtId="168" fontId="0" fillId="0" borderId="0" xfId="6" applyNumberFormat="1" applyFont="1"/>
    <xf numFmtId="0" fontId="0" fillId="0" borderId="12" xfId="0" applyBorder="1"/>
    <xf numFmtId="0" fontId="3" fillId="2" borderId="13" xfId="3" applyBorder="1"/>
    <xf numFmtId="0" fontId="4" fillId="3" borderId="13" xfId="4" applyBorder="1"/>
    <xf numFmtId="0" fontId="5" fillId="4" borderId="13" xfId="5" applyBorder="1"/>
    <xf numFmtId="0" fontId="6" fillId="5" borderId="14" xfId="0" applyFont="1" applyFill="1" applyBorder="1"/>
    <xf numFmtId="168" fontId="0" fillId="0" borderId="0" xfId="0" applyNumberFormat="1"/>
    <xf numFmtId="166" fontId="0" fillId="0" borderId="2" xfId="1" applyNumberFormat="1" applyFont="1" applyBorder="1"/>
    <xf numFmtId="166" fontId="0" fillId="0" borderId="6" xfId="1" applyNumberFormat="1" applyFont="1" applyBorder="1"/>
    <xf numFmtId="43" fontId="0" fillId="0" borderId="6" xfId="1" applyNumberFormat="1" applyFont="1" applyBorder="1"/>
    <xf numFmtId="43" fontId="0" fillId="0" borderId="8" xfId="1" applyNumberFormat="1" applyFont="1" applyBorder="1"/>
    <xf numFmtId="43" fontId="0" fillId="0" borderId="7" xfId="1" applyNumberFormat="1" applyFont="1" applyBorder="1"/>
    <xf numFmtId="165" fontId="0" fillId="0" borderId="2" xfId="1" applyNumberFormat="1" applyFont="1" applyBorder="1"/>
    <xf numFmtId="166" fontId="0" fillId="0" borderId="3" xfId="0" applyNumberFormat="1" applyBorder="1"/>
    <xf numFmtId="166" fontId="0" fillId="0" borderId="12" xfId="0" applyNumberFormat="1" applyBorder="1"/>
    <xf numFmtId="166" fontId="0" fillId="0" borderId="13" xfId="0" applyNumberFormat="1" applyBorder="1"/>
    <xf numFmtId="166" fontId="0" fillId="0" borderId="14" xfId="0" applyNumberFormat="1" applyBorder="1"/>
    <xf numFmtId="2" fontId="0" fillId="0" borderId="0" xfId="0" applyNumberFormat="1" applyBorder="1"/>
    <xf numFmtId="2" fontId="0" fillId="0" borderId="1" xfId="0" applyNumberFormat="1" applyBorder="1"/>
    <xf numFmtId="2" fontId="0" fillId="0" borderId="2" xfId="0" applyNumberFormat="1" applyBorder="1"/>
    <xf numFmtId="0" fontId="0" fillId="0" borderId="3" xfId="0" applyFill="1" applyBorder="1"/>
    <xf numFmtId="166" fontId="0" fillId="0" borderId="9" xfId="0" applyNumberFormat="1" applyBorder="1"/>
    <xf numFmtId="166" fontId="0" fillId="0" borderId="2" xfId="0" applyNumberFormat="1" applyBorder="1"/>
    <xf numFmtId="166" fontId="0" fillId="0" borderId="6" xfId="0" applyNumberFormat="1" applyBorder="1"/>
    <xf numFmtId="170" fontId="0" fillId="0" borderId="8" xfId="0" applyNumberFormat="1" applyBorder="1"/>
    <xf numFmtId="170" fontId="0" fillId="0" borderId="7" xfId="0" applyNumberFormat="1" applyBorder="1"/>
    <xf numFmtId="167" fontId="0" fillId="7" borderId="8" xfId="0" applyNumberFormat="1" applyFill="1" applyBorder="1"/>
    <xf numFmtId="43" fontId="3" fillId="2" borderId="0" xfId="3" applyNumberFormat="1"/>
    <xf numFmtId="43" fontId="3" fillId="2" borderId="0" xfId="1" applyNumberFormat="1" applyFont="1" applyFill="1"/>
    <xf numFmtId="43" fontId="4" fillId="3" borderId="0" xfId="1" applyNumberFormat="1" applyFont="1" applyFill="1"/>
    <xf numFmtId="43" fontId="0" fillId="5" borderId="0" xfId="1" applyNumberFormat="1" applyFont="1" applyFill="1"/>
    <xf numFmtId="43" fontId="5" fillId="4" borderId="0" xfId="1" applyNumberFormat="1" applyFont="1" applyFill="1"/>
    <xf numFmtId="43" fontId="4" fillId="3" borderId="0" xfId="4" applyNumberFormat="1"/>
    <xf numFmtId="43" fontId="5" fillId="4" borderId="0" xfId="5" applyNumberFormat="1"/>
    <xf numFmtId="166" fontId="7" fillId="0" borderId="0" xfId="7" applyNumberFormat="1"/>
    <xf numFmtId="167" fontId="0" fillId="0" borderId="0" xfId="1" applyNumberFormat="1" applyFont="1"/>
    <xf numFmtId="1" fontId="0" fillId="0" borderId="0" xfId="6" applyNumberFormat="1" applyFont="1"/>
    <xf numFmtId="43" fontId="4" fillId="3" borderId="1" xfId="1" applyNumberFormat="1" applyFont="1" applyFill="1" applyBorder="1"/>
    <xf numFmtId="43" fontId="3" fillId="2" borderId="1" xfId="1" applyNumberFormat="1" applyFont="1" applyFill="1" applyBorder="1"/>
    <xf numFmtId="43" fontId="0" fillId="5" borderId="1" xfId="1" applyNumberFormat="1" applyFont="1" applyFill="1" applyBorder="1"/>
    <xf numFmtId="168" fontId="3" fillId="2" borderId="0" xfId="6" applyNumberFormat="1" applyFont="1" applyFill="1"/>
    <xf numFmtId="168" fontId="4" fillId="3" borderId="0" xfId="6" applyNumberFormat="1" applyFont="1" applyFill="1"/>
    <xf numFmtId="168" fontId="5" fillId="4" borderId="0" xfId="6" applyNumberFormat="1" applyFont="1" applyFill="1"/>
    <xf numFmtId="168" fontId="0" fillId="5" borderId="0" xfId="6" applyNumberFormat="1" applyFont="1" applyFill="1"/>
    <xf numFmtId="168" fontId="0" fillId="5" borderId="1" xfId="6" applyNumberFormat="1" applyFont="1" applyFill="1" applyBorder="1"/>
    <xf numFmtId="168" fontId="3" fillId="2" borderId="1" xfId="6" applyNumberFormat="1" applyFont="1" applyFill="1" applyBorder="1"/>
    <xf numFmtId="1" fontId="0" fillId="0" borderId="1" xfId="0" applyNumberFormat="1" applyBorder="1"/>
    <xf numFmtId="0" fontId="1" fillId="0" borderId="0" xfId="0" applyFont="1"/>
    <xf numFmtId="0" fontId="0" fillId="0" borderId="0" xfId="0" applyAlignment="1">
      <alignment horizontal="right"/>
    </xf>
    <xf numFmtId="2" fontId="0" fillId="0" borderId="0" xfId="0" applyNumberFormat="1" applyAlignment="1">
      <alignment horizontal="right"/>
    </xf>
    <xf numFmtId="0" fontId="0" fillId="0" borderId="0" xfId="0" applyAlignment="1">
      <alignment wrapText="1"/>
    </xf>
    <xf numFmtId="0" fontId="0" fillId="0" borderId="1"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0" xfId="0" applyAlignment="1">
      <alignment horizontal="left" indent="2"/>
    </xf>
    <xf numFmtId="0" fontId="0" fillId="0" borderId="5" xfId="0" applyBorder="1" applyAlignment="1">
      <alignment horizontal="left" indent="2"/>
    </xf>
    <xf numFmtId="3" fontId="0" fillId="0" borderId="1" xfId="0" applyNumberFormat="1" applyBorder="1"/>
    <xf numFmtId="0" fontId="0" fillId="0" borderId="4" xfId="0" applyBorder="1" applyAlignment="1">
      <alignment horizontal="left" indent="2"/>
    </xf>
    <xf numFmtId="0" fontId="0" fillId="0" borderId="3" xfId="0" applyBorder="1" applyAlignment="1">
      <alignment horizontal="left" indent="2"/>
    </xf>
    <xf numFmtId="0" fontId="0" fillId="0" borderId="1" xfId="0" applyBorder="1" applyAlignment="1">
      <alignment horizontal="center"/>
    </xf>
    <xf numFmtId="0" fontId="3" fillId="2" borderId="5" xfId="3" applyBorder="1"/>
    <xf numFmtId="0" fontId="3" fillId="2" borderId="3" xfId="3" applyBorder="1"/>
    <xf numFmtId="0" fontId="9" fillId="0" borderId="0" xfId="0" applyFont="1"/>
    <xf numFmtId="0" fontId="0" fillId="9" borderId="1" xfId="0" applyFill="1" applyBorder="1"/>
    <xf numFmtId="0" fontId="0" fillId="7" borderId="1" xfId="0" applyFill="1" applyBorder="1"/>
    <xf numFmtId="0" fontId="0" fillId="10" borderId="1" xfId="0" applyFill="1" applyBorder="1"/>
    <xf numFmtId="0" fontId="0" fillId="10" borderId="0" xfId="0" applyFill="1"/>
    <xf numFmtId="166" fontId="0" fillId="10" borderId="0" xfId="1" applyNumberFormat="1" applyFont="1" applyFill="1"/>
    <xf numFmtId="166" fontId="0" fillId="10" borderId="1" xfId="0" applyNumberFormat="1" applyFill="1" applyBorder="1"/>
    <xf numFmtId="0" fontId="0" fillId="10" borderId="0" xfId="0" applyFill="1" applyAlignment="1">
      <alignment horizontal="left" indent="1"/>
    </xf>
    <xf numFmtId="0" fontId="0" fillId="9" borderId="0" xfId="0" applyFill="1"/>
    <xf numFmtId="0" fontId="1" fillId="7" borderId="1" xfId="0" applyFont="1" applyFill="1" applyBorder="1"/>
    <xf numFmtId="0" fontId="0" fillId="7" borderId="0" xfId="0" applyFill="1" applyAlignment="1">
      <alignment horizontal="left" indent="2"/>
    </xf>
    <xf numFmtId="164" fontId="0" fillId="7" borderId="0" xfId="2" applyNumberFormat="1" applyFont="1" applyFill="1"/>
    <xf numFmtId="0" fontId="0" fillId="7" borderId="0" xfId="0" applyFill="1"/>
    <xf numFmtId="0" fontId="0" fillId="7" borderId="1" xfId="0" applyFill="1" applyBorder="1" applyAlignment="1">
      <alignment horizontal="left" indent="2"/>
    </xf>
    <xf numFmtId="164" fontId="0" fillId="7" borderId="1" xfId="2" applyNumberFormat="1" applyFont="1" applyFill="1" applyBorder="1"/>
    <xf numFmtId="0" fontId="1" fillId="10" borderId="1" xfId="0" applyFont="1" applyFill="1" applyBorder="1"/>
    <xf numFmtId="0" fontId="1" fillId="11" borderId="1" xfId="0" applyFont="1" applyFill="1" applyBorder="1"/>
    <xf numFmtId="0" fontId="0" fillId="11" borderId="1" xfId="0" applyFill="1" applyBorder="1"/>
    <xf numFmtId="0" fontId="0" fillId="11" borderId="0" xfId="0" applyFill="1" applyAlignment="1">
      <alignment horizontal="left" indent="2"/>
    </xf>
    <xf numFmtId="164" fontId="0" fillId="11" borderId="0" xfId="2" applyNumberFormat="1" applyFont="1" applyFill="1"/>
    <xf numFmtId="0" fontId="0" fillId="11" borderId="0" xfId="0" applyFill="1"/>
    <xf numFmtId="0" fontId="0" fillId="11" borderId="1" xfId="0" applyFill="1" applyBorder="1" applyAlignment="1">
      <alignment horizontal="left" indent="2"/>
    </xf>
    <xf numFmtId="164" fontId="0" fillId="11" borderId="1" xfId="2" applyNumberFormat="1" applyFont="1" applyFill="1" applyBorder="1"/>
    <xf numFmtId="0" fontId="0" fillId="12" borderId="1" xfId="0" applyFill="1" applyBorder="1"/>
    <xf numFmtId="0" fontId="0" fillId="12" borderId="0" xfId="0" applyFill="1"/>
    <xf numFmtId="0" fontId="0" fillId="13" borderId="0" xfId="0" applyFill="1"/>
    <xf numFmtId="0" fontId="0" fillId="13" borderId="0" xfId="0" applyFill="1" applyBorder="1" applyAlignment="1">
      <alignment horizontal="left" indent="2"/>
    </xf>
    <xf numFmtId="166" fontId="0" fillId="13" borderId="0" xfId="1" applyNumberFormat="1" applyFont="1" applyFill="1"/>
    <xf numFmtId="0" fontId="3" fillId="2" borderId="0" xfId="3" applyBorder="1"/>
    <xf numFmtId="2" fontId="0" fillId="0" borderId="8" xfId="0" applyNumberFormat="1" applyFill="1" applyBorder="1"/>
    <xf numFmtId="0" fontId="1" fillId="0" borderId="10" xfId="0" applyFont="1" applyBorder="1"/>
    <xf numFmtId="0" fontId="0" fillId="0" borderId="15" xfId="0" applyBorder="1"/>
    <xf numFmtId="43" fontId="0" fillId="0" borderId="1" xfId="0" applyNumberFormat="1" applyBorder="1"/>
    <xf numFmtId="0" fontId="1" fillId="0" borderId="3" xfId="0" applyFont="1" applyBorder="1"/>
    <xf numFmtId="10" fontId="0" fillId="0" borderId="8" xfId="0" applyNumberFormat="1" applyBorder="1"/>
    <xf numFmtId="9" fontId="0" fillId="0" borderId="8" xfId="0" applyNumberFormat="1" applyBorder="1"/>
    <xf numFmtId="0" fontId="1" fillId="9" borderId="3" xfId="0" applyFont="1" applyFill="1" applyBorder="1"/>
    <xf numFmtId="0" fontId="1" fillId="9" borderId="5" xfId="0" applyFont="1" applyFill="1" applyBorder="1"/>
    <xf numFmtId="0" fontId="0" fillId="9" borderId="0" xfId="0" applyFill="1" applyBorder="1"/>
    <xf numFmtId="166" fontId="0" fillId="0" borderId="15" xfId="1" applyNumberFormat="1" applyFont="1" applyBorder="1"/>
    <xf numFmtId="0" fontId="1" fillId="0" borderId="5" xfId="0" applyFont="1" applyBorder="1"/>
    <xf numFmtId="0" fontId="0" fillId="0" borderId="8" xfId="0" applyBorder="1" applyAlignment="1">
      <alignment horizontal="right"/>
    </xf>
    <xf numFmtId="0" fontId="1" fillId="0" borderId="4" xfId="0" applyFont="1" applyBorder="1"/>
    <xf numFmtId="165" fontId="0" fillId="0" borderId="15" xfId="0" applyNumberFormat="1" applyBorder="1"/>
    <xf numFmtId="0" fontId="0" fillId="9" borderId="10" xfId="0" applyFill="1" applyBorder="1"/>
    <xf numFmtId="0" fontId="0" fillId="9" borderId="9" xfId="0" applyFill="1" applyBorder="1"/>
    <xf numFmtId="0" fontId="0" fillId="9" borderId="11" xfId="0" applyFill="1" applyBorder="1"/>
    <xf numFmtId="0" fontId="0" fillId="9" borderId="5" xfId="0" applyFill="1" applyBorder="1"/>
    <xf numFmtId="0" fontId="0" fillId="9" borderId="8" xfId="0" applyFill="1" applyBorder="1"/>
    <xf numFmtId="0" fontId="0" fillId="9" borderId="4" xfId="0" applyFill="1" applyBorder="1"/>
    <xf numFmtId="0" fontId="0" fillId="9" borderId="7" xfId="0" applyFill="1" applyBorder="1"/>
    <xf numFmtId="166" fontId="0" fillId="9" borderId="0" xfId="1" applyNumberFormat="1" applyFont="1" applyFill="1" applyBorder="1"/>
    <xf numFmtId="166" fontId="0" fillId="9" borderId="8" xfId="1" applyNumberFormat="1" applyFont="1" applyFill="1" applyBorder="1"/>
    <xf numFmtId="166" fontId="0" fillId="9" borderId="1" xfId="1" applyNumberFormat="1" applyFont="1" applyFill="1" applyBorder="1"/>
    <xf numFmtId="166" fontId="0" fillId="9" borderId="7" xfId="1" applyNumberFormat="1" applyFont="1" applyFill="1" applyBorder="1"/>
    <xf numFmtId="166" fontId="0" fillId="9" borderId="9" xfId="1" applyNumberFormat="1" applyFont="1" applyFill="1" applyBorder="1"/>
    <xf numFmtId="166" fontId="0" fillId="9" borderId="11" xfId="1" applyNumberFormat="1" applyFont="1" applyFill="1" applyBorder="1"/>
    <xf numFmtId="0" fontId="0" fillId="9" borderId="3" xfId="0" applyFill="1" applyBorder="1"/>
    <xf numFmtId="169" fontId="0" fillId="9" borderId="2" xfId="0" applyNumberFormat="1" applyFill="1" applyBorder="1"/>
    <xf numFmtId="169" fontId="0" fillId="9" borderId="6" xfId="0" applyNumberFormat="1" applyFill="1" applyBorder="1"/>
    <xf numFmtId="169" fontId="0" fillId="9" borderId="0" xfId="0" applyNumberFormat="1" applyFill="1" applyBorder="1"/>
    <xf numFmtId="169" fontId="0" fillId="9" borderId="8" xfId="0" applyNumberFormat="1" applyFill="1" applyBorder="1"/>
    <xf numFmtId="169" fontId="0" fillId="9" borderId="9" xfId="0" applyNumberFormat="1" applyFill="1" applyBorder="1"/>
    <xf numFmtId="169" fontId="0" fillId="9" borderId="11" xfId="0" applyNumberFormat="1" applyFill="1" applyBorder="1"/>
    <xf numFmtId="169" fontId="0" fillId="9" borderId="1" xfId="0" applyNumberFormat="1" applyFill="1" applyBorder="1"/>
    <xf numFmtId="169" fontId="0" fillId="9" borderId="7" xfId="0" applyNumberFormat="1" applyFill="1" applyBorder="1"/>
    <xf numFmtId="0" fontId="1" fillId="9" borderId="10" xfId="0" applyFont="1" applyFill="1" applyBorder="1"/>
    <xf numFmtId="0" fontId="0" fillId="11" borderId="3" xfId="0" applyFill="1" applyBorder="1"/>
    <xf numFmtId="0" fontId="0" fillId="11" borderId="2" xfId="0" applyFill="1" applyBorder="1"/>
    <xf numFmtId="0" fontId="0" fillId="11" borderId="6" xfId="0" applyFill="1" applyBorder="1"/>
    <xf numFmtId="0" fontId="0" fillId="11" borderId="5" xfId="0" applyFill="1" applyBorder="1"/>
    <xf numFmtId="0" fontId="0" fillId="11" borderId="0" xfId="0" applyFill="1" applyBorder="1"/>
    <xf numFmtId="0" fontId="0" fillId="11" borderId="8" xfId="0" applyFill="1" applyBorder="1"/>
    <xf numFmtId="0" fontId="0" fillId="11" borderId="4" xfId="0" applyFill="1" applyBorder="1"/>
    <xf numFmtId="0" fontId="0" fillId="11" borderId="10" xfId="0" applyFill="1" applyBorder="1"/>
    <xf numFmtId="0" fontId="0" fillId="11" borderId="9" xfId="0" applyFill="1" applyBorder="1"/>
    <xf numFmtId="0" fontId="0" fillId="11" borderId="11" xfId="0" applyFill="1" applyBorder="1"/>
    <xf numFmtId="0" fontId="0" fillId="11" borderId="7" xfId="0" applyFill="1" applyBorder="1"/>
    <xf numFmtId="0" fontId="0" fillId="0" borderId="0" xfId="0" applyAlignment="1"/>
    <xf numFmtId="0" fontId="0" fillId="11" borderId="0" xfId="0" applyFill="1" applyAlignment="1">
      <alignment wrapText="1"/>
    </xf>
    <xf numFmtId="0" fontId="10" fillId="0" borderId="0" xfId="0" applyFont="1"/>
    <xf numFmtId="0" fontId="1" fillId="0" borderId="0" xfId="0" applyFont="1" applyFill="1" applyBorder="1"/>
    <xf numFmtId="168" fontId="0" fillId="0" borderId="0" xfId="6" applyNumberFormat="1" applyFont="1" applyBorder="1"/>
    <xf numFmtId="10" fontId="0" fillId="0" borderId="0" xfId="6" applyNumberFormat="1" applyFont="1" applyBorder="1"/>
    <xf numFmtId="168" fontId="0" fillId="0" borderId="8" xfId="0" applyNumberFormat="1" applyBorder="1"/>
    <xf numFmtId="168" fontId="0" fillId="0" borderId="1" xfId="6" applyNumberFormat="1" applyFont="1" applyBorder="1"/>
    <xf numFmtId="10" fontId="0" fillId="0" borderId="1" xfId="6" applyNumberFormat="1" applyFont="1" applyBorder="1"/>
    <xf numFmtId="168" fontId="0" fillId="0" borderId="7" xfId="0" applyNumberFormat="1" applyBorder="1"/>
    <xf numFmtId="0" fontId="1" fillId="11" borderId="0" xfId="0" applyFont="1" applyFill="1"/>
    <xf numFmtId="0" fontId="1" fillId="7" borderId="0" xfId="0" applyFont="1" applyFill="1"/>
    <xf numFmtId="43" fontId="0" fillId="0" borderId="0" xfId="1" applyNumberFormat="1" applyFont="1" applyBorder="1"/>
    <xf numFmtId="2" fontId="0" fillId="0" borderId="7" xfId="0" applyNumberFormat="1" applyBorder="1"/>
    <xf numFmtId="165" fontId="0" fillId="0" borderId="8" xfId="1" applyNumberFormat="1" applyFont="1" applyBorder="1"/>
    <xf numFmtId="2" fontId="0" fillId="0" borderId="6" xfId="0" applyNumberFormat="1" applyBorder="1"/>
    <xf numFmtId="171" fontId="0" fillId="0" borderId="4" xfId="0" applyNumberFormat="1" applyBorder="1"/>
    <xf numFmtId="165" fontId="0" fillId="0" borderId="4" xfId="1" applyNumberFormat="1" applyFont="1" applyBorder="1"/>
    <xf numFmtId="2" fontId="3" fillId="2" borderId="0" xfId="3" applyNumberFormat="1"/>
    <xf numFmtId="0" fontId="3" fillId="5" borderId="0" xfId="3" applyFill="1"/>
    <xf numFmtId="1" fontId="3" fillId="2" borderId="0" xfId="3" applyNumberFormat="1"/>
    <xf numFmtId="1" fontId="0" fillId="0" borderId="0" xfId="0" applyNumberFormat="1" applyBorder="1"/>
    <xf numFmtId="43" fontId="4" fillId="3" borderId="0" xfId="1" applyNumberFormat="1" applyFont="1" applyFill="1" applyBorder="1"/>
    <xf numFmtId="43" fontId="3" fillId="2" borderId="0" xfId="1" applyNumberFormat="1" applyFont="1" applyFill="1" applyBorder="1"/>
    <xf numFmtId="43" fontId="0" fillId="5" borderId="0" xfId="1" applyNumberFormat="1" applyFont="1" applyFill="1" applyBorder="1"/>
    <xf numFmtId="166" fontId="7" fillId="0" borderId="5" xfId="7" applyNumberFormat="1" applyBorder="1"/>
    <xf numFmtId="1" fontId="0" fillId="0" borderId="3" xfId="6" applyNumberFormat="1" applyFont="1" applyBorder="1"/>
    <xf numFmtId="1" fontId="0" fillId="0" borderId="5" xfId="6" applyNumberFormat="1" applyFont="1" applyBorder="1"/>
    <xf numFmtId="0" fontId="0" fillId="12" borderId="5" xfId="0" applyFill="1" applyBorder="1"/>
    <xf numFmtId="3" fontId="0" fillId="0" borderId="0" xfId="0" applyNumberFormat="1" applyAlignment="1">
      <alignment horizontal="right"/>
    </xf>
    <xf numFmtId="166" fontId="0" fillId="0" borderId="11" xfId="1" applyNumberFormat="1" applyFont="1" applyFill="1" applyBorder="1"/>
    <xf numFmtId="0" fontId="0" fillId="0" borderId="5" xfId="0" applyBorder="1" applyAlignment="1">
      <alignment vertical="top"/>
    </xf>
    <xf numFmtId="0" fontId="1" fillId="0" borderId="8" xfId="0" applyFont="1" applyBorder="1"/>
    <xf numFmtId="0" fontId="0" fillId="0" borderId="8" xfId="0" applyBorder="1" applyAlignment="1">
      <alignment wrapText="1"/>
    </xf>
    <xf numFmtId="165" fontId="0" fillId="0" borderId="7" xfId="1" applyNumberFormat="1" applyFont="1" applyBorder="1"/>
    <xf numFmtId="0" fontId="1" fillId="0" borderId="0" xfId="0" applyFont="1" applyAlignment="1">
      <alignment horizontal="left"/>
    </xf>
    <xf numFmtId="0" fontId="1" fillId="0" borderId="6" xfId="0" applyFont="1" applyBorder="1"/>
    <xf numFmtId="165" fontId="0" fillId="0" borderId="8" xfId="0" applyNumberFormat="1" applyBorder="1"/>
    <xf numFmtId="0" fontId="0" fillId="9" borderId="6" xfId="0" applyFill="1" applyBorder="1"/>
    <xf numFmtId="0" fontId="0" fillId="0" borderId="5" xfId="0" applyBorder="1" applyAlignment="1">
      <alignment horizontal="left" indent="3"/>
    </xf>
    <xf numFmtId="0" fontId="0" fillId="0" borderId="4" xfId="0" applyBorder="1" applyAlignment="1">
      <alignment horizontal="left" indent="3"/>
    </xf>
    <xf numFmtId="10" fontId="0" fillId="0" borderId="7" xfId="0" applyNumberFormat="1" applyBorder="1"/>
    <xf numFmtId="0" fontId="0" fillId="0" borderId="3" xfId="0" applyBorder="1" applyAlignment="1">
      <alignment horizontal="left" indent="3"/>
    </xf>
    <xf numFmtId="0" fontId="1" fillId="0" borderId="9" xfId="0" applyFont="1" applyBorder="1"/>
    <xf numFmtId="0" fontId="1" fillId="0" borderId="11" xfId="0" applyFont="1" applyBorder="1"/>
    <xf numFmtId="0" fontId="0" fillId="0" borderId="16" xfId="0" applyBorder="1"/>
    <xf numFmtId="0" fontId="1" fillId="0" borderId="7" xfId="0" applyFont="1" applyBorder="1"/>
    <xf numFmtId="0" fontId="0" fillId="0" borderId="1" xfId="0" applyBorder="1" applyAlignment="1"/>
    <xf numFmtId="0" fontId="0" fillId="0" borderId="0" xfId="0" applyAlignment="1">
      <alignment vertical="top" wrapText="1"/>
    </xf>
    <xf numFmtId="9" fontId="0" fillId="11" borderId="0" xfId="0" applyNumberFormat="1" applyFill="1"/>
    <xf numFmtId="2" fontId="0" fillId="11" borderId="0" xfId="0" applyNumberFormat="1" applyFill="1" applyAlignment="1">
      <alignment horizontal="right"/>
    </xf>
    <xf numFmtId="166" fontId="0" fillId="11" borderId="0" xfId="1" applyNumberFormat="1" applyFont="1" applyFill="1"/>
    <xf numFmtId="0" fontId="0" fillId="11" borderId="5" xfId="0" applyFill="1" applyBorder="1" applyAlignment="1">
      <alignment horizontal="center"/>
    </xf>
    <xf numFmtId="0" fontId="0" fillId="11" borderId="0" xfId="0" applyFill="1" applyBorder="1" applyAlignment="1">
      <alignment horizontal="center"/>
    </xf>
    <xf numFmtId="0" fontId="0" fillId="11" borderId="8" xfId="0" applyFill="1" applyBorder="1" applyAlignment="1">
      <alignment horizontal="center"/>
    </xf>
    <xf numFmtId="0" fontId="0" fillId="0" borderId="7" xfId="0" applyBorder="1" applyAlignment="1">
      <alignment horizontal="center"/>
    </xf>
    <xf numFmtId="166" fontId="0" fillId="0" borderId="9" xfId="1" applyNumberFormat="1" applyFont="1" applyFill="1" applyBorder="1"/>
    <xf numFmtId="0" fontId="0" fillId="11" borderId="12" xfId="0" applyFill="1" applyBorder="1"/>
    <xf numFmtId="0" fontId="0" fillId="11" borderId="13" xfId="0" applyFill="1" applyBorder="1"/>
    <xf numFmtId="0" fontId="0" fillId="11" borderId="17" xfId="0" applyFill="1" applyBorder="1"/>
    <xf numFmtId="0" fontId="0" fillId="0" borderId="2" xfId="0" applyBorder="1" applyAlignment="1">
      <alignment horizontal="center" wrapText="1"/>
    </xf>
    <xf numFmtId="0" fontId="0" fillId="10" borderId="0" xfId="0" applyFill="1" applyAlignment="1">
      <alignment horizontal="left" indent="1"/>
    </xf>
    <xf numFmtId="0" fontId="0" fillId="10" borderId="0" xfId="0" applyFill="1" applyAlignment="1">
      <alignment horizontal="left"/>
    </xf>
    <xf numFmtId="0" fontId="0" fillId="0" borderId="8" xfId="0" applyBorder="1" applyAlignment="1">
      <alignment horizontal="center" wrapText="1"/>
    </xf>
    <xf numFmtId="0" fontId="0" fillId="0" borderId="0" xfId="0" applyBorder="1" applyAlignment="1">
      <alignment horizontal="center" wrapText="1"/>
    </xf>
    <xf numFmtId="0" fontId="0" fillId="0" borderId="6" xfId="0" applyFill="1" applyBorder="1" applyAlignment="1">
      <alignment horizontal="center" wrapText="1"/>
    </xf>
    <xf numFmtId="0" fontId="0" fillId="0" borderId="8" xfId="0" applyFill="1" applyBorder="1" applyAlignment="1">
      <alignment horizontal="center" wrapText="1"/>
    </xf>
    <xf numFmtId="0" fontId="0" fillId="0" borderId="1" xfId="0" applyBorder="1" applyAlignment="1">
      <alignment horizontal="center"/>
    </xf>
    <xf numFmtId="0" fontId="0" fillId="0" borderId="7" xfId="0" applyBorder="1" applyAlignment="1">
      <alignment horizontal="center"/>
    </xf>
    <xf numFmtId="0" fontId="0" fillId="11" borderId="3" xfId="0" applyFill="1" applyBorder="1" applyAlignment="1">
      <alignment horizontal="center"/>
    </xf>
    <xf numFmtId="0" fontId="0" fillId="11" borderId="2" xfId="0" applyFill="1" applyBorder="1" applyAlignment="1">
      <alignment horizontal="center"/>
    </xf>
    <xf numFmtId="0" fontId="0" fillId="11" borderId="6" xfId="0" applyFill="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11" borderId="0" xfId="0" applyFill="1" applyAlignment="1">
      <alignment horizontal="center"/>
    </xf>
    <xf numFmtId="0" fontId="0" fillId="11" borderId="4" xfId="0" applyFill="1" applyBorder="1" applyAlignment="1">
      <alignment horizontal="center"/>
    </xf>
    <xf numFmtId="0" fontId="0" fillId="11" borderId="1" xfId="0" applyFill="1" applyBorder="1" applyAlignment="1">
      <alignment horizontal="center"/>
    </xf>
    <xf numFmtId="0" fontId="0" fillId="11" borderId="7" xfId="0" applyFill="1" applyBorder="1" applyAlignment="1">
      <alignment horizontal="center"/>
    </xf>
    <xf numFmtId="0" fontId="0" fillId="11" borderId="5" xfId="0" applyFill="1" applyBorder="1" applyAlignment="1">
      <alignment horizontal="center"/>
    </xf>
    <xf numFmtId="0" fontId="0" fillId="11" borderId="8" xfId="0" applyFill="1" applyBorder="1" applyAlignment="1">
      <alignment horizontal="center"/>
    </xf>
    <xf numFmtId="0" fontId="0" fillId="11" borderId="0" xfId="0" applyFill="1"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8" xfId="0" applyBorder="1" applyAlignment="1">
      <alignment horizontal="center"/>
    </xf>
    <xf numFmtId="2" fontId="0" fillId="0" borderId="0" xfId="0" applyNumberFormat="1" applyBorder="1" applyAlignment="1">
      <alignment horizontal="center"/>
    </xf>
    <xf numFmtId="2" fontId="0" fillId="0" borderId="8" xfId="0" applyNumberFormat="1" applyBorder="1" applyAlignment="1">
      <alignment horizontal="center"/>
    </xf>
    <xf numFmtId="0" fontId="0" fillId="0" borderId="3"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1" fillId="14" borderId="0" xfId="0" applyFont="1" applyFill="1" applyAlignment="1">
      <alignment horizontal="left" wrapText="1"/>
    </xf>
    <xf numFmtId="0" fontId="0" fillId="14" borderId="0" xfId="0" applyFill="1"/>
    <xf numFmtId="0" fontId="2" fillId="14" borderId="0" xfId="8" applyFill="1"/>
    <xf numFmtId="0" fontId="0" fillId="14" borderId="0" xfId="0" applyFill="1" applyAlignment="1">
      <alignment horizontal="left" vertical="top" wrapText="1"/>
    </xf>
    <xf numFmtId="0" fontId="0" fillId="14" borderId="0" xfId="0" applyFill="1" applyAlignment="1">
      <alignment vertical="top"/>
    </xf>
    <xf numFmtId="0" fontId="2" fillId="14" borderId="0" xfId="8" applyFont="1" applyFill="1" applyAlignment="1">
      <alignment horizontal="left"/>
    </xf>
    <xf numFmtId="0" fontId="2" fillId="14" borderId="0" xfId="8" applyFont="1" applyFill="1"/>
    <xf numFmtId="0" fontId="0" fillId="14" borderId="1" xfId="0" applyFill="1" applyBorder="1"/>
    <xf numFmtId="0" fontId="0" fillId="14" borderId="5" xfId="0" applyFill="1" applyBorder="1"/>
    <xf numFmtId="0" fontId="1" fillId="5" borderId="0" xfId="8" applyFont="1" applyFill="1"/>
    <xf numFmtId="0" fontId="2" fillId="5" borderId="0" xfId="8" applyFill="1"/>
    <xf numFmtId="0" fontId="1" fillId="5" borderId="0" xfId="8" applyFont="1" applyFill="1" applyAlignment="1">
      <alignment horizontal="left"/>
    </xf>
  </cellXfs>
  <cellStyles count="9">
    <cellStyle name="40% - Accent3" xfId="8" builtinId="39"/>
    <cellStyle name="Bad" xfId="4" builtinId="27"/>
    <cellStyle name="Comma" xfId="1" builtinId="3"/>
    <cellStyle name="Currency" xfId="2" builtinId="4"/>
    <cellStyle name="Good" xfId="3" builtinId="26"/>
    <cellStyle name="Neutral" xfId="5" builtinId="28"/>
    <cellStyle name="Normal" xfId="0" builtinId="0"/>
    <cellStyle name="Percent" xfId="6" builtinId="5"/>
    <cellStyle name="Warning Text" xfId="7"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22860</xdr:colOff>
      <xdr:row>3</xdr:row>
      <xdr:rowOff>175260</xdr:rowOff>
    </xdr:from>
    <xdr:to>
      <xdr:col>9</xdr:col>
      <xdr:colOff>693420</xdr:colOff>
      <xdr:row>5</xdr:row>
      <xdr:rowOff>22860</xdr:rowOff>
    </xdr:to>
    <xdr:sp macro="" textlink="">
      <xdr:nvSpPr>
        <xdr:cNvPr id="3" name="Right Arrow 2"/>
        <xdr:cNvSpPr/>
      </xdr:nvSpPr>
      <xdr:spPr>
        <a:xfrm>
          <a:off x="13738860" y="723900"/>
          <a:ext cx="3299460" cy="21336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8</xdr:col>
      <xdr:colOff>30480</xdr:colOff>
      <xdr:row>18</xdr:row>
      <xdr:rowOff>175260</xdr:rowOff>
    </xdr:from>
    <xdr:to>
      <xdr:col>9</xdr:col>
      <xdr:colOff>701040</xdr:colOff>
      <xdr:row>20</xdr:row>
      <xdr:rowOff>22860</xdr:rowOff>
    </xdr:to>
    <xdr:sp macro="" textlink="">
      <xdr:nvSpPr>
        <xdr:cNvPr id="5" name="Right Arrow 4"/>
        <xdr:cNvSpPr/>
      </xdr:nvSpPr>
      <xdr:spPr>
        <a:xfrm>
          <a:off x="12085320" y="3642360"/>
          <a:ext cx="3299460" cy="21336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0</xdr:colOff>
      <xdr:row>66</xdr:row>
      <xdr:rowOff>22860</xdr:rowOff>
    </xdr:from>
    <xdr:to>
      <xdr:col>3</xdr:col>
      <xdr:colOff>7620</xdr:colOff>
      <xdr:row>89</xdr:row>
      <xdr:rowOff>90610</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664440"/>
          <a:ext cx="5669280" cy="4273990"/>
        </a:xfrm>
        <a:prstGeom prst="rect">
          <a:avLst/>
        </a:prstGeom>
      </xdr:spPr>
    </xdr:pic>
    <xdr:clientData/>
  </xdr:twoCellAnchor>
  <xdr:twoCellAnchor editAs="oneCell">
    <xdr:from>
      <xdr:col>3</xdr:col>
      <xdr:colOff>548641</xdr:colOff>
      <xdr:row>66</xdr:row>
      <xdr:rowOff>1</xdr:rowOff>
    </xdr:from>
    <xdr:to>
      <xdr:col>7</xdr:col>
      <xdr:colOff>769621</xdr:colOff>
      <xdr:row>89</xdr:row>
      <xdr:rowOff>47175</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10301" y="12641581"/>
          <a:ext cx="5821680" cy="4253414"/>
        </a:xfrm>
        <a:prstGeom prst="rect">
          <a:avLst/>
        </a:prstGeom>
      </xdr:spPr>
    </xdr:pic>
    <xdr:clientData/>
  </xdr:twoCellAnchor>
  <xdr:twoCellAnchor editAs="oneCell">
    <xdr:from>
      <xdr:col>8</xdr:col>
      <xdr:colOff>1</xdr:colOff>
      <xdr:row>66</xdr:row>
      <xdr:rowOff>22860</xdr:rowOff>
    </xdr:from>
    <xdr:to>
      <xdr:col>11</xdr:col>
      <xdr:colOff>685801</xdr:colOff>
      <xdr:row>88</xdr:row>
      <xdr:rowOff>165291</xdr:rowOff>
    </xdr:to>
    <xdr:pic>
      <xdr:nvPicPr>
        <xdr:cNvPr id="8" name="Pictur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54841" y="12664440"/>
          <a:ext cx="6256020" cy="4165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1242060</xdr:colOff>
      <xdr:row>5</xdr:row>
      <xdr:rowOff>0</xdr:rowOff>
    </xdr:to>
    <xdr:sp macro="" textlink="">
      <xdr:nvSpPr>
        <xdr:cNvPr id="3" name="Right Arrow 2"/>
        <xdr:cNvSpPr/>
      </xdr:nvSpPr>
      <xdr:spPr>
        <a:xfrm>
          <a:off x="12832080" y="731520"/>
          <a:ext cx="124206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0</xdr:colOff>
      <xdr:row>18</xdr:row>
      <xdr:rowOff>0</xdr:rowOff>
    </xdr:from>
    <xdr:to>
      <xdr:col>9</xdr:col>
      <xdr:colOff>1242060</xdr:colOff>
      <xdr:row>19</xdr:row>
      <xdr:rowOff>0</xdr:rowOff>
    </xdr:to>
    <xdr:sp macro="" textlink="">
      <xdr:nvSpPr>
        <xdr:cNvPr id="6" name="Right Arrow 5"/>
        <xdr:cNvSpPr/>
      </xdr:nvSpPr>
      <xdr:spPr>
        <a:xfrm>
          <a:off x="12832080" y="3291840"/>
          <a:ext cx="124206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9</xdr:col>
      <xdr:colOff>0</xdr:colOff>
      <xdr:row>33</xdr:row>
      <xdr:rowOff>0</xdr:rowOff>
    </xdr:from>
    <xdr:to>
      <xdr:col>9</xdr:col>
      <xdr:colOff>1242060</xdr:colOff>
      <xdr:row>34</xdr:row>
      <xdr:rowOff>0</xdr:rowOff>
    </xdr:to>
    <xdr:sp macro="" textlink="">
      <xdr:nvSpPr>
        <xdr:cNvPr id="7" name="Right Arrow 6"/>
        <xdr:cNvSpPr/>
      </xdr:nvSpPr>
      <xdr:spPr>
        <a:xfrm>
          <a:off x="12832080" y="6050280"/>
          <a:ext cx="124206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xdr:row>
      <xdr:rowOff>0</xdr:rowOff>
    </xdr:from>
    <xdr:to>
      <xdr:col>14</xdr:col>
      <xdr:colOff>541020</xdr:colOff>
      <xdr:row>5</xdr:row>
      <xdr:rowOff>0</xdr:rowOff>
    </xdr:to>
    <xdr:sp macro="" textlink="">
      <xdr:nvSpPr>
        <xdr:cNvPr id="2" name="Right Arrow 1"/>
        <xdr:cNvSpPr/>
      </xdr:nvSpPr>
      <xdr:spPr>
        <a:xfrm>
          <a:off x="12809220" y="731520"/>
          <a:ext cx="54102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14</xdr:col>
      <xdr:colOff>0</xdr:colOff>
      <xdr:row>13</xdr:row>
      <xdr:rowOff>0</xdr:rowOff>
    </xdr:from>
    <xdr:to>
      <xdr:col>14</xdr:col>
      <xdr:colOff>541020</xdr:colOff>
      <xdr:row>14</xdr:row>
      <xdr:rowOff>0</xdr:rowOff>
    </xdr:to>
    <xdr:sp macro="" textlink="">
      <xdr:nvSpPr>
        <xdr:cNvPr id="3" name="Right Arrow 2"/>
        <xdr:cNvSpPr/>
      </xdr:nvSpPr>
      <xdr:spPr>
        <a:xfrm>
          <a:off x="12809220" y="2377440"/>
          <a:ext cx="54102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14</xdr:col>
      <xdr:colOff>0</xdr:colOff>
      <xdr:row>28</xdr:row>
      <xdr:rowOff>0</xdr:rowOff>
    </xdr:from>
    <xdr:to>
      <xdr:col>14</xdr:col>
      <xdr:colOff>541020</xdr:colOff>
      <xdr:row>29</xdr:row>
      <xdr:rowOff>0</xdr:rowOff>
    </xdr:to>
    <xdr:sp macro="" textlink="">
      <xdr:nvSpPr>
        <xdr:cNvPr id="4" name="Right Arrow 3"/>
        <xdr:cNvSpPr/>
      </xdr:nvSpPr>
      <xdr:spPr>
        <a:xfrm>
          <a:off x="12809220" y="5135880"/>
          <a:ext cx="54102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twoCellAnchor>
    <xdr:from>
      <xdr:col>14</xdr:col>
      <xdr:colOff>0</xdr:colOff>
      <xdr:row>38</xdr:row>
      <xdr:rowOff>0</xdr:rowOff>
    </xdr:from>
    <xdr:to>
      <xdr:col>14</xdr:col>
      <xdr:colOff>541020</xdr:colOff>
      <xdr:row>39</xdr:row>
      <xdr:rowOff>0</xdr:rowOff>
    </xdr:to>
    <xdr:sp macro="" textlink="">
      <xdr:nvSpPr>
        <xdr:cNvPr id="5" name="Right Arrow 4"/>
        <xdr:cNvSpPr/>
      </xdr:nvSpPr>
      <xdr:spPr>
        <a:xfrm>
          <a:off x="12809220" y="6964680"/>
          <a:ext cx="541020" cy="182880"/>
        </a:xfrm>
        <a:prstGeom prst="rightArrow">
          <a:avLst/>
        </a:prstGeom>
        <a:solidFill>
          <a:srgbClr val="FFFF0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workbookViewId="0">
      <selection activeCell="C4" sqref="C4:N4"/>
    </sheetView>
  </sheetViews>
  <sheetFormatPr defaultRowHeight="15" x14ac:dyDescent="0.25"/>
  <cols>
    <col min="1" max="1" width="9.140625" style="302"/>
    <col min="2" max="2" width="18.7109375" style="302" customWidth="1"/>
    <col min="3" max="3" width="19.7109375" style="302" customWidth="1"/>
    <col min="4" max="26" width="9.140625" style="302"/>
  </cols>
  <sheetData>
    <row r="1" spans="1:19" ht="86.45" customHeight="1" x14ac:dyDescent="0.45">
      <c r="A1" s="301" t="s">
        <v>768</v>
      </c>
      <c r="B1" s="301"/>
      <c r="C1" s="301"/>
      <c r="D1" s="301"/>
      <c r="E1" s="301"/>
      <c r="F1" s="301"/>
      <c r="G1" s="301"/>
      <c r="H1" s="301"/>
      <c r="I1" s="301"/>
      <c r="J1" s="301"/>
      <c r="K1" s="301"/>
      <c r="L1" s="301"/>
      <c r="M1" s="301"/>
      <c r="N1" s="301"/>
      <c r="O1" s="301"/>
      <c r="P1" s="301"/>
      <c r="Q1" s="301"/>
      <c r="R1" s="301"/>
      <c r="S1" s="301"/>
    </row>
    <row r="3" spans="1:19" x14ac:dyDescent="0.25">
      <c r="B3" s="310" t="s">
        <v>728</v>
      </c>
      <c r="C3" s="311"/>
      <c r="D3" s="311"/>
      <c r="E3" s="311"/>
      <c r="F3" s="311"/>
      <c r="G3" s="311"/>
      <c r="H3" s="311"/>
      <c r="I3" s="311"/>
      <c r="J3" s="311"/>
      <c r="K3" s="311"/>
      <c r="L3" s="311"/>
      <c r="M3" s="311"/>
      <c r="N3" s="311"/>
      <c r="O3" s="59"/>
      <c r="P3" s="59"/>
      <c r="Q3" s="59"/>
      <c r="R3" s="59"/>
    </row>
    <row r="4" spans="1:19" ht="47.25" customHeight="1" x14ac:dyDescent="0.25">
      <c r="C4" s="304" t="s">
        <v>767</v>
      </c>
      <c r="D4" s="304"/>
      <c r="E4" s="304"/>
      <c r="F4" s="304"/>
      <c r="G4" s="304"/>
      <c r="H4" s="304"/>
      <c r="I4" s="304"/>
      <c r="J4" s="304"/>
      <c r="K4" s="304"/>
      <c r="L4" s="304"/>
      <c r="M4" s="304"/>
      <c r="N4" s="304"/>
      <c r="O4" s="305"/>
      <c r="P4" s="305"/>
      <c r="Q4" s="305"/>
      <c r="R4" s="305"/>
      <c r="S4" s="305"/>
    </row>
    <row r="5" spans="1:19" x14ac:dyDescent="0.25">
      <c r="C5" s="305"/>
      <c r="D5" s="305"/>
      <c r="E5" s="305"/>
      <c r="F5" s="305"/>
      <c r="G5" s="305"/>
      <c r="H5" s="305"/>
      <c r="I5" s="305"/>
      <c r="J5" s="305"/>
      <c r="K5" s="305"/>
      <c r="L5" s="305"/>
      <c r="M5" s="305"/>
      <c r="N5" s="305"/>
      <c r="O5" s="305"/>
      <c r="P5" s="305"/>
      <c r="Q5" s="305"/>
      <c r="R5" s="305"/>
      <c r="S5" s="305"/>
    </row>
    <row r="7" spans="1:19" x14ac:dyDescent="0.25">
      <c r="B7" s="312" t="s">
        <v>696</v>
      </c>
      <c r="C7" s="312"/>
      <c r="D7" s="310"/>
      <c r="E7" s="310"/>
      <c r="F7" s="310"/>
      <c r="G7" s="311"/>
      <c r="H7" s="311"/>
      <c r="I7" s="311"/>
      <c r="J7" s="311"/>
      <c r="K7" s="311"/>
      <c r="L7" s="311"/>
      <c r="M7" s="311"/>
      <c r="N7" s="311"/>
      <c r="O7" s="59"/>
      <c r="P7" s="59"/>
      <c r="Q7" s="59"/>
      <c r="R7" s="59"/>
    </row>
    <row r="8" spans="1:19" x14ac:dyDescent="0.25">
      <c r="B8" s="306" t="s">
        <v>712</v>
      </c>
      <c r="C8" s="306" t="s">
        <v>713</v>
      </c>
      <c r="D8" s="307" t="s">
        <v>711</v>
      </c>
      <c r="E8" s="307"/>
      <c r="F8" s="307"/>
      <c r="G8" s="303"/>
      <c r="H8" s="303"/>
      <c r="I8" s="303"/>
      <c r="J8" s="303"/>
      <c r="K8" s="303"/>
      <c r="L8" s="303"/>
      <c r="M8" s="303"/>
      <c r="N8" s="303"/>
    </row>
    <row r="9" spans="1:19" x14ac:dyDescent="0.25">
      <c r="B9" s="308" t="s">
        <v>697</v>
      </c>
      <c r="C9" s="308"/>
      <c r="D9" s="309"/>
    </row>
    <row r="10" spans="1:19" x14ac:dyDescent="0.25">
      <c r="C10" s="302" t="s">
        <v>182</v>
      </c>
      <c r="D10" s="309" t="s">
        <v>727</v>
      </c>
    </row>
    <row r="11" spans="1:19" x14ac:dyDescent="0.25">
      <c r="C11" s="302" t="s">
        <v>701</v>
      </c>
      <c r="D11" s="309" t="s">
        <v>707</v>
      </c>
    </row>
    <row r="12" spans="1:19" x14ac:dyDescent="0.25">
      <c r="B12" s="308" t="s">
        <v>699</v>
      </c>
      <c r="C12" s="308"/>
      <c r="D12" s="309"/>
    </row>
    <row r="13" spans="1:19" x14ac:dyDescent="0.25">
      <c r="C13" s="302" t="s">
        <v>705</v>
      </c>
      <c r="D13" s="309" t="s">
        <v>706</v>
      </c>
    </row>
    <row r="14" spans="1:19" x14ac:dyDescent="0.25">
      <c r="B14" s="308" t="s">
        <v>703</v>
      </c>
      <c r="C14" s="308"/>
      <c r="D14" s="309"/>
    </row>
    <row r="15" spans="1:19" x14ac:dyDescent="0.25">
      <c r="C15" s="302" t="s">
        <v>167</v>
      </c>
      <c r="D15" s="309" t="s">
        <v>708</v>
      </c>
    </row>
    <row r="16" spans="1:19" x14ac:dyDescent="0.25">
      <c r="C16" s="302" t="s">
        <v>702</v>
      </c>
      <c r="D16" s="309" t="s">
        <v>709</v>
      </c>
    </row>
    <row r="17" spans="2:18" x14ac:dyDescent="0.25">
      <c r="B17" s="308" t="s">
        <v>698</v>
      </c>
      <c r="C17" s="308"/>
      <c r="D17" s="309"/>
    </row>
    <row r="18" spans="2:18" x14ac:dyDescent="0.25">
      <c r="C18" s="302" t="s">
        <v>174</v>
      </c>
      <c r="D18" s="309" t="s">
        <v>710</v>
      </c>
    </row>
    <row r="19" spans="2:18" x14ac:dyDescent="0.25">
      <c r="C19" s="302" t="s">
        <v>176</v>
      </c>
      <c r="D19" s="309" t="s">
        <v>707</v>
      </c>
    </row>
    <row r="20" spans="2:18" x14ac:dyDescent="0.25">
      <c r="C20" s="302" t="s">
        <v>175</v>
      </c>
      <c r="D20" s="309" t="s">
        <v>707</v>
      </c>
    </row>
    <row r="21" spans="2:18" x14ac:dyDescent="0.25">
      <c r="C21" s="302" t="s">
        <v>186</v>
      </c>
      <c r="D21" s="309" t="s">
        <v>707</v>
      </c>
    </row>
    <row r="22" spans="2:18" x14ac:dyDescent="0.25">
      <c r="B22" s="308" t="s">
        <v>700</v>
      </c>
      <c r="C22" s="308"/>
      <c r="D22" s="309"/>
    </row>
    <row r="23" spans="2:18" x14ac:dyDescent="0.25">
      <c r="C23" s="302" t="s">
        <v>704</v>
      </c>
      <c r="D23" s="309" t="s">
        <v>707</v>
      </c>
    </row>
    <row r="25" spans="2:18" x14ac:dyDescent="0.25">
      <c r="B25" s="310" t="s">
        <v>730</v>
      </c>
      <c r="C25" s="311"/>
      <c r="D25" s="311"/>
      <c r="E25" s="311"/>
      <c r="F25" s="311"/>
      <c r="G25" s="311"/>
      <c r="H25" s="311"/>
      <c r="I25" s="311"/>
      <c r="J25" s="311"/>
      <c r="K25" s="311"/>
      <c r="L25" s="311"/>
      <c r="M25" s="311"/>
      <c r="N25" s="311"/>
      <c r="O25" s="59"/>
      <c r="P25" s="59"/>
      <c r="Q25" s="59"/>
      <c r="R25" s="59"/>
    </row>
    <row r="26" spans="2:18" ht="58.5" customHeight="1" x14ac:dyDescent="0.25">
      <c r="B26" s="305" t="s">
        <v>769</v>
      </c>
      <c r="C26" s="304" t="s">
        <v>770</v>
      </c>
      <c r="D26" s="304"/>
      <c r="E26" s="304"/>
      <c r="F26" s="304"/>
      <c r="G26" s="304"/>
      <c r="H26" s="304"/>
      <c r="I26" s="304"/>
      <c r="J26" s="304"/>
      <c r="K26" s="304"/>
      <c r="L26" s="304"/>
      <c r="M26" s="304"/>
      <c r="N26" s="304"/>
    </row>
    <row r="27" spans="2:18" x14ac:dyDescent="0.25">
      <c r="B27" s="302" t="s">
        <v>331</v>
      </c>
      <c r="C27" s="302" t="s">
        <v>731</v>
      </c>
    </row>
    <row r="28" spans="2:18" x14ac:dyDescent="0.25">
      <c r="B28" s="302" t="s">
        <v>324</v>
      </c>
      <c r="C28" s="302" t="s">
        <v>732</v>
      </c>
    </row>
    <row r="29" spans="2:18" x14ac:dyDescent="0.25">
      <c r="B29" s="302" t="s">
        <v>733</v>
      </c>
      <c r="C29" s="302" t="s">
        <v>642</v>
      </c>
    </row>
    <row r="30" spans="2:18" x14ac:dyDescent="0.25">
      <c r="B30" s="302" t="s">
        <v>734</v>
      </c>
      <c r="C30" s="302" t="s">
        <v>735</v>
      </c>
    </row>
    <row r="31" spans="2:18" x14ac:dyDescent="0.25">
      <c r="B31" s="302" t="s">
        <v>736</v>
      </c>
      <c r="C31" s="302" t="s">
        <v>737</v>
      </c>
    </row>
    <row r="33" spans="2:18" x14ac:dyDescent="0.25">
      <c r="B33" s="310" t="s">
        <v>44</v>
      </c>
      <c r="C33" s="311"/>
      <c r="D33" s="311"/>
      <c r="E33" s="311"/>
      <c r="F33" s="311"/>
      <c r="G33" s="311"/>
      <c r="H33" s="311"/>
      <c r="I33" s="311"/>
      <c r="J33" s="311"/>
      <c r="K33" s="311"/>
      <c r="L33" s="311"/>
      <c r="M33" s="311"/>
      <c r="N33" s="311"/>
      <c r="O33" s="59"/>
      <c r="P33" s="59"/>
      <c r="Q33" s="59"/>
      <c r="R33" s="59"/>
    </row>
    <row r="34" spans="2:18" x14ac:dyDescent="0.25">
      <c r="C34" s="302" t="s">
        <v>729</v>
      </c>
    </row>
    <row r="35" spans="2:18" x14ac:dyDescent="0.25">
      <c r="C35" s="302" t="s">
        <v>738</v>
      </c>
    </row>
    <row r="36" spans="2:18" x14ac:dyDescent="0.25">
      <c r="C36" s="302" t="s">
        <v>739</v>
      </c>
    </row>
  </sheetData>
  <mergeCells count="4">
    <mergeCell ref="C26:N26"/>
    <mergeCell ref="A1:S1"/>
    <mergeCell ref="B7:C7"/>
    <mergeCell ref="C4:N4"/>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sqref="A1:B16"/>
    </sheetView>
  </sheetViews>
  <sheetFormatPr defaultRowHeight="15" x14ac:dyDescent="0.25"/>
  <cols>
    <col min="1" max="1" width="31.7109375" bestFit="1" customWidth="1"/>
    <col min="2" max="2" width="26.7109375" bestFit="1" customWidth="1"/>
    <col min="3" max="3" width="12.5703125" bestFit="1" customWidth="1"/>
    <col min="4" max="4" width="31.85546875" bestFit="1" customWidth="1"/>
    <col min="5" max="5" width="30.5703125" customWidth="1"/>
    <col min="6" max="6" width="10" bestFit="1" customWidth="1"/>
  </cols>
  <sheetData>
    <row r="1" spans="1:9" x14ac:dyDescent="0.25">
      <c r="A1" s="2" t="s">
        <v>257</v>
      </c>
      <c r="B1" s="2" t="s">
        <v>297</v>
      </c>
      <c r="D1" s="166" t="s">
        <v>714</v>
      </c>
      <c r="E1" s="20"/>
      <c r="H1" t="s">
        <v>652</v>
      </c>
    </row>
    <row r="2" spans="1:9" x14ac:dyDescent="0.25">
      <c r="A2" t="s">
        <v>283</v>
      </c>
      <c r="B2" s="45">
        <v>12300</v>
      </c>
      <c r="D2" s="4" t="s">
        <v>116</v>
      </c>
      <c r="E2" s="274" t="s">
        <v>303</v>
      </c>
      <c r="H2" t="s">
        <v>302</v>
      </c>
    </row>
    <row r="3" spans="1:9" x14ac:dyDescent="0.25">
      <c r="A3" t="s">
        <v>305</v>
      </c>
      <c r="B3" s="45">
        <v>54000</v>
      </c>
      <c r="D3" s="4"/>
      <c r="E3" s="274"/>
      <c r="H3" s="157" t="s">
        <v>635</v>
      </c>
      <c r="I3" s="157"/>
    </row>
    <row r="4" spans="1:9" x14ac:dyDescent="0.25">
      <c r="A4" t="s">
        <v>306</v>
      </c>
      <c r="B4" s="45">
        <v>17200</v>
      </c>
      <c r="D4" s="4" t="s">
        <v>426</v>
      </c>
      <c r="E4" s="7" t="s">
        <v>434</v>
      </c>
    </row>
    <row r="5" spans="1:9" x14ac:dyDescent="0.25">
      <c r="A5" t="s">
        <v>262</v>
      </c>
      <c r="B5" s="45">
        <v>71200</v>
      </c>
      <c r="D5" s="4" t="s">
        <v>425</v>
      </c>
      <c r="E5" s="7" t="s">
        <v>427</v>
      </c>
    </row>
    <row r="6" spans="1:9" x14ac:dyDescent="0.25">
      <c r="A6" t="s">
        <v>266</v>
      </c>
      <c r="B6" s="45">
        <v>20200</v>
      </c>
      <c r="D6" s="4" t="s">
        <v>236</v>
      </c>
      <c r="E6" s="7" t="s">
        <v>435</v>
      </c>
    </row>
    <row r="7" spans="1:9" x14ac:dyDescent="0.25">
      <c r="A7" t="s">
        <v>242</v>
      </c>
      <c r="B7" s="45">
        <v>1900</v>
      </c>
      <c r="D7" s="173" t="s">
        <v>429</v>
      </c>
      <c r="E7" s="7"/>
    </row>
    <row r="8" spans="1:9" x14ac:dyDescent="0.25">
      <c r="A8" t="s">
        <v>243</v>
      </c>
      <c r="B8" s="45">
        <v>12270</v>
      </c>
      <c r="D8" s="4" t="s">
        <v>430</v>
      </c>
      <c r="E8" s="7" t="s">
        <v>436</v>
      </c>
    </row>
    <row r="9" spans="1:9" x14ac:dyDescent="0.25">
      <c r="A9" s="2" t="s">
        <v>241</v>
      </c>
      <c r="B9" s="28">
        <v>134970</v>
      </c>
      <c r="D9" s="4" t="s">
        <v>432</v>
      </c>
      <c r="E9" s="7" t="s">
        <v>437</v>
      </c>
    </row>
    <row r="10" spans="1:9" x14ac:dyDescent="0.25">
      <c r="A10" t="s">
        <v>245</v>
      </c>
      <c r="B10" s="45">
        <v>9448</v>
      </c>
      <c r="D10" s="4"/>
      <c r="E10" s="7"/>
    </row>
    <row r="11" spans="1:9" x14ac:dyDescent="0.25">
      <c r="A11" t="s">
        <v>72</v>
      </c>
      <c r="B11" s="45">
        <v>600</v>
      </c>
      <c r="D11" s="166" t="s">
        <v>273</v>
      </c>
      <c r="E11" s="20"/>
    </row>
    <row r="12" spans="1:9" x14ac:dyDescent="0.25">
      <c r="A12" t="s">
        <v>246</v>
      </c>
      <c r="B12" s="45">
        <v>1200</v>
      </c>
      <c r="D12" s="4" t="s">
        <v>274</v>
      </c>
      <c r="E12" s="168">
        <v>0.1</v>
      </c>
    </row>
    <row r="13" spans="1:9" x14ac:dyDescent="0.25">
      <c r="A13" t="s">
        <v>301</v>
      </c>
      <c r="B13" s="45">
        <v>4500</v>
      </c>
      <c r="D13" s="4" t="s">
        <v>269</v>
      </c>
      <c r="E13" s="168">
        <v>0.1</v>
      </c>
    </row>
    <row r="14" spans="1:9" x14ac:dyDescent="0.25">
      <c r="A14" t="s">
        <v>287</v>
      </c>
      <c r="B14" s="45">
        <f>B10+B11+B12+B13</f>
        <v>15748</v>
      </c>
      <c r="D14" s="4" t="s">
        <v>245</v>
      </c>
      <c r="E14" s="168">
        <v>7.0000000000000007E-2</v>
      </c>
    </row>
    <row r="15" spans="1:9" x14ac:dyDescent="0.25">
      <c r="A15" t="s">
        <v>269</v>
      </c>
      <c r="B15" s="45">
        <v>15072</v>
      </c>
      <c r="D15" s="4" t="s">
        <v>276</v>
      </c>
      <c r="E15" s="7">
        <v>20</v>
      </c>
    </row>
    <row r="16" spans="1:9" x14ac:dyDescent="0.25">
      <c r="A16" t="s">
        <v>144</v>
      </c>
      <c r="B16" s="45">
        <f>B9+B14+B15</f>
        <v>165790</v>
      </c>
      <c r="D16" s="4" t="s">
        <v>277</v>
      </c>
      <c r="E16" s="15">
        <v>30000</v>
      </c>
    </row>
    <row r="17" spans="1:5" x14ac:dyDescent="0.25">
      <c r="B17" s="45"/>
      <c r="D17" s="4" t="s">
        <v>280</v>
      </c>
      <c r="E17" s="15">
        <v>1200000</v>
      </c>
    </row>
    <row r="18" spans="1:5" x14ac:dyDescent="0.25">
      <c r="A18" s="1" t="s">
        <v>290</v>
      </c>
      <c r="B18" s="28" t="s">
        <v>79</v>
      </c>
      <c r="D18" s="4" t="s">
        <v>304</v>
      </c>
      <c r="E18" s="15">
        <v>1</v>
      </c>
    </row>
    <row r="19" spans="1:5" x14ac:dyDescent="0.25">
      <c r="A19" t="s">
        <v>232</v>
      </c>
      <c r="B19" s="45">
        <v>7</v>
      </c>
      <c r="D19" s="4" t="s">
        <v>281</v>
      </c>
      <c r="E19" s="15">
        <v>0</v>
      </c>
    </row>
    <row r="20" spans="1:5" x14ac:dyDescent="0.25">
      <c r="A20" t="s">
        <v>307</v>
      </c>
      <c r="B20" s="45"/>
      <c r="D20" s="4" t="s">
        <v>294</v>
      </c>
      <c r="E20" s="15">
        <v>2800000</v>
      </c>
    </row>
    <row r="21" spans="1:5" x14ac:dyDescent="0.25">
      <c r="A21" t="s">
        <v>308</v>
      </c>
      <c r="B21">
        <v>0.6</v>
      </c>
      <c r="D21" s="4" t="s">
        <v>295</v>
      </c>
      <c r="E21" s="7">
        <v>0.5</v>
      </c>
    </row>
    <row r="22" spans="1:5" x14ac:dyDescent="0.25">
      <c r="A22" t="s">
        <v>309</v>
      </c>
      <c r="B22" s="45">
        <v>18500</v>
      </c>
      <c r="D22" s="4" t="s">
        <v>296</v>
      </c>
      <c r="E22" s="15">
        <v>3100000</v>
      </c>
    </row>
    <row r="23" spans="1:5" x14ac:dyDescent="0.25">
      <c r="D23" s="4"/>
      <c r="E23" s="7"/>
    </row>
    <row r="24" spans="1:5" x14ac:dyDescent="0.25">
      <c r="D24" s="173" t="s">
        <v>445</v>
      </c>
      <c r="E24" s="7" t="s">
        <v>450</v>
      </c>
    </row>
    <row r="25" spans="1:5" x14ac:dyDescent="0.25">
      <c r="D25" s="4" t="s">
        <v>446</v>
      </c>
      <c r="E25" s="7">
        <v>0.03</v>
      </c>
    </row>
    <row r="26" spans="1:5" x14ac:dyDescent="0.25">
      <c r="D26" s="4" t="s">
        <v>447</v>
      </c>
      <c r="E26" s="7">
        <v>0</v>
      </c>
    </row>
    <row r="27" spans="1:5" x14ac:dyDescent="0.25">
      <c r="D27" s="3" t="s">
        <v>449</v>
      </c>
      <c r="E27" s="6">
        <v>117</v>
      </c>
    </row>
    <row r="28" spans="1:5" s="164" customFormat="1" ht="15.75" thickBot="1" x14ac:dyDescent="0.3"/>
    <row r="29" spans="1:5" ht="15.75" thickTop="1" x14ac:dyDescent="0.25">
      <c r="A29" s="161" t="s">
        <v>377</v>
      </c>
      <c r="B29" s="5"/>
    </row>
    <row r="31" spans="1:5" x14ac:dyDescent="0.25">
      <c r="A31" s="2" t="s">
        <v>257</v>
      </c>
      <c r="B31" s="2" t="s">
        <v>297</v>
      </c>
    </row>
    <row r="32" spans="1:5" x14ac:dyDescent="0.25">
      <c r="A32" t="s">
        <v>283</v>
      </c>
      <c r="B32" s="45">
        <f t="shared" ref="B32:B46" si="0">1.0197*B2</f>
        <v>12542.310000000001</v>
      </c>
    </row>
    <row r="33" spans="1:3" x14ac:dyDescent="0.25">
      <c r="A33" t="s">
        <v>305</v>
      </c>
      <c r="B33" s="45">
        <f t="shared" si="0"/>
        <v>55063.8</v>
      </c>
    </row>
    <row r="34" spans="1:3" x14ac:dyDescent="0.25">
      <c r="A34" t="s">
        <v>306</v>
      </c>
      <c r="B34" s="45">
        <f t="shared" si="0"/>
        <v>17538.84</v>
      </c>
    </row>
    <row r="35" spans="1:3" x14ac:dyDescent="0.25">
      <c r="A35" t="s">
        <v>262</v>
      </c>
      <c r="B35" s="45">
        <f t="shared" si="0"/>
        <v>72602.64</v>
      </c>
    </row>
    <row r="36" spans="1:3" x14ac:dyDescent="0.25">
      <c r="A36" t="s">
        <v>266</v>
      </c>
      <c r="B36" s="45">
        <f t="shared" si="0"/>
        <v>20597.940000000002</v>
      </c>
    </row>
    <row r="37" spans="1:3" x14ac:dyDescent="0.25">
      <c r="A37" t="s">
        <v>242</v>
      </c>
      <c r="B37" s="45">
        <f t="shared" si="0"/>
        <v>1937.43</v>
      </c>
      <c r="C37" s="18"/>
    </row>
    <row r="38" spans="1:3" x14ac:dyDescent="0.25">
      <c r="A38" t="s">
        <v>243</v>
      </c>
      <c r="B38" s="45">
        <f t="shared" si="0"/>
        <v>12511.719000000001</v>
      </c>
    </row>
    <row r="39" spans="1:3" x14ac:dyDescent="0.25">
      <c r="A39" s="2" t="s">
        <v>241</v>
      </c>
      <c r="B39" s="28">
        <f t="shared" si="0"/>
        <v>137628.90900000001</v>
      </c>
    </row>
    <row r="40" spans="1:3" x14ac:dyDescent="0.25">
      <c r="A40" t="s">
        <v>245</v>
      </c>
      <c r="B40" s="45">
        <f t="shared" si="0"/>
        <v>9634.1256000000012</v>
      </c>
    </row>
    <row r="41" spans="1:3" x14ac:dyDescent="0.25">
      <c r="A41" t="s">
        <v>72</v>
      </c>
      <c r="B41" s="45">
        <f t="shared" si="0"/>
        <v>611.82000000000005</v>
      </c>
    </row>
    <row r="42" spans="1:3" x14ac:dyDescent="0.25">
      <c r="A42" t="s">
        <v>246</v>
      </c>
      <c r="B42" s="45">
        <f t="shared" si="0"/>
        <v>1223.6400000000001</v>
      </c>
    </row>
    <row r="43" spans="1:3" x14ac:dyDescent="0.25">
      <c r="A43" t="s">
        <v>301</v>
      </c>
      <c r="B43" s="45">
        <f t="shared" si="0"/>
        <v>4588.6500000000005</v>
      </c>
    </row>
    <row r="44" spans="1:3" x14ac:dyDescent="0.25">
      <c r="A44" t="s">
        <v>287</v>
      </c>
      <c r="B44" s="45">
        <f t="shared" si="0"/>
        <v>16058.2356</v>
      </c>
    </row>
    <row r="45" spans="1:3" x14ac:dyDescent="0.25">
      <c r="A45" t="s">
        <v>269</v>
      </c>
      <c r="B45" s="45">
        <f t="shared" si="0"/>
        <v>15368.9184</v>
      </c>
    </row>
    <row r="46" spans="1:3" x14ac:dyDescent="0.25">
      <c r="A46" s="2" t="s">
        <v>144</v>
      </c>
      <c r="B46" s="28">
        <f t="shared" si="0"/>
        <v>169056.06299999999</v>
      </c>
    </row>
    <row r="47" spans="1:3" x14ac:dyDescent="0.25">
      <c r="B47" s="45"/>
    </row>
    <row r="48" spans="1:3" x14ac:dyDescent="0.25">
      <c r="A48" s="1" t="s">
        <v>290</v>
      </c>
      <c r="B48" s="28" t="s">
        <v>79</v>
      </c>
    </row>
    <row r="49" spans="1:2" x14ac:dyDescent="0.25">
      <c r="A49" t="s">
        <v>232</v>
      </c>
      <c r="B49" s="45">
        <f>1.0197*B19</f>
        <v>7.1379000000000001</v>
      </c>
    </row>
    <row r="50" spans="1:2" x14ac:dyDescent="0.25">
      <c r="A50" t="s">
        <v>307</v>
      </c>
      <c r="B50" s="45"/>
    </row>
    <row r="51" spans="1:2" x14ac:dyDescent="0.25">
      <c r="A51" t="s">
        <v>308</v>
      </c>
      <c r="B51" s="47">
        <f>1.0197*B21</f>
        <v>0.61182000000000003</v>
      </c>
    </row>
    <row r="52" spans="1:2" x14ac:dyDescent="0.25">
      <c r="A52" t="s">
        <v>309</v>
      </c>
      <c r="B52" s="45">
        <f>1.0197*B22</f>
        <v>18864.45</v>
      </c>
    </row>
    <row r="54" spans="1:2" s="5" customFormat="1" x14ac:dyDescent="0.25"/>
    <row r="55" spans="1:2" s="5" customFormat="1" x14ac:dyDescent="0.25"/>
  </sheetData>
  <mergeCells count="1">
    <mergeCell ref="E2: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selection activeCell="A3" sqref="A3:B16"/>
    </sheetView>
  </sheetViews>
  <sheetFormatPr defaultRowHeight="15" x14ac:dyDescent="0.25"/>
  <cols>
    <col min="1" max="1" width="24.140625" bestFit="1" customWidth="1"/>
    <col min="2" max="2" width="13.7109375" bestFit="1" customWidth="1"/>
    <col min="4" max="4" width="37" bestFit="1" customWidth="1"/>
    <col min="5" max="5" width="30.28515625" bestFit="1" customWidth="1"/>
  </cols>
  <sheetData>
    <row r="1" spans="1:8" x14ac:dyDescent="0.25">
      <c r="A1" t="s">
        <v>116</v>
      </c>
      <c r="B1" t="s">
        <v>235</v>
      </c>
      <c r="D1" s="166" t="s">
        <v>393</v>
      </c>
      <c r="E1" s="20"/>
      <c r="G1" t="s">
        <v>626</v>
      </c>
    </row>
    <row r="2" spans="1:8" x14ac:dyDescent="0.25">
      <c r="A2" t="s">
        <v>236</v>
      </c>
      <c r="B2" t="s">
        <v>237</v>
      </c>
      <c r="D2" s="4" t="s">
        <v>116</v>
      </c>
      <c r="E2" s="7" t="s">
        <v>439</v>
      </c>
      <c r="G2" t="s">
        <v>438</v>
      </c>
    </row>
    <row r="3" spans="1:8" x14ac:dyDescent="0.25">
      <c r="A3" s="2" t="s">
        <v>224</v>
      </c>
      <c r="B3" s="2" t="s">
        <v>79</v>
      </c>
      <c r="D3" s="4" t="s">
        <v>426</v>
      </c>
      <c r="E3" s="7" t="s">
        <v>440</v>
      </c>
      <c r="G3" s="157" t="s">
        <v>635</v>
      </c>
      <c r="H3" s="157"/>
    </row>
    <row r="4" spans="1:8" x14ac:dyDescent="0.25">
      <c r="A4" t="s">
        <v>238</v>
      </c>
      <c r="B4" s="45">
        <v>22266000</v>
      </c>
      <c r="D4" s="4" t="s">
        <v>425</v>
      </c>
      <c r="E4" s="7" t="s">
        <v>441</v>
      </c>
    </row>
    <row r="5" spans="1:8" x14ac:dyDescent="0.25">
      <c r="A5" t="s">
        <v>239</v>
      </c>
      <c r="B5" s="45">
        <v>88818000</v>
      </c>
      <c r="D5" s="175" t="s">
        <v>429</v>
      </c>
      <c r="E5" s="6"/>
    </row>
    <row r="6" spans="1:8" x14ac:dyDescent="0.25">
      <c r="A6" t="s">
        <v>240</v>
      </c>
      <c r="B6" s="45">
        <v>26608000</v>
      </c>
      <c r="D6" s="4" t="s">
        <v>442</v>
      </c>
      <c r="E6" s="7">
        <v>50</v>
      </c>
    </row>
    <row r="7" spans="1:8" x14ac:dyDescent="0.25">
      <c r="A7" t="s">
        <v>242</v>
      </c>
      <c r="B7" s="45">
        <v>15418000</v>
      </c>
      <c r="D7" s="4" t="s">
        <v>443</v>
      </c>
      <c r="E7" s="7">
        <v>13300</v>
      </c>
    </row>
    <row r="8" spans="1:8" x14ac:dyDescent="0.25">
      <c r="A8" s="2" t="s">
        <v>243</v>
      </c>
      <c r="B8" s="28">
        <v>15311000</v>
      </c>
      <c r="D8" s="175" t="s">
        <v>445</v>
      </c>
      <c r="E8" s="6" t="s">
        <v>450</v>
      </c>
      <c r="F8" t="s">
        <v>457</v>
      </c>
    </row>
    <row r="9" spans="1:8" x14ac:dyDescent="0.25">
      <c r="A9" t="s">
        <v>241</v>
      </c>
      <c r="B9" s="45">
        <f>SUM(B4:B8)</f>
        <v>168421000</v>
      </c>
      <c r="D9" s="4" t="s">
        <v>446</v>
      </c>
      <c r="E9" s="7">
        <v>0.08</v>
      </c>
      <c r="F9" t="s">
        <v>456</v>
      </c>
    </row>
    <row r="10" spans="1:8" x14ac:dyDescent="0.25">
      <c r="A10" s="2" t="s">
        <v>244</v>
      </c>
      <c r="B10" s="28"/>
      <c r="D10" s="4" t="s">
        <v>447</v>
      </c>
      <c r="E10" s="174" t="s">
        <v>458</v>
      </c>
      <c r="F10" t="s">
        <v>454</v>
      </c>
    </row>
    <row r="11" spans="1:8" x14ac:dyDescent="0.25">
      <c r="A11" t="s">
        <v>245</v>
      </c>
      <c r="B11" s="45">
        <v>11789000</v>
      </c>
      <c r="D11" s="4" t="s">
        <v>452</v>
      </c>
      <c r="E11" s="7">
        <v>0.03</v>
      </c>
      <c r="F11" t="s">
        <v>455</v>
      </c>
    </row>
    <row r="12" spans="1:8" x14ac:dyDescent="0.25">
      <c r="A12" t="s">
        <v>72</v>
      </c>
      <c r="B12" s="45">
        <v>1500000</v>
      </c>
      <c r="D12" s="3" t="s">
        <v>449</v>
      </c>
      <c r="E12" s="6">
        <v>206</v>
      </c>
      <c r="F12" t="s">
        <v>453</v>
      </c>
    </row>
    <row r="13" spans="1:8" x14ac:dyDescent="0.25">
      <c r="A13" t="s">
        <v>248</v>
      </c>
      <c r="B13" s="45">
        <v>1200000</v>
      </c>
    </row>
    <row r="14" spans="1:8" x14ac:dyDescent="0.25">
      <c r="A14" s="2" t="s">
        <v>247</v>
      </c>
      <c r="B14" s="28">
        <f>SUM(B11:B13)</f>
        <v>14489000</v>
      </c>
    </row>
    <row r="15" spans="1:8" x14ac:dyDescent="0.25">
      <c r="A15" s="2" t="s">
        <v>93</v>
      </c>
      <c r="B15" s="28">
        <v>21949000</v>
      </c>
    </row>
    <row r="16" spans="1:8" x14ac:dyDescent="0.25">
      <c r="A16" s="2" t="s">
        <v>144</v>
      </c>
      <c r="B16" s="28">
        <f>B9+B14+B15</f>
        <v>204859000</v>
      </c>
    </row>
    <row r="18" spans="1:2" x14ac:dyDescent="0.25">
      <c r="A18" t="s">
        <v>249</v>
      </c>
    </row>
    <row r="20" spans="1:2" x14ac:dyDescent="0.25">
      <c r="A20" s="2" t="s">
        <v>231</v>
      </c>
      <c r="B20" s="2"/>
    </row>
    <row r="21" spans="1:2" x14ac:dyDescent="0.25">
      <c r="A21" t="s">
        <v>57</v>
      </c>
      <c r="B21" s="45">
        <v>3510000</v>
      </c>
    </row>
    <row r="22" spans="1:2" x14ac:dyDescent="0.25">
      <c r="A22" t="s">
        <v>250</v>
      </c>
      <c r="B22" s="45">
        <v>1250000</v>
      </c>
    </row>
    <row r="23" spans="1:2" x14ac:dyDescent="0.25">
      <c r="A23" t="s">
        <v>251</v>
      </c>
      <c r="B23" s="45">
        <v>1526000</v>
      </c>
    </row>
    <row r="24" spans="1:2" x14ac:dyDescent="0.25">
      <c r="A24" t="s">
        <v>252</v>
      </c>
      <c r="B24" s="45">
        <v>6286000</v>
      </c>
    </row>
    <row r="25" spans="1:2" x14ac:dyDescent="0.25">
      <c r="A25" t="s">
        <v>360</v>
      </c>
      <c r="B25" s="45">
        <v>125.72</v>
      </c>
    </row>
    <row r="26" spans="1:2" x14ac:dyDescent="0.25">
      <c r="A26" t="s">
        <v>233</v>
      </c>
      <c r="B26" s="53">
        <v>4.83</v>
      </c>
    </row>
    <row r="27" spans="1:2" s="164" customFormat="1" ht="15.75" thickBot="1" x14ac:dyDescent="0.3">
      <c r="B27" s="172"/>
    </row>
    <row r="28" spans="1:2" ht="15.75" thickTop="1" x14ac:dyDescent="0.25">
      <c r="A28" s="131" t="s">
        <v>377</v>
      </c>
      <c r="B28" s="45"/>
    </row>
    <row r="29" spans="1:2" x14ac:dyDescent="0.25">
      <c r="B29" s="45"/>
    </row>
    <row r="30" spans="1:2" x14ac:dyDescent="0.25">
      <c r="A30" s="3" t="s">
        <v>224</v>
      </c>
      <c r="B30" s="2" t="s">
        <v>79</v>
      </c>
    </row>
    <row r="31" spans="1:2" x14ac:dyDescent="0.25">
      <c r="A31" s="4" t="s">
        <v>238</v>
      </c>
      <c r="B31" s="45">
        <f t="shared" ref="B31:B43" si="0">B4*1.0197</f>
        <v>22704640.200000003</v>
      </c>
    </row>
    <row r="32" spans="1:2" x14ac:dyDescent="0.25">
      <c r="A32" s="4" t="s">
        <v>239</v>
      </c>
      <c r="B32" s="45">
        <f t="shared" si="0"/>
        <v>90567714.600000009</v>
      </c>
    </row>
    <row r="33" spans="1:2" x14ac:dyDescent="0.25">
      <c r="A33" s="4" t="s">
        <v>240</v>
      </c>
      <c r="B33" s="45">
        <f t="shared" si="0"/>
        <v>27132177.600000001</v>
      </c>
    </row>
    <row r="34" spans="1:2" x14ac:dyDescent="0.25">
      <c r="A34" s="4" t="s">
        <v>242</v>
      </c>
      <c r="B34" s="45">
        <f t="shared" si="0"/>
        <v>15721734.600000001</v>
      </c>
    </row>
    <row r="35" spans="1:2" x14ac:dyDescent="0.25">
      <c r="A35" s="3" t="s">
        <v>243</v>
      </c>
      <c r="B35" s="28">
        <f t="shared" si="0"/>
        <v>15612626.700000001</v>
      </c>
    </row>
    <row r="36" spans="1:2" x14ac:dyDescent="0.25">
      <c r="A36" s="4" t="s">
        <v>241</v>
      </c>
      <c r="B36" s="45">
        <f t="shared" si="0"/>
        <v>171738893.70000002</v>
      </c>
    </row>
    <row r="37" spans="1:2" x14ac:dyDescent="0.25">
      <c r="A37" s="3" t="s">
        <v>244</v>
      </c>
      <c r="B37" s="28">
        <f t="shared" si="0"/>
        <v>0</v>
      </c>
    </row>
    <row r="38" spans="1:2" x14ac:dyDescent="0.25">
      <c r="A38" s="4" t="s">
        <v>245</v>
      </c>
      <c r="B38" s="45">
        <f t="shared" si="0"/>
        <v>12021243.300000001</v>
      </c>
    </row>
    <row r="39" spans="1:2" x14ac:dyDescent="0.25">
      <c r="A39" s="4" t="s">
        <v>72</v>
      </c>
      <c r="B39" s="45">
        <f t="shared" si="0"/>
        <v>1529550</v>
      </c>
    </row>
    <row r="40" spans="1:2" x14ac:dyDescent="0.25">
      <c r="A40" s="4" t="s">
        <v>248</v>
      </c>
      <c r="B40" s="45">
        <f t="shared" si="0"/>
        <v>1223640</v>
      </c>
    </row>
    <row r="41" spans="1:2" x14ac:dyDescent="0.25">
      <c r="A41" s="3" t="s">
        <v>247</v>
      </c>
      <c r="B41" s="28">
        <f t="shared" si="0"/>
        <v>14774433.300000001</v>
      </c>
    </row>
    <row r="42" spans="1:2" x14ac:dyDescent="0.25">
      <c r="A42" s="3" t="s">
        <v>93</v>
      </c>
      <c r="B42" s="43">
        <f t="shared" si="0"/>
        <v>22381395.300000001</v>
      </c>
    </row>
    <row r="43" spans="1:2" x14ac:dyDescent="0.25">
      <c r="A43" s="3" t="s">
        <v>144</v>
      </c>
      <c r="B43" s="43">
        <f t="shared" si="0"/>
        <v>208894722.30000001</v>
      </c>
    </row>
    <row r="44" spans="1:2" x14ac:dyDescent="0.25">
      <c r="A44" s="4"/>
      <c r="B44" s="45"/>
    </row>
    <row r="45" spans="1:2" x14ac:dyDescent="0.25">
      <c r="A45" s="4" t="s">
        <v>249</v>
      </c>
      <c r="B45" s="45"/>
    </row>
    <row r="46" spans="1:2" x14ac:dyDescent="0.25">
      <c r="A46" s="4"/>
      <c r="B46" s="45"/>
    </row>
    <row r="47" spans="1:2" x14ac:dyDescent="0.25">
      <c r="A47" s="3" t="s">
        <v>231</v>
      </c>
      <c r="B47" s="28"/>
    </row>
    <row r="48" spans="1:2" x14ac:dyDescent="0.25">
      <c r="A48" s="4" t="s">
        <v>57</v>
      </c>
      <c r="B48" s="45">
        <f t="shared" ref="B48:B53" si="1">B21*1.0197</f>
        <v>3579147</v>
      </c>
    </row>
    <row r="49" spans="1:2" x14ac:dyDescent="0.25">
      <c r="A49" s="4" t="s">
        <v>250</v>
      </c>
      <c r="B49" s="45">
        <f t="shared" si="1"/>
        <v>1274625</v>
      </c>
    </row>
    <row r="50" spans="1:2" x14ac:dyDescent="0.25">
      <c r="A50" s="4" t="s">
        <v>251</v>
      </c>
      <c r="B50" s="45">
        <f t="shared" si="1"/>
        <v>1556062.2000000002</v>
      </c>
    </row>
    <row r="51" spans="1:2" x14ac:dyDescent="0.25">
      <c r="A51" s="4" t="s">
        <v>252</v>
      </c>
      <c r="B51" s="45">
        <f t="shared" si="1"/>
        <v>6409834.2000000002</v>
      </c>
    </row>
    <row r="52" spans="1:2" x14ac:dyDescent="0.25">
      <c r="A52" s="4" t="s">
        <v>360</v>
      </c>
      <c r="B52" s="53">
        <f t="shared" si="1"/>
        <v>128.196684</v>
      </c>
    </row>
    <row r="53" spans="1:2" x14ac:dyDescent="0.25">
      <c r="A53" s="4" t="s">
        <v>233</v>
      </c>
      <c r="B53" s="53">
        <f t="shared" si="1"/>
        <v>4.9251510000000005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H11" sqref="H11"/>
    </sheetView>
  </sheetViews>
  <sheetFormatPr defaultRowHeight="15" x14ac:dyDescent="0.25"/>
  <cols>
    <col min="1" max="1" width="31.140625" customWidth="1"/>
    <col min="2" max="2" width="11.5703125" bestFit="1" customWidth="1"/>
    <col min="3" max="3" width="11.5703125" customWidth="1"/>
    <col min="4" max="4" width="35.5703125" bestFit="1" customWidth="1"/>
    <col min="5" max="5" width="27" customWidth="1"/>
    <col min="6" max="6" width="25.140625" bestFit="1" customWidth="1"/>
  </cols>
  <sheetData>
    <row r="1" spans="1:8" x14ac:dyDescent="0.25">
      <c r="A1" s="166" t="s">
        <v>257</v>
      </c>
      <c r="B1" s="247" t="s">
        <v>282</v>
      </c>
      <c r="D1" s="166" t="s">
        <v>714</v>
      </c>
      <c r="E1" s="20"/>
      <c r="F1" s="5"/>
    </row>
    <row r="2" spans="1:8" ht="43.15" customHeight="1" x14ac:dyDescent="0.25">
      <c r="A2" s="4" t="s">
        <v>283</v>
      </c>
      <c r="B2" s="15">
        <v>583524</v>
      </c>
      <c r="D2" s="242" t="s">
        <v>271</v>
      </c>
      <c r="E2" s="244" t="s">
        <v>272</v>
      </c>
      <c r="F2" s="5"/>
      <c r="G2" t="s">
        <v>626</v>
      </c>
    </row>
    <row r="3" spans="1:8" x14ac:dyDescent="0.25">
      <c r="A3" s="4" t="s">
        <v>284</v>
      </c>
      <c r="B3" s="15">
        <v>648360</v>
      </c>
      <c r="D3" s="4" t="s">
        <v>443</v>
      </c>
      <c r="E3" s="7">
        <v>10046</v>
      </c>
      <c r="F3" s="5"/>
      <c r="G3" t="s">
        <v>647</v>
      </c>
    </row>
    <row r="4" spans="1:8" x14ac:dyDescent="0.25">
      <c r="A4" s="4" t="s">
        <v>285</v>
      </c>
      <c r="B4" s="15">
        <v>421434</v>
      </c>
      <c r="D4" s="3" t="s">
        <v>451</v>
      </c>
      <c r="E4" s="6"/>
      <c r="F4" s="5"/>
      <c r="G4" s="157" t="s">
        <v>635</v>
      </c>
      <c r="H4" s="157"/>
    </row>
    <row r="5" spans="1:8" x14ac:dyDescent="0.25">
      <c r="A5" s="4" t="s">
        <v>286</v>
      </c>
      <c r="B5" s="15">
        <v>389016</v>
      </c>
      <c r="D5" s="8" t="s">
        <v>273</v>
      </c>
      <c r="E5" s="20"/>
      <c r="F5" s="5"/>
    </row>
    <row r="6" spans="1:8" x14ac:dyDescent="0.25">
      <c r="A6" s="4" t="s">
        <v>262</v>
      </c>
      <c r="B6" s="15">
        <v>1458810</v>
      </c>
      <c r="D6" s="4" t="s">
        <v>274</v>
      </c>
      <c r="E6" s="7" t="s">
        <v>275</v>
      </c>
    </row>
    <row r="7" spans="1:8" x14ac:dyDescent="0.25">
      <c r="A7" s="4" t="s">
        <v>266</v>
      </c>
      <c r="B7" s="15">
        <v>259344</v>
      </c>
      <c r="D7" s="4" t="s">
        <v>269</v>
      </c>
      <c r="E7" s="7" t="s">
        <v>278</v>
      </c>
    </row>
    <row r="8" spans="1:8" x14ac:dyDescent="0.25">
      <c r="A8" s="4" t="s">
        <v>242</v>
      </c>
      <c r="B8" s="15">
        <v>551000</v>
      </c>
      <c r="D8" s="4" t="s">
        <v>245</v>
      </c>
      <c r="E8" s="7" t="s">
        <v>279</v>
      </c>
    </row>
    <row r="9" spans="1:8" x14ac:dyDescent="0.25">
      <c r="A9" s="4" t="s">
        <v>243</v>
      </c>
      <c r="B9" s="225">
        <v>285267.8</v>
      </c>
      <c r="D9" s="4" t="s">
        <v>444</v>
      </c>
      <c r="E9" s="15">
        <v>35</v>
      </c>
    </row>
    <row r="10" spans="1:8" x14ac:dyDescent="0.25">
      <c r="A10" s="4" t="s">
        <v>241</v>
      </c>
      <c r="B10" s="248">
        <f>B2+B6+B7+B8+B9</f>
        <v>3137945.8</v>
      </c>
      <c r="D10" s="4" t="s">
        <v>277</v>
      </c>
      <c r="E10" s="15">
        <v>30000</v>
      </c>
    </row>
    <row r="11" spans="1:8" x14ac:dyDescent="0.25">
      <c r="A11" s="4" t="s">
        <v>245</v>
      </c>
      <c r="B11" s="15">
        <v>235346</v>
      </c>
      <c r="D11" s="4" t="s">
        <v>280</v>
      </c>
      <c r="E11" s="15">
        <v>2520000</v>
      </c>
    </row>
    <row r="12" spans="1:8" x14ac:dyDescent="0.25">
      <c r="A12" s="4" t="s">
        <v>72</v>
      </c>
      <c r="B12" s="15">
        <v>1050</v>
      </c>
      <c r="D12" s="3" t="s">
        <v>281</v>
      </c>
      <c r="E12" s="31">
        <v>0</v>
      </c>
    </row>
    <row r="13" spans="1:8" s="5" customFormat="1" x14ac:dyDescent="0.25">
      <c r="A13" s="4" t="s">
        <v>246</v>
      </c>
      <c r="B13" s="15">
        <v>2520</v>
      </c>
    </row>
    <row r="14" spans="1:8" s="5" customFormat="1" x14ac:dyDescent="0.25">
      <c r="A14" s="4" t="s">
        <v>287</v>
      </c>
      <c r="B14" s="15">
        <f>SUM(B11:B13)</f>
        <v>238916</v>
      </c>
    </row>
    <row r="15" spans="1:8" x14ac:dyDescent="0.25">
      <c r="A15" s="4" t="s">
        <v>269</v>
      </c>
      <c r="B15" s="15">
        <v>337686</v>
      </c>
      <c r="C15" s="45"/>
    </row>
    <row r="16" spans="1:8" x14ac:dyDescent="0.25">
      <c r="A16" s="3" t="s">
        <v>144</v>
      </c>
      <c r="B16" s="245">
        <f>B10+B14+B15</f>
        <v>3714547.8</v>
      </c>
      <c r="C16" s="45"/>
    </row>
    <row r="17" spans="1:3" x14ac:dyDescent="0.25">
      <c r="C17" s="45"/>
    </row>
    <row r="18" spans="1:3" x14ac:dyDescent="0.25">
      <c r="A18" s="118" t="s">
        <v>290</v>
      </c>
      <c r="B18" s="246" t="s">
        <v>79</v>
      </c>
      <c r="C18" s="45"/>
    </row>
    <row r="19" spans="1:3" x14ac:dyDescent="0.25">
      <c r="A19" t="s">
        <v>232</v>
      </c>
      <c r="B19" s="45">
        <v>95</v>
      </c>
      <c r="C19" s="45"/>
    </row>
    <row r="20" spans="1:3" x14ac:dyDescent="0.25">
      <c r="A20" t="s">
        <v>288</v>
      </c>
      <c r="B20" s="45">
        <v>3</v>
      </c>
      <c r="C20" s="45"/>
    </row>
    <row r="21" spans="1:3" x14ac:dyDescent="0.25">
      <c r="C21" s="45"/>
    </row>
    <row r="22" spans="1:3" x14ac:dyDescent="0.25">
      <c r="C22" s="47"/>
    </row>
    <row r="23" spans="1:3" s="164" customFormat="1" ht="15.75" thickBot="1" x14ac:dyDescent="0.3">
      <c r="C23" s="176"/>
    </row>
    <row r="24" spans="1:3" ht="15.75" thickTop="1" x14ac:dyDescent="0.25">
      <c r="A24" s="161" t="s">
        <v>376</v>
      </c>
      <c r="B24" s="5"/>
      <c r="C24" s="45"/>
    </row>
    <row r="25" spans="1:3" x14ac:dyDescent="0.25">
      <c r="C25" s="45"/>
    </row>
    <row r="26" spans="1:3" x14ac:dyDescent="0.25">
      <c r="A26" s="166" t="s">
        <v>257</v>
      </c>
      <c r="B26" s="247" t="s">
        <v>282</v>
      </c>
      <c r="C26" s="45"/>
    </row>
    <row r="27" spans="1:3" x14ac:dyDescent="0.25">
      <c r="A27" s="4" t="s">
        <v>283</v>
      </c>
      <c r="B27" s="15">
        <f t="shared" ref="B27:B41" si="0">B2*1.0197</f>
        <v>595019.42280000006</v>
      </c>
      <c r="C27" s="45"/>
    </row>
    <row r="28" spans="1:3" x14ac:dyDescent="0.25">
      <c r="A28" s="4" t="s">
        <v>284</v>
      </c>
      <c r="B28" s="15">
        <f t="shared" si="0"/>
        <v>661132.69200000004</v>
      </c>
      <c r="C28" s="45"/>
    </row>
    <row r="29" spans="1:3" x14ac:dyDescent="0.25">
      <c r="A29" s="4" t="s">
        <v>285</v>
      </c>
      <c r="B29" s="15">
        <f t="shared" si="0"/>
        <v>429736.24980000005</v>
      </c>
      <c r="C29" s="47"/>
    </row>
    <row r="30" spans="1:3" x14ac:dyDescent="0.25">
      <c r="A30" s="4" t="s">
        <v>286</v>
      </c>
      <c r="B30" s="15">
        <f t="shared" si="0"/>
        <v>396679.6152</v>
      </c>
      <c r="C30" s="45"/>
    </row>
    <row r="31" spans="1:3" x14ac:dyDescent="0.25">
      <c r="A31" s="4" t="s">
        <v>262</v>
      </c>
      <c r="B31" s="15">
        <f t="shared" si="0"/>
        <v>1487548.557</v>
      </c>
    </row>
    <row r="32" spans="1:3" x14ac:dyDescent="0.25">
      <c r="A32" s="4" t="s">
        <v>266</v>
      </c>
      <c r="B32" s="15">
        <f t="shared" si="0"/>
        <v>264453.07680000004</v>
      </c>
      <c r="C32" s="45"/>
    </row>
    <row r="33" spans="1:3" x14ac:dyDescent="0.25">
      <c r="A33" s="4" t="s">
        <v>242</v>
      </c>
      <c r="B33" s="15">
        <f t="shared" si="0"/>
        <v>561854.70000000007</v>
      </c>
      <c r="C33" s="45"/>
    </row>
    <row r="34" spans="1:3" x14ac:dyDescent="0.25">
      <c r="A34" s="4" t="s">
        <v>243</v>
      </c>
      <c r="B34" s="15">
        <f t="shared" si="0"/>
        <v>290887.57566000003</v>
      </c>
    </row>
    <row r="35" spans="1:3" s="5" customFormat="1" x14ac:dyDescent="0.25">
      <c r="A35" s="4" t="s">
        <v>241</v>
      </c>
      <c r="B35" s="15">
        <f t="shared" si="0"/>
        <v>3199763.3322600001</v>
      </c>
    </row>
    <row r="36" spans="1:3" s="5" customFormat="1" x14ac:dyDescent="0.25">
      <c r="A36" s="4" t="s">
        <v>245</v>
      </c>
      <c r="B36" s="15">
        <f t="shared" si="0"/>
        <v>239982.3162</v>
      </c>
    </row>
    <row r="37" spans="1:3" s="5" customFormat="1" x14ac:dyDescent="0.25">
      <c r="A37" s="4" t="s">
        <v>72</v>
      </c>
      <c r="B37" s="15">
        <f t="shared" si="0"/>
        <v>1070.6849999999999</v>
      </c>
    </row>
    <row r="38" spans="1:3" x14ac:dyDescent="0.25">
      <c r="A38" s="4" t="s">
        <v>246</v>
      </c>
      <c r="B38" s="15">
        <f t="shared" si="0"/>
        <v>2569.6440000000002</v>
      </c>
    </row>
    <row r="39" spans="1:3" x14ac:dyDescent="0.25">
      <c r="A39" s="4" t="s">
        <v>287</v>
      </c>
      <c r="B39" s="15">
        <f t="shared" si="0"/>
        <v>243622.6452</v>
      </c>
      <c r="C39" s="45"/>
    </row>
    <row r="40" spans="1:3" x14ac:dyDescent="0.25">
      <c r="A40" s="4" t="s">
        <v>269</v>
      </c>
      <c r="B40" s="15">
        <f t="shared" si="0"/>
        <v>344338.4142</v>
      </c>
      <c r="C40" s="45"/>
    </row>
    <row r="41" spans="1:3" x14ac:dyDescent="0.25">
      <c r="A41" s="3" t="s">
        <v>144</v>
      </c>
      <c r="B41" s="31">
        <f t="shared" si="0"/>
        <v>3787724.3916600002</v>
      </c>
      <c r="C41" s="45"/>
    </row>
    <row r="42" spans="1:3" x14ac:dyDescent="0.25">
      <c r="B42" s="45"/>
      <c r="C42" s="45"/>
    </row>
    <row r="43" spans="1:3" x14ac:dyDescent="0.25">
      <c r="A43" t="s">
        <v>290</v>
      </c>
      <c r="B43" s="45" t="s">
        <v>79</v>
      </c>
      <c r="C43" s="45"/>
    </row>
    <row r="44" spans="1:3" x14ac:dyDescent="0.25">
      <c r="A44" t="s">
        <v>232</v>
      </c>
      <c r="B44" s="45">
        <f>B19*1.0197</f>
        <v>96.871500000000012</v>
      </c>
      <c r="C44" s="45"/>
    </row>
    <row r="45" spans="1:3" x14ac:dyDescent="0.25">
      <c r="A45" t="s">
        <v>288</v>
      </c>
      <c r="B45" s="45">
        <f>B20*1.0197</f>
        <v>3.0590999999999999</v>
      </c>
      <c r="C45" s="45"/>
    </row>
    <row r="46" spans="1:3" x14ac:dyDescent="0.25">
      <c r="C46" s="45"/>
    </row>
    <row r="48" spans="1:3" x14ac:dyDescent="0.25">
      <c r="C48" s="45"/>
    </row>
    <row r="49" spans="3:3" x14ac:dyDescent="0.25">
      <c r="C49" s="45"/>
    </row>
    <row r="50" spans="3:3" x14ac:dyDescent="0.25">
      <c r="C50" s="45"/>
    </row>
    <row r="51" spans="3:3" x14ac:dyDescent="0.25">
      <c r="C51" s="45"/>
    </row>
    <row r="52" spans="3:3" x14ac:dyDescent="0.25">
      <c r="C52" s="45"/>
    </row>
    <row r="53" spans="3:3" x14ac:dyDescent="0.25">
      <c r="C53" s="45"/>
    </row>
    <row r="54" spans="3:3" x14ac:dyDescent="0.25">
      <c r="C54" s="45"/>
    </row>
    <row r="55" spans="3:3" x14ac:dyDescent="0.25">
      <c r="C55" s="45"/>
    </row>
    <row r="56" spans="3:3" x14ac:dyDescent="0.25">
      <c r="C56" s="45"/>
    </row>
    <row r="57" spans="3:3" x14ac:dyDescent="0.25">
      <c r="C57" s="45"/>
    </row>
    <row r="58" spans="3:3" x14ac:dyDescent="0.25">
      <c r="C58" s="45"/>
    </row>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pane xSplit="2" topLeftCell="C1" activePane="topRight" state="frozen"/>
      <selection pane="topRight" activeCell="A18" sqref="A18:XFD18"/>
    </sheetView>
  </sheetViews>
  <sheetFormatPr defaultRowHeight="15" x14ac:dyDescent="0.25"/>
  <cols>
    <col min="1" max="1" width="31" bestFit="1" customWidth="1"/>
    <col min="2" max="2" width="9" bestFit="1" customWidth="1"/>
    <col min="3" max="3" width="9.140625" bestFit="1" customWidth="1"/>
    <col min="4" max="4" width="12.28515625" bestFit="1" customWidth="1"/>
    <col min="5" max="5" width="11.5703125" bestFit="1" customWidth="1"/>
    <col min="6" max="6" width="17.5703125" bestFit="1" customWidth="1"/>
    <col min="7" max="7" width="10.140625" bestFit="1" customWidth="1"/>
    <col min="8" max="8" width="10.5703125" bestFit="1" customWidth="1"/>
    <col min="9" max="9" width="11.5703125" bestFit="1" customWidth="1"/>
    <col min="10" max="10" width="9.140625" bestFit="1" customWidth="1"/>
    <col min="11" max="11" width="15.7109375" bestFit="1" customWidth="1"/>
    <col min="12" max="12" width="11.140625" bestFit="1" customWidth="1"/>
    <col min="13" max="13" width="12.28515625" bestFit="1" customWidth="1"/>
    <col min="14" max="14" width="12.7109375" bestFit="1" customWidth="1"/>
    <col min="15" max="15" width="12.140625" bestFit="1" customWidth="1"/>
    <col min="16" max="16" width="14.7109375" bestFit="1" customWidth="1"/>
    <col min="20" max="20" width="12.140625" bestFit="1" customWidth="1"/>
    <col min="21" max="21" width="11.42578125" bestFit="1" customWidth="1"/>
    <col min="22" max="22" width="17.42578125" bestFit="1" customWidth="1"/>
    <col min="23" max="24" width="12.7109375" bestFit="1" customWidth="1"/>
    <col min="25" max="25" width="13.7109375" bestFit="1" customWidth="1"/>
    <col min="27" max="27" width="18.7109375" customWidth="1"/>
    <col min="28" max="28" width="8.28515625" customWidth="1"/>
    <col min="29" max="29" width="12.28515625" bestFit="1" customWidth="1"/>
    <col min="30" max="30" width="12.5703125" bestFit="1" customWidth="1"/>
    <col min="31" max="31" width="7.7109375" bestFit="1" customWidth="1"/>
    <col min="32" max="32" width="14.5703125" bestFit="1" customWidth="1"/>
  </cols>
  <sheetData>
    <row r="1" spans="1:32" x14ac:dyDescent="0.25">
      <c r="A1" t="s">
        <v>318</v>
      </c>
      <c r="C1" t="s">
        <v>174</v>
      </c>
      <c r="D1" t="s">
        <v>175</v>
      </c>
      <c r="E1" t="s">
        <v>176</v>
      </c>
      <c r="F1" t="s">
        <v>319</v>
      </c>
      <c r="G1" t="s">
        <v>390</v>
      </c>
      <c r="H1" t="s">
        <v>391</v>
      </c>
      <c r="I1" t="s">
        <v>392</v>
      </c>
      <c r="J1" t="s">
        <v>323</v>
      </c>
      <c r="K1" t="s">
        <v>332</v>
      </c>
      <c r="L1" t="s">
        <v>324</v>
      </c>
      <c r="M1" t="s">
        <v>326</v>
      </c>
      <c r="N1" t="s">
        <v>325</v>
      </c>
      <c r="O1" t="s">
        <v>186</v>
      </c>
      <c r="P1" t="s">
        <v>327</v>
      </c>
      <c r="S1" t="s">
        <v>174</v>
      </c>
      <c r="T1" t="s">
        <v>175</v>
      </c>
      <c r="U1" t="s">
        <v>176</v>
      </c>
      <c r="V1" t="s">
        <v>319</v>
      </c>
      <c r="W1" t="s">
        <v>320</v>
      </c>
      <c r="X1" t="s">
        <v>321</v>
      </c>
      <c r="Y1" t="s">
        <v>322</v>
      </c>
      <c r="Z1" t="s">
        <v>323</v>
      </c>
      <c r="AA1" t="s">
        <v>332</v>
      </c>
      <c r="AB1" t="s">
        <v>324</v>
      </c>
      <c r="AC1" t="s">
        <v>326</v>
      </c>
      <c r="AD1" t="s">
        <v>325</v>
      </c>
      <c r="AE1" t="s">
        <v>186</v>
      </c>
      <c r="AF1" t="s">
        <v>327</v>
      </c>
    </row>
    <row r="2" spans="1:32" x14ac:dyDescent="0.25">
      <c r="A2" s="2" t="s">
        <v>384</v>
      </c>
      <c r="B2" s="2"/>
      <c r="C2" s="2">
        <v>727</v>
      </c>
      <c r="D2" s="2">
        <v>233</v>
      </c>
      <c r="E2" s="2">
        <v>22.4</v>
      </c>
      <c r="F2" s="2">
        <v>500</v>
      </c>
      <c r="G2" s="2">
        <v>60</v>
      </c>
      <c r="H2" s="2">
        <v>100</v>
      </c>
      <c r="I2" s="2">
        <v>100</v>
      </c>
      <c r="J2" s="2" t="s">
        <v>385</v>
      </c>
      <c r="K2" s="2" t="s">
        <v>387</v>
      </c>
      <c r="L2" s="2">
        <v>100</v>
      </c>
      <c r="M2" s="2">
        <v>2.6</v>
      </c>
      <c r="N2" s="2">
        <v>6.1</v>
      </c>
      <c r="O2" s="2">
        <v>50</v>
      </c>
      <c r="P2" s="2">
        <v>600</v>
      </c>
      <c r="S2" s="2">
        <v>727</v>
      </c>
      <c r="T2" s="2">
        <v>233</v>
      </c>
      <c r="U2" s="2">
        <v>22.4</v>
      </c>
      <c r="V2" s="2">
        <v>500</v>
      </c>
      <c r="W2" s="2">
        <v>60</v>
      </c>
      <c r="X2" s="2">
        <v>100</v>
      </c>
      <c r="Y2" s="2">
        <v>100</v>
      </c>
      <c r="Z2" s="2" t="s">
        <v>385</v>
      </c>
      <c r="AA2" s="2" t="s">
        <v>387</v>
      </c>
      <c r="AB2" s="2">
        <v>100</v>
      </c>
      <c r="AC2" s="2">
        <v>2.6</v>
      </c>
      <c r="AD2" s="2">
        <v>6.1</v>
      </c>
      <c r="AE2" s="2">
        <v>50</v>
      </c>
      <c r="AF2" s="2">
        <v>600</v>
      </c>
    </row>
    <row r="3" spans="1:32" x14ac:dyDescent="0.25">
      <c r="A3" s="2" t="s">
        <v>310</v>
      </c>
      <c r="B3" s="2" t="s">
        <v>379</v>
      </c>
      <c r="C3" s="2" t="s">
        <v>63</v>
      </c>
      <c r="D3" s="2" t="s">
        <v>63</v>
      </c>
      <c r="E3" s="2" t="s">
        <v>63</v>
      </c>
      <c r="F3" s="2" t="s">
        <v>63</v>
      </c>
      <c r="G3" s="2" t="s">
        <v>63</v>
      </c>
      <c r="H3" s="2" t="s">
        <v>63</v>
      </c>
      <c r="I3" s="2" t="s">
        <v>63</v>
      </c>
      <c r="J3" s="2" t="s">
        <v>63</v>
      </c>
      <c r="K3" s="2" t="s">
        <v>63</v>
      </c>
      <c r="L3" s="2" t="s">
        <v>63</v>
      </c>
      <c r="M3" s="2" t="s">
        <v>63</v>
      </c>
      <c r="N3" s="2" t="s">
        <v>63</v>
      </c>
      <c r="O3" s="2" t="s">
        <v>63</v>
      </c>
      <c r="P3" s="2" t="s">
        <v>63</v>
      </c>
      <c r="S3" s="2" t="s">
        <v>63</v>
      </c>
      <c r="T3" s="2" t="s">
        <v>63</v>
      </c>
      <c r="U3" s="2" t="s">
        <v>63</v>
      </c>
      <c r="V3" s="2" t="s">
        <v>63</v>
      </c>
      <c r="W3" s="2" t="s">
        <v>63</v>
      </c>
      <c r="X3" s="2" t="s">
        <v>63</v>
      </c>
      <c r="Y3" s="2" t="s">
        <v>63</v>
      </c>
      <c r="Z3" s="2" t="s">
        <v>63</v>
      </c>
      <c r="AA3" s="2" t="s">
        <v>63</v>
      </c>
      <c r="AB3" s="2" t="s">
        <v>63</v>
      </c>
      <c r="AC3" s="2" t="s">
        <v>63</v>
      </c>
      <c r="AD3" s="2" t="s">
        <v>63</v>
      </c>
      <c r="AE3" s="2" t="s">
        <v>63</v>
      </c>
      <c r="AF3" s="2" t="s">
        <v>63</v>
      </c>
    </row>
    <row r="4" spans="1:32" x14ac:dyDescent="0.25">
      <c r="A4" s="2" t="s">
        <v>311</v>
      </c>
    </row>
    <row r="5" spans="1:32" x14ac:dyDescent="0.25">
      <c r="A5" s="125" t="s">
        <v>329</v>
      </c>
      <c r="C5" s="99">
        <f>(CCCT!M56+CCCT!N56)/C2</f>
        <v>436.81121466024751</v>
      </c>
      <c r="D5" s="99">
        <f>('frame peaker'!B35+'frame peaker'!B36-'frame peaker'!B34)/D2</f>
        <v>324.72849785407726</v>
      </c>
      <c r="E5" s="99">
        <f>('Recip Peaker'!B32+'Recip Peaker'!B33+'Recip Peaker'!B36)/E2</f>
        <v>1160.9557633928573</v>
      </c>
      <c r="F5" s="99">
        <f>(1000*('Pumped Storage Hydro'!C24-'Pumped Storage Hydro'!C23))/F2</f>
        <v>1144</v>
      </c>
      <c r="G5" s="99">
        <f>(Batteries!D32+Batteries!D33)/1000/G2</f>
        <v>464.98319999999995</v>
      </c>
      <c r="H5" s="99">
        <f>(Batteries!C54+Batteries!C56+Batteries!C57)/H2</f>
        <v>1026.84375</v>
      </c>
      <c r="I5" s="99">
        <f>(Batteries!D54+Batteries!D56+Batteries!D57)/I2</f>
        <v>2096.1489500000002</v>
      </c>
      <c r="J5" s="99">
        <f>('Solar +'!F33+'Solar +'!F34+'Solar +'!F35+'Solar +'!F36)/100</f>
        <v>1027.7877761533332</v>
      </c>
      <c r="K5" s="99">
        <f>('Solar +'!Q32+'Solar +'!Q33+'Solar +'!Q34+'Solar +'!Q35)/7</f>
        <v>1444.3572142857142</v>
      </c>
      <c r="L5" s="99">
        <f>('Solar +'!I32+'Solar +'!I33)/1000/L2</f>
        <v>504.62</v>
      </c>
      <c r="M5" s="99">
        <f>'Onshore wind'!C32/1000/M2</f>
        <v>1010.5227000000001</v>
      </c>
      <c r="N5" s="99">
        <f>'Offshore wind'!H45/N2</f>
        <v>1326.6297000000002</v>
      </c>
      <c r="O5" s="99">
        <f>(Biomass!B31+Biomass!B32+Biomass!B33)/1000/O2</f>
        <v>2808.0906479999999</v>
      </c>
      <c r="P5" s="99">
        <f>'Small Modular Nuclear'!B27/P2</f>
        <v>991.69903800000009</v>
      </c>
      <c r="S5" s="111">
        <f t="shared" ref="S5:AF6" si="0">C5/C$17</f>
        <v>0.40297325673062623</v>
      </c>
      <c r="T5" s="111">
        <f t="shared" si="0"/>
        <v>0.44755413474877859</v>
      </c>
      <c r="U5" s="111">
        <f t="shared" si="0"/>
        <v>0.65853280656906044</v>
      </c>
      <c r="V5" s="111">
        <f t="shared" si="0"/>
        <v>0.44617784711388453</v>
      </c>
      <c r="W5" s="111">
        <f t="shared" si="0"/>
        <v>0.56136288218221342</v>
      </c>
      <c r="X5" s="111">
        <f t="shared" si="0"/>
        <v>0.65698930068302031</v>
      </c>
      <c r="Y5" s="111">
        <f t="shared" si="0"/>
        <v>0.52260146184129208</v>
      </c>
      <c r="Z5" s="111">
        <f t="shared" si="0"/>
        <v>0.53316251398723746</v>
      </c>
      <c r="AA5" s="111">
        <f t="shared" si="0"/>
        <v>0.32745909648078736</v>
      </c>
      <c r="AB5" s="111">
        <f t="shared" si="0"/>
        <v>0.45544554455445546</v>
      </c>
      <c r="AC5" s="111">
        <f t="shared" si="0"/>
        <v>0.6901114206128135</v>
      </c>
      <c r="AD5" s="111">
        <f t="shared" si="0"/>
        <v>0.31910718665685561</v>
      </c>
      <c r="AE5" s="111">
        <f t="shared" si="0"/>
        <v>0.67213058737961229</v>
      </c>
      <c r="AF5" s="111">
        <f t="shared" si="0"/>
        <v>0.15709153076452537</v>
      </c>
    </row>
    <row r="6" spans="1:32" x14ac:dyDescent="0.25">
      <c r="A6" s="125" t="s">
        <v>331</v>
      </c>
      <c r="C6" s="99">
        <f>CCCT!M57/C2</f>
        <v>93.880987209078398</v>
      </c>
      <c r="D6" s="99">
        <f>'frame peaker'!B34/D2</f>
        <v>75.273991416309016</v>
      </c>
      <c r="E6" s="99">
        <f>'Recip Peaker'!B34/E2</f>
        <v>251.3287366071429</v>
      </c>
      <c r="F6" s="99">
        <f>1000*'Pumped Storage Hydro'!C23/F2</f>
        <v>908</v>
      </c>
      <c r="G6" s="99">
        <f>(Batteries!D34+Batteries!D35)/1000/G2</f>
        <v>134.952213495</v>
      </c>
      <c r="H6" s="99">
        <f>Batteries!C55/H2</f>
        <v>205.86099999999999</v>
      </c>
      <c r="I6" s="99">
        <f>Batteries!D55/I2</f>
        <v>459.80250000000001</v>
      </c>
      <c r="J6" s="99">
        <f>('Solar +'!F37+'Solar +'!F38)/100</f>
        <v>314.8986256066666</v>
      </c>
      <c r="K6" s="99">
        <f>'Solar +'!Q36+'Solar +'!Q37/7</f>
        <v>1101.7797857142857</v>
      </c>
      <c r="L6" s="99">
        <f>'Solar +'!I36/1000/L2</f>
        <v>208.43</v>
      </c>
      <c r="M6" s="99">
        <f>'Onshore wind'!C40/1000/M2</f>
        <v>332.42220000000003</v>
      </c>
      <c r="N6" s="99">
        <f>'Offshore wind'!H54/N2</f>
        <v>2172.9807000000001</v>
      </c>
      <c r="O6" s="99">
        <f>(Biomass!B33+Biomass!B31)/1000/O2</f>
        <v>996.73635600000011</v>
      </c>
      <c r="P6" s="99">
        <f>'Small Modular Nuclear'!B30/P2</f>
        <v>661.13269200000002</v>
      </c>
      <c r="S6" s="111">
        <f t="shared" si="0"/>
        <v>8.6608415468806155E-2</v>
      </c>
      <c r="T6" s="111">
        <f t="shared" si="0"/>
        <v>0.10374570239459557</v>
      </c>
      <c r="U6" s="111">
        <f t="shared" si="0"/>
        <v>0.14256203682185556</v>
      </c>
      <c r="V6" s="111">
        <f t="shared" si="0"/>
        <v>0.35413416536661468</v>
      </c>
      <c r="W6" s="111">
        <f t="shared" si="0"/>
        <v>0.16292451754046727</v>
      </c>
      <c r="X6" s="111">
        <f t="shared" si="0"/>
        <v>0.13171280871886035</v>
      </c>
      <c r="Y6" s="111">
        <f t="shared" si="0"/>
        <v>0.11463567923371128</v>
      </c>
      <c r="Z6" s="111">
        <f t="shared" si="0"/>
        <v>0.16335292827468773</v>
      </c>
      <c r="AA6" s="111">
        <f t="shared" si="0"/>
        <v>0.24979126325700382</v>
      </c>
      <c r="AB6" s="111">
        <f t="shared" si="0"/>
        <v>0.18811881188118812</v>
      </c>
      <c r="AC6" s="111">
        <f t="shared" si="0"/>
        <v>0.22701949860724238</v>
      </c>
      <c r="AD6" s="111">
        <f t="shared" si="0"/>
        <v>0.52268825116507245</v>
      </c>
      <c r="AE6" s="111">
        <f t="shared" si="0"/>
        <v>0.2385738483542339</v>
      </c>
      <c r="AF6" s="111">
        <f t="shared" si="0"/>
        <v>0.10472768717635024</v>
      </c>
    </row>
    <row r="7" spans="1:32" x14ac:dyDescent="0.25">
      <c r="A7" s="125" t="s">
        <v>312</v>
      </c>
      <c r="C7" s="99">
        <f>CCCT!Q56/C2</f>
        <v>116.87625841815678</v>
      </c>
      <c r="D7" s="99">
        <f>'frame peaker'!B39/D2</f>
        <v>590.68201287553654</v>
      </c>
      <c r="E7" s="99">
        <f>'Recip Peaker'!B39/E2</f>
        <v>1508.0179419642859</v>
      </c>
      <c r="F7" s="99">
        <f>1000*('Pumped Storage Hydro'!C25+'Pumped Storage Hydro'!C27)/F2</f>
        <v>102.47199999999999</v>
      </c>
      <c r="G7" s="99">
        <f>Batteries!D39/1000/G2</f>
        <v>728.51338032000001</v>
      </c>
      <c r="H7" s="99">
        <f>Batteries!C59/H2</f>
        <v>212.28840000000002</v>
      </c>
      <c r="I7" s="99">
        <f>Batteries!D59/I2</f>
        <v>455.09050000000002</v>
      </c>
      <c r="J7" s="99">
        <f>'Solar +'!F42/100</f>
        <v>1675.2476839141</v>
      </c>
      <c r="K7" s="100"/>
      <c r="L7" s="99">
        <f>'Solar +'!I40/1000/L2</f>
        <v>943.42</v>
      </c>
      <c r="M7" s="100"/>
      <c r="N7" s="99" t="e">
        <f>('Offshore wind'!N57/'Offshore wind'!J62)/N2</f>
        <v>#DIV/0!</v>
      </c>
      <c r="O7" s="99">
        <f>Biomass!B36/1000/O2</f>
        <v>3434.7778740000003</v>
      </c>
      <c r="P7" s="99">
        <f>'Small Modular Nuclear'!B35/P2</f>
        <v>5332.9388871000001</v>
      </c>
      <c r="S7" s="111">
        <f t="shared" ref="S7:Z7" si="1">C7/C$17</f>
        <v>0.1078223381372839</v>
      </c>
      <c r="T7" s="111">
        <f t="shared" si="1"/>
        <v>0.81410217745340496</v>
      </c>
      <c r="U7" s="111">
        <f t="shared" si="1"/>
        <v>0.85539804270922104</v>
      </c>
      <c r="V7" s="111">
        <f t="shared" si="1"/>
        <v>3.9965678627145083E-2</v>
      </c>
      <c r="W7" s="111">
        <f t="shared" si="1"/>
        <v>0.87951644464733825</v>
      </c>
      <c r="X7" s="111">
        <f t="shared" si="1"/>
        <v>0.13582515106034126</v>
      </c>
      <c r="Y7" s="111">
        <f t="shared" si="1"/>
        <v>0.11346090675955281</v>
      </c>
      <c r="Z7" s="111">
        <f t="shared" si="1"/>
        <v>0.86903083246408186</v>
      </c>
      <c r="AA7" s="100"/>
      <c r="AB7" s="111">
        <f>L7/L$17</f>
        <v>0.85148514851485146</v>
      </c>
      <c r="AC7" s="100"/>
      <c r="AD7" s="111" t="e">
        <f>N7/N$17</f>
        <v>#DIV/0!</v>
      </c>
      <c r="AE7" s="111">
        <f>O7/O$17</f>
        <v>0.82213131959054764</v>
      </c>
      <c r="AF7" s="111">
        <f>P7/P$17</f>
        <v>0.84477195312979947</v>
      </c>
    </row>
    <row r="8" spans="1:32" x14ac:dyDescent="0.25">
      <c r="A8" s="125" t="s">
        <v>313</v>
      </c>
      <c r="C8" s="99">
        <f>CCCT!T64/C2</f>
        <v>21.949966431911964</v>
      </c>
      <c r="D8" s="100"/>
      <c r="E8" s="100"/>
      <c r="F8" s="103"/>
      <c r="G8" s="103"/>
      <c r="H8" s="103"/>
      <c r="I8" s="100"/>
      <c r="J8" s="103"/>
      <c r="K8" s="100"/>
      <c r="L8" s="103"/>
      <c r="M8" s="99">
        <f>'Onshore wind'!C42/1000/M2</f>
        <v>34.669800000000002</v>
      </c>
      <c r="N8" s="99">
        <f>'Offshore wind'!H58/N2</f>
        <v>186.60510000000002</v>
      </c>
      <c r="O8" s="100"/>
      <c r="P8" s="100"/>
      <c r="S8" s="111">
        <f>C8/C$17</f>
        <v>2.0249593328493951E-2</v>
      </c>
      <c r="T8" s="100"/>
      <c r="U8" s="100"/>
      <c r="V8" s="103"/>
      <c r="W8" s="103"/>
      <c r="X8" s="103"/>
      <c r="Y8" s="100"/>
      <c r="Z8" s="103"/>
      <c r="AA8" s="100"/>
      <c r="AB8" s="103"/>
      <c r="AC8" s="111">
        <f>M8/M$17</f>
        <v>2.3676880222841229E-2</v>
      </c>
      <c r="AD8" s="111">
        <f>N8/N$17</f>
        <v>4.4885945548197213E-2</v>
      </c>
      <c r="AE8" s="100"/>
      <c r="AF8" s="100"/>
    </row>
    <row r="9" spans="1:32" x14ac:dyDescent="0.25">
      <c r="A9" s="125" t="s">
        <v>72</v>
      </c>
      <c r="C9" s="99">
        <f>CCCT!T62/C2</f>
        <v>0.43016657496561206</v>
      </c>
      <c r="D9" s="99">
        <f>'frame peaker'!B41/D2</f>
        <v>2.6258369098712446</v>
      </c>
      <c r="E9" s="99">
        <f>'Recip Peaker'!B41/E2</f>
        <v>13.656696428571431</v>
      </c>
      <c r="F9" s="100"/>
      <c r="G9" s="104">
        <f>Batteries!D17/1000/G2</f>
        <v>4.9214833333333328</v>
      </c>
      <c r="H9" s="99">
        <f>Batteries!C41/1000/H2</f>
        <v>3.0110619330000001</v>
      </c>
      <c r="I9" s="100"/>
      <c r="J9" s="100"/>
      <c r="K9" s="101"/>
      <c r="L9" s="100"/>
      <c r="M9" s="99">
        <f>'Onshore wind'!C37/1000/M2</f>
        <v>44.866800000000005</v>
      </c>
      <c r="N9" s="101"/>
      <c r="O9" s="99">
        <f>Biomass!B39/1000/O2</f>
        <v>30.590999999999998</v>
      </c>
      <c r="P9" s="99">
        <f>'Small Modular Nuclear'!B37/P2</f>
        <v>1.7844749999999998</v>
      </c>
      <c r="S9" s="111">
        <f>C9/C$17</f>
        <v>3.968433497875742E-4</v>
      </c>
      <c r="T9" s="111">
        <f>D9/D$17</f>
        <v>3.6190361300440315E-3</v>
      </c>
      <c r="U9" s="111">
        <f>'Recip Peaker'!T64/U2</f>
        <v>0</v>
      </c>
      <c r="V9" s="112"/>
      <c r="W9" s="113">
        <f t="shared" ref="W9:X11" si="2">G9/G$17</f>
        <v>5.9415868543459781E-3</v>
      </c>
      <c r="X9" s="111">
        <f t="shared" si="2"/>
        <v>1.9265204405976405E-3</v>
      </c>
      <c r="Y9" s="112"/>
      <c r="Z9" s="112"/>
      <c r="AA9" s="114"/>
      <c r="AB9" s="112"/>
      <c r="AC9" s="111">
        <f>M9/M$17</f>
        <v>3.0640668523676886E-2</v>
      </c>
      <c r="AD9" s="114"/>
      <c r="AE9" s="111">
        <f>O9/O$17</f>
        <v>7.3221093532624872E-3</v>
      </c>
      <c r="AF9" s="111">
        <f>P9/P$17</f>
        <v>2.8267236189557176E-4</v>
      </c>
    </row>
    <row r="10" spans="1:32" x14ac:dyDescent="0.25">
      <c r="A10" s="125" t="s">
        <v>57</v>
      </c>
      <c r="C10" s="99">
        <f>CCCT!O56/C2</f>
        <v>147.57724687345254</v>
      </c>
      <c r="D10" s="100"/>
      <c r="E10" s="100"/>
      <c r="F10" s="100"/>
      <c r="G10" s="99">
        <f>Batteries!D36/1000/G2</f>
        <v>62.985152505000002</v>
      </c>
      <c r="H10" s="98">
        <f>Batteries!C36/1000/H2</f>
        <v>47.868266556000002</v>
      </c>
      <c r="I10" s="100"/>
      <c r="J10" s="99">
        <f>'Solar +'!F39/100</f>
        <v>163.49808885743332</v>
      </c>
      <c r="K10" s="99">
        <f>'Solar +'!Q40/7</f>
        <v>342.8125</v>
      </c>
      <c r="L10" s="99">
        <f>'Solar +'!I37/1000/L2</f>
        <v>120.67</v>
      </c>
      <c r="M10" s="102"/>
      <c r="N10" s="100"/>
      <c r="O10" s="100"/>
      <c r="P10" s="100"/>
      <c r="S10" s="111">
        <f>C10/C$17</f>
        <v>0.13614504801162308</v>
      </c>
      <c r="T10" s="112"/>
      <c r="U10" s="112"/>
      <c r="V10" s="112"/>
      <c r="W10" s="111">
        <f t="shared" si="2"/>
        <v>7.6040439191981696E-2</v>
      </c>
      <c r="X10" s="111">
        <f t="shared" si="2"/>
        <v>3.0626800785937346E-2</v>
      </c>
      <c r="Y10" s="112"/>
      <c r="Z10" s="111">
        <f>J10/J$17</f>
        <v>8.4814252620896174E-2</v>
      </c>
      <c r="AA10" s="111">
        <f>K10/K$17</f>
        <v>7.7721127711357058E-2</v>
      </c>
      <c r="AB10" s="111">
        <f>L10/L$17</f>
        <v>0.10891089108910891</v>
      </c>
      <c r="AC10" s="113"/>
      <c r="AD10" s="112"/>
      <c r="AE10" s="112"/>
      <c r="AF10" s="112"/>
    </row>
    <row r="11" spans="1:32" x14ac:dyDescent="0.25">
      <c r="A11" s="125" t="s">
        <v>328</v>
      </c>
      <c r="C11" s="99">
        <f>CCCT!T23/C2</f>
        <v>116.98211829436039</v>
      </c>
      <c r="D11" s="99">
        <f>('frame peaker'!B40+'frame peaker'!B37)/D2</f>
        <v>49.663328755364816</v>
      </c>
      <c r="E11" s="99">
        <f>('Recip Peaker'!B37+'Recip Peaker'!B40)/E2</f>
        <v>80.392419642857149</v>
      </c>
      <c r="F11" s="98">
        <f>'Pumped Storage Hydro'!C26*1000/F2</f>
        <v>8.9599999999999992E-3</v>
      </c>
      <c r="G11" s="99">
        <f>Batteries!D44/1000/G2</f>
        <v>16.344227459999999</v>
      </c>
      <c r="H11" s="99">
        <f>Batteries!C44/1000/H2</f>
        <v>16.347391929</v>
      </c>
      <c r="I11" s="103"/>
      <c r="J11" s="99">
        <f>'Solar +'!F48/100</f>
        <v>46.777732813333344</v>
      </c>
      <c r="K11" s="100"/>
      <c r="L11" s="98">
        <f>'Solar +'!I45/1000/L2</f>
        <v>21.94</v>
      </c>
      <c r="M11" s="100"/>
      <c r="N11" s="99">
        <f>('Offshore wind'!H56+'Offshore wind'!H57+'Offshore wind'!H60)/N2</f>
        <v>148.87620000000001</v>
      </c>
      <c r="O11" s="99">
        <f>Biomass!B38/1000/O2</f>
        <v>240.42486600000001</v>
      </c>
      <c r="P11" s="99">
        <f>'Small Modular Nuclear'!B36/P2</f>
        <v>399.970527</v>
      </c>
      <c r="S11" s="111">
        <f>C11/C$17</f>
        <v>0.1079199974867675</v>
      </c>
      <c r="T11" s="111">
        <f>D11/D$17</f>
        <v>6.8448036672899462E-2</v>
      </c>
      <c r="U11" s="111">
        <f>E11/E$17</f>
        <v>4.5601260102770678E-2</v>
      </c>
      <c r="V11" s="111">
        <f>F11/F$17</f>
        <v>3.4945397815912633E-6</v>
      </c>
      <c r="W11" s="111">
        <f t="shared" si="2"/>
        <v>1.973198737930161E-2</v>
      </c>
      <c r="X11" s="111">
        <f t="shared" si="2"/>
        <v>1.0459294894111165E-2</v>
      </c>
      <c r="Y11" s="112"/>
      <c r="Z11" s="111">
        <f>J11/J$17</f>
        <v>2.4265839898118556E-2</v>
      </c>
      <c r="AA11" s="112"/>
      <c r="AB11" s="111">
        <f>L11/L$17</f>
        <v>1.9801980198019802E-2</v>
      </c>
      <c r="AC11" s="112"/>
      <c r="AD11" s="111">
        <f>N11/N$17</f>
        <v>3.5810645082168267E-2</v>
      </c>
      <c r="AE11" s="111">
        <f>O11/O$17</f>
        <v>5.7546898110407647E-2</v>
      </c>
      <c r="AF11" s="111">
        <f>P11/P$17</f>
        <v>6.3357913983500228E-2</v>
      </c>
    </row>
    <row r="12" spans="1:32" x14ac:dyDescent="0.25">
      <c r="A12" t="s">
        <v>93</v>
      </c>
      <c r="C12" s="99">
        <f>CCCT!S16/C2</f>
        <v>107.16231086657497</v>
      </c>
      <c r="D12" s="99">
        <f>'frame peaker'!B45/D2</f>
        <v>65.961023175965664</v>
      </c>
      <c r="E12" s="99">
        <f>'Recip Peaker'!B46/E2</f>
        <v>130.60354017857142</v>
      </c>
      <c r="F12" s="99">
        <f>'Pumped Storage Hydro'!C29*1000/F2</f>
        <v>308</v>
      </c>
      <c r="G12" s="99">
        <f>Batteries!D19/1000/G2</f>
        <v>22.654399999999999</v>
      </c>
      <c r="H12" s="99">
        <f>Batteries!C43/1000/H2</f>
        <v>23.105157966</v>
      </c>
      <c r="I12" s="100"/>
      <c r="J12" s="99">
        <f>'Solar +'!F47/100</f>
        <v>52.104377206666669</v>
      </c>
      <c r="K12" s="100"/>
      <c r="L12" s="99">
        <f>'Solar +'!I46/1000/L2</f>
        <v>32.909999999999997</v>
      </c>
      <c r="M12" s="99">
        <f>'Onshore wind'!C43/1000/M2</f>
        <v>87.694200000000009</v>
      </c>
      <c r="N12" s="99">
        <f>'Offshore wind'!H59/N2</f>
        <v>322.22520000000003</v>
      </c>
      <c r="O12" s="99">
        <f>Biomass!B42/1000/O2</f>
        <v>447.627906</v>
      </c>
      <c r="P12" s="99">
        <f>'Small Modular Nuclear'!B40/P2</f>
        <v>573.89735699999994</v>
      </c>
      <c r="S12" s="111">
        <f>C12/C$17</f>
        <v>9.8860889920767539E-2</v>
      </c>
      <c r="T12" s="111">
        <f t="shared" ref="T12:X12" si="3">D12/D$17</f>
        <v>9.0910187586706076E-2</v>
      </c>
      <c r="U12" s="111">
        <f t="shared" si="3"/>
        <v>7.4082681333436609E-2</v>
      </c>
      <c r="V12" s="111">
        <f t="shared" si="3"/>
        <v>0.12012480499219969</v>
      </c>
      <c r="W12" s="111">
        <f t="shared" si="3"/>
        <v>2.7350104859936306E-2</v>
      </c>
      <c r="X12" s="111">
        <f t="shared" si="3"/>
        <v>1.4783010145655614E-2</v>
      </c>
      <c r="Y12" s="112"/>
      <c r="Z12" s="111">
        <f>J12/J$17</f>
        <v>2.7029024265318047E-2</v>
      </c>
      <c r="AA12" s="112"/>
      <c r="AB12" s="111">
        <f>L12/L$17</f>
        <v>2.9702970297029698E-2</v>
      </c>
      <c r="AC12" s="111">
        <f t="shared" ref="AC12" si="4">M12/M$17</f>
        <v>5.9888579387186641E-2</v>
      </c>
      <c r="AD12" s="111">
        <f t="shared" ref="AD12" si="5">N12/N$17</f>
        <v>7.7507971547706653E-2</v>
      </c>
      <c r="AE12" s="111">
        <f t="shared" ref="AE12" si="6">O12/O$17</f>
        <v>0.10714198546317222</v>
      </c>
      <c r="AF12" s="111">
        <f t="shared" ref="AF12" si="7">P12/P$17</f>
        <v>9.0909046856255268E-2</v>
      </c>
    </row>
    <row r="13" spans="1:32" x14ac:dyDescent="0.25">
      <c r="A13" t="s">
        <v>263</v>
      </c>
      <c r="C13" s="53"/>
      <c r="D13" s="53"/>
      <c r="E13" s="53"/>
      <c r="F13" s="53"/>
      <c r="G13" s="53"/>
      <c r="H13" s="53"/>
      <c r="I13" s="53"/>
      <c r="J13" s="53"/>
      <c r="K13" s="53"/>
      <c r="L13" s="53"/>
      <c r="M13" s="53"/>
      <c r="N13" s="53"/>
      <c r="O13" s="53"/>
      <c r="P13" s="53"/>
      <c r="S13" s="53"/>
      <c r="T13" s="71"/>
      <c r="U13" s="71"/>
      <c r="V13" s="71"/>
      <c r="W13" s="71"/>
      <c r="X13" s="71"/>
      <c r="Y13" s="71"/>
      <c r="Z13" s="71"/>
      <c r="AA13" s="71"/>
      <c r="AB13" s="71"/>
      <c r="AC13" s="71"/>
      <c r="AD13" s="71"/>
      <c r="AE13" s="71"/>
      <c r="AF13" s="71"/>
    </row>
    <row r="14" spans="1:32" x14ac:dyDescent="0.25">
      <c r="A14" s="125" t="s">
        <v>315</v>
      </c>
      <c r="C14" s="100"/>
      <c r="D14" s="100"/>
      <c r="E14" s="100"/>
      <c r="F14" s="100"/>
      <c r="G14" s="53"/>
      <c r="H14" s="53"/>
      <c r="I14" s="53"/>
      <c r="J14" s="53"/>
      <c r="K14" s="101"/>
      <c r="L14" s="53"/>
      <c r="M14" s="102"/>
      <c r="N14" s="100"/>
      <c r="O14" s="100"/>
      <c r="P14" s="100"/>
      <c r="S14" s="100"/>
      <c r="T14" s="112"/>
      <c r="U14" s="112"/>
      <c r="V14" s="112"/>
      <c r="W14" s="71"/>
      <c r="X14" s="71"/>
      <c r="Y14" s="71"/>
      <c r="Z14" s="71"/>
      <c r="AA14" s="114"/>
      <c r="AB14" s="71"/>
      <c r="AC14" s="113"/>
      <c r="AD14" s="112"/>
      <c r="AE14" s="112"/>
      <c r="AF14" s="112"/>
    </row>
    <row r="15" spans="1:32" x14ac:dyDescent="0.25">
      <c r="A15" s="125" t="s">
        <v>316</v>
      </c>
      <c r="C15" s="100"/>
      <c r="D15" s="99">
        <f>'frame peaker'!B42/D2</f>
        <v>5.2516738197424893</v>
      </c>
      <c r="E15" s="99">
        <f>'Recip Peaker'!B43/E2</f>
        <v>32.776071428571434</v>
      </c>
      <c r="F15" s="100"/>
      <c r="G15" s="99">
        <f>Batteries!D18/1000/G2</f>
        <v>30.824583333333333</v>
      </c>
      <c r="H15" s="99">
        <f>Batteries!C61/H2</f>
        <v>21.167000000000002</v>
      </c>
      <c r="I15" s="99">
        <f>Batteries!D61/I2</f>
        <v>21.167000000000002</v>
      </c>
      <c r="J15" s="99">
        <f>'Solar +'!F45/100</f>
        <v>40.728830933333334</v>
      </c>
      <c r="K15" s="102"/>
      <c r="L15" s="99">
        <f>'Solar +'!I44/1000/L2</f>
        <v>21.94</v>
      </c>
      <c r="M15" s="100"/>
      <c r="N15" s="99" t="e">
        <f>('Offshore wind'!N54/'Offshore wind'!J62)/N2</f>
        <v>#DIV/0!</v>
      </c>
      <c r="O15" s="99">
        <f>Biomass!B40/1000/O2</f>
        <v>24.472800000000003</v>
      </c>
      <c r="P15" s="99">
        <f>'Small Modular Nuclear'!B38/P2</f>
        <v>4.2827400000000004</v>
      </c>
      <c r="S15" s="100"/>
      <c r="T15" s="111">
        <f t="shared" ref="T15:U15" si="8">D15/D$17</f>
        <v>7.238072260088063E-3</v>
      </c>
      <c r="U15" s="111">
        <f t="shared" si="8"/>
        <v>1.8591680223100163E-2</v>
      </c>
      <c r="V15" s="112"/>
      <c r="W15" s="111">
        <f t="shared" ref="W15" si="9">G15/G$17</f>
        <v>3.72137680287499E-2</v>
      </c>
      <c r="X15" s="111">
        <f t="shared" ref="X15" si="10">H15/H$17</f>
        <v>1.3542948990591308E-2</v>
      </c>
      <c r="Y15" s="111">
        <f t="shared" ref="Y15" si="11">I15/I$17</f>
        <v>5.2772514771885033E-3</v>
      </c>
      <c r="Z15" s="111">
        <f t="shared" ref="Z15" si="12">J15/J$17</f>
        <v>2.1127986142673819E-2</v>
      </c>
      <c r="AA15" s="113"/>
      <c r="AB15" s="111">
        <f t="shared" ref="AB15" si="13">L15/L$17</f>
        <v>1.9801980198019802E-2</v>
      </c>
      <c r="AC15" s="112"/>
      <c r="AD15" s="111" t="e">
        <f t="shared" ref="AD15" si="14">N15/N$17</f>
        <v>#DIV/0!</v>
      </c>
      <c r="AE15" s="111">
        <f t="shared" ref="AE15" si="15">O15/O$17</f>
        <v>5.8576874826099905E-3</v>
      </c>
      <c r="AF15" s="111">
        <f t="shared" ref="AF15" si="16">P15/P$17</f>
        <v>6.7841366854937233E-4</v>
      </c>
    </row>
    <row r="16" spans="1:32" x14ac:dyDescent="0.25">
      <c r="A16" s="125" t="s">
        <v>317</v>
      </c>
      <c r="C16" s="108"/>
      <c r="D16" s="109">
        <f>'frame peaker'!B43/D2</f>
        <v>19.693776824034337</v>
      </c>
      <c r="E16" s="109">
        <f>'Recip Peaker'!B44/E2</f>
        <v>5.6902901785714288</v>
      </c>
      <c r="F16" s="110"/>
      <c r="G16" s="110"/>
      <c r="H16" s="110"/>
      <c r="I16" s="110"/>
      <c r="J16" s="110"/>
      <c r="K16" s="110"/>
      <c r="L16" s="110"/>
      <c r="M16" s="110"/>
      <c r="N16" s="110"/>
      <c r="O16" s="110"/>
      <c r="P16" s="110"/>
      <c r="S16" s="108"/>
      <c r="T16" s="116">
        <f t="shared" ref="T16" si="17">D16/D$17</f>
        <v>2.714277097533024E-2</v>
      </c>
      <c r="U16" s="116">
        <f t="shared" ref="U16" si="18">E16/E$17</f>
        <v>3.2277222609548894E-3</v>
      </c>
      <c r="V16" s="115"/>
      <c r="W16" s="115"/>
      <c r="X16" s="115"/>
      <c r="Y16" s="115"/>
      <c r="Z16" s="115"/>
      <c r="AA16" s="115"/>
      <c r="AB16" s="115"/>
      <c r="AC16" s="115"/>
      <c r="AD16" s="115"/>
      <c r="AE16" s="115"/>
      <c r="AF16" s="115"/>
    </row>
    <row r="17" spans="1:32" x14ac:dyDescent="0.25">
      <c r="A17" t="s">
        <v>31</v>
      </c>
      <c r="C17" s="45">
        <f>CCCT!T67/C2</f>
        <v>1083.9707284899077</v>
      </c>
      <c r="D17" s="45">
        <f>'frame peaker'!B46/D2</f>
        <v>725.56250214592274</v>
      </c>
      <c r="E17" s="45">
        <f>'Recip Peaker'!B47/E2</f>
        <v>1762.9429419642859</v>
      </c>
      <c r="F17" s="45">
        <f>1000*'Pumped Storage Hydro'!C31/F2</f>
        <v>2564</v>
      </c>
      <c r="G17" s="45">
        <f>Batteries!D23/1000/G2</f>
        <v>828.31126666666671</v>
      </c>
      <c r="H17" s="45">
        <f>Batteries!C62/H2</f>
        <v>1562.9535350613335</v>
      </c>
      <c r="I17" s="45">
        <f>Batteries!D62/I2</f>
        <v>4010.98945</v>
      </c>
      <c r="J17" s="105">
        <f>'Solar +'!F51/100</f>
        <v>1927.7195023841</v>
      </c>
      <c r="K17" s="105">
        <f>'Solar +'!Q42/7</f>
        <v>4410.8019285714281</v>
      </c>
      <c r="L17" s="45">
        <f>'Solar +'!I49/1000/L2</f>
        <v>1107.97</v>
      </c>
      <c r="M17" s="45">
        <f>'Onshore wind'!C45/1000/M2</f>
        <v>1464.2891999999999</v>
      </c>
      <c r="N17" s="45">
        <f>'Offshore wind'!H62/N2</f>
        <v>4157.3168999999998</v>
      </c>
      <c r="O17" s="45">
        <f>Biomass!B43/1000/O2</f>
        <v>4177.8944460000002</v>
      </c>
      <c r="P17" s="45">
        <f>'Small Modular Nuclear'!B41/P2</f>
        <v>6312.8739861000004</v>
      </c>
      <c r="S17" s="45">
        <f>C17</f>
        <v>1083.9707284899077</v>
      </c>
      <c r="T17" s="45">
        <f t="shared" ref="T17:AF17" si="19">D17</f>
        <v>725.56250214592274</v>
      </c>
      <c r="U17" s="45">
        <f t="shared" si="19"/>
        <v>1762.9429419642859</v>
      </c>
      <c r="V17" s="45">
        <f t="shared" si="19"/>
        <v>2564</v>
      </c>
      <c r="W17" s="45">
        <f t="shared" si="19"/>
        <v>828.31126666666671</v>
      </c>
      <c r="X17" s="45">
        <f t="shared" si="19"/>
        <v>1562.9535350613335</v>
      </c>
      <c r="Y17" s="45">
        <f t="shared" si="19"/>
        <v>4010.98945</v>
      </c>
      <c r="Z17" s="45">
        <f t="shared" si="19"/>
        <v>1927.7195023841</v>
      </c>
      <c r="AA17" s="45">
        <f t="shared" si="19"/>
        <v>4410.8019285714281</v>
      </c>
      <c r="AB17" s="45">
        <f t="shared" si="19"/>
        <v>1107.97</v>
      </c>
      <c r="AC17" s="45">
        <f t="shared" si="19"/>
        <v>1464.2891999999999</v>
      </c>
      <c r="AD17" s="45">
        <f t="shared" si="19"/>
        <v>4157.3168999999998</v>
      </c>
      <c r="AE17" s="45">
        <f t="shared" si="19"/>
        <v>4177.8944460000002</v>
      </c>
      <c r="AF17" s="45">
        <f t="shared" si="19"/>
        <v>6312.8739861000004</v>
      </c>
    </row>
    <row r="18" spans="1:32" x14ac:dyDescent="0.25">
      <c r="A18" s="2" t="s">
        <v>389</v>
      </c>
      <c r="B18" s="2"/>
      <c r="C18" s="117">
        <v>1071.2022398440899</v>
      </c>
      <c r="D18" s="117">
        <v>948.30629490515446</v>
      </c>
      <c r="E18" s="117">
        <v>1670.7682648279588</v>
      </c>
      <c r="F18" s="28">
        <v>2656.1520454071174</v>
      </c>
      <c r="G18" s="28">
        <v>777.38516840623015</v>
      </c>
      <c r="H18" s="28">
        <v>1666.6358689274425</v>
      </c>
      <c r="I18" s="28" t="s">
        <v>388</v>
      </c>
      <c r="J18" s="28">
        <v>1079.1870597980292</v>
      </c>
      <c r="K18" s="28">
        <v>2428.1498077864107</v>
      </c>
      <c r="L18" s="28">
        <v>1306.9477051941487</v>
      </c>
      <c r="M18" s="28">
        <v>1348.8534090909034</v>
      </c>
      <c r="N18" s="28">
        <v>4507.0776037186843</v>
      </c>
      <c r="O18" s="28">
        <v>4464.7799187993687</v>
      </c>
      <c r="P18" s="28" t="s">
        <v>388</v>
      </c>
    </row>
    <row r="19" spans="1:32" x14ac:dyDescent="0.25">
      <c r="A19" t="s">
        <v>378</v>
      </c>
      <c r="C19" s="107">
        <f>ABS(C17-C18)</f>
        <v>12.768488645817797</v>
      </c>
      <c r="D19" s="107">
        <f t="shared" ref="D19:O19" si="20">ABS(D17-D18)</f>
        <v>222.74379275923172</v>
      </c>
      <c r="E19" s="107">
        <f t="shared" si="20"/>
        <v>92.174677136327091</v>
      </c>
      <c r="F19" s="107">
        <f t="shared" si="20"/>
        <v>92.152045407117384</v>
      </c>
      <c r="G19" s="107">
        <f t="shared" si="20"/>
        <v>50.926098260436561</v>
      </c>
      <c r="H19" s="107">
        <f t="shared" si="20"/>
        <v>103.68233386610905</v>
      </c>
      <c r="I19" s="107"/>
      <c r="J19" s="107">
        <f t="shared" si="20"/>
        <v>848.53244258607083</v>
      </c>
      <c r="K19" s="107">
        <f t="shared" si="20"/>
        <v>1982.6521207850174</v>
      </c>
      <c r="L19" s="107">
        <f t="shared" si="20"/>
        <v>198.97770519414871</v>
      </c>
      <c r="M19" s="107">
        <f t="shared" si="20"/>
        <v>115.43579090909657</v>
      </c>
      <c r="N19" s="107">
        <f t="shared" si="20"/>
        <v>349.76070371868445</v>
      </c>
      <c r="O19" s="107">
        <f t="shared" si="20"/>
        <v>286.88547279936847</v>
      </c>
      <c r="P19" s="45"/>
    </row>
    <row r="20" spans="1:32" x14ac:dyDescent="0.25">
      <c r="D20" s="45"/>
      <c r="E20" s="45"/>
      <c r="F20" s="45"/>
      <c r="G20" s="45"/>
      <c r="H20" s="45"/>
      <c r="I20" s="45"/>
      <c r="J20" s="106"/>
      <c r="K20" s="45"/>
      <c r="L20" s="45"/>
      <c r="M20" s="45"/>
      <c r="N20" s="45"/>
      <c r="O20" s="45"/>
      <c r="P20" s="45"/>
    </row>
    <row r="21" spans="1:32" x14ac:dyDescent="0.25">
      <c r="A21" t="s">
        <v>476</v>
      </c>
      <c r="C21" s="98">
        <f>CCCT!U72</f>
        <v>27.928972103999996</v>
      </c>
      <c r="D21" s="229">
        <f>'frame peaker'!B49</f>
        <v>7.1379000000000001</v>
      </c>
      <c r="E21" s="229">
        <f>'Recip Peaker'!B50</f>
        <v>35.852651999999999</v>
      </c>
      <c r="F21" s="231">
        <f>('Pumped Storage Hydro'!B40+'Pumped Storage Hydro'!C40)/2</f>
        <v>24</v>
      </c>
      <c r="L21" s="229">
        <f>'Solar +'!I50</f>
        <v>18.649000000000001</v>
      </c>
      <c r="M21" s="56"/>
      <c r="N21" s="56"/>
      <c r="O21" s="98">
        <f>Biomass!B52</f>
        <v>128.196684</v>
      </c>
      <c r="P21" s="55">
        <f>'Small Modular Nuclear'!B44</f>
        <v>96.871500000000012</v>
      </c>
    </row>
    <row r="22" spans="1:32" x14ac:dyDescent="0.25">
      <c r="A22" t="s">
        <v>288</v>
      </c>
      <c r="C22" s="98">
        <f>(CCCT!U76/C2)*1000</f>
        <v>2.4447800343878954</v>
      </c>
      <c r="D22" s="229">
        <f>'frame peaker'!B51</f>
        <v>0.61182000000000003</v>
      </c>
      <c r="E22" s="229">
        <f>'Recip Peaker'!B51</f>
        <v>5.8020930000000011</v>
      </c>
      <c r="F22" s="230"/>
      <c r="G22" s="59"/>
      <c r="H22" s="59"/>
      <c r="I22" s="59"/>
      <c r="J22" s="59"/>
      <c r="K22" s="59"/>
      <c r="L22" s="59"/>
      <c r="M22" s="59"/>
      <c r="N22" s="59"/>
      <c r="O22" s="98">
        <f>Biomass!B53</f>
        <v>4.9251510000000005</v>
      </c>
      <c r="P22" s="55">
        <f>'Small Modular Nuclear'!B45</f>
        <v>3.0590999999999999</v>
      </c>
    </row>
    <row r="23" spans="1:32" x14ac:dyDescent="0.25">
      <c r="A23" t="s">
        <v>620</v>
      </c>
      <c r="D23" s="98">
        <f>'frame peaker'!B52</f>
        <v>18864.45</v>
      </c>
    </row>
    <row r="24" spans="1:32" x14ac:dyDescent="0.25">
      <c r="A24" t="s">
        <v>393</v>
      </c>
      <c r="C24" s="55"/>
      <c r="D24" s="56"/>
      <c r="E24" s="56"/>
      <c r="F24" s="55"/>
      <c r="G24" s="55"/>
      <c r="H24" s="55"/>
      <c r="I24" s="55"/>
      <c r="J24" s="55"/>
      <c r="K24" s="55"/>
      <c r="L24" s="55"/>
      <c r="M24" s="55"/>
      <c r="N24" s="55"/>
      <c r="O24" s="55"/>
      <c r="P24" s="56"/>
    </row>
    <row r="25" spans="1:32" x14ac:dyDescent="0.25">
      <c r="A25" s="72" t="s">
        <v>334</v>
      </c>
    </row>
    <row r="26" spans="1:32" x14ac:dyDescent="0.25">
      <c r="A26" s="73" t="s">
        <v>335</v>
      </c>
    </row>
    <row r="27" spans="1:32" x14ac:dyDescent="0.25">
      <c r="A27" s="74" t="s">
        <v>336</v>
      </c>
    </row>
    <row r="28" spans="1:32" x14ac:dyDescent="0.25">
      <c r="A28" s="75" t="s">
        <v>330</v>
      </c>
    </row>
    <row r="29" spans="1:32" x14ac:dyDescent="0.25">
      <c r="A29" s="76" t="s">
        <v>333</v>
      </c>
    </row>
  </sheetData>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selection activeCell="E2" sqref="E2:M2"/>
    </sheetView>
  </sheetViews>
  <sheetFormatPr defaultRowHeight="15" x14ac:dyDescent="0.25"/>
  <cols>
    <col min="1" max="1" width="17.42578125" bestFit="1" customWidth="1"/>
    <col min="2" max="2" width="24.140625" bestFit="1" customWidth="1"/>
    <col min="3" max="3" width="12.28515625" bestFit="1" customWidth="1"/>
    <col min="4" max="4" width="12.7109375" bestFit="1" customWidth="1"/>
    <col min="5" max="5" width="18.5703125" bestFit="1" customWidth="1"/>
    <col min="6" max="6" width="9.140625" bestFit="1" customWidth="1"/>
    <col min="7" max="7" width="28.28515625" bestFit="1" customWidth="1"/>
    <col min="8" max="8" width="19.5703125" bestFit="1" customWidth="1"/>
    <col min="9" max="9" width="6.7109375" bestFit="1" customWidth="1"/>
    <col min="10" max="10" width="7.7109375" bestFit="1" customWidth="1"/>
    <col min="11" max="11" width="17.7109375" bestFit="1" customWidth="1"/>
    <col min="12" max="12" width="12.7109375" bestFit="1" customWidth="1"/>
    <col min="13" max="13" width="11" bestFit="1" customWidth="1"/>
    <col min="14" max="14" width="9.5703125" bestFit="1" customWidth="1"/>
    <col min="15" max="15" width="11.5703125" bestFit="1" customWidth="1"/>
    <col min="16" max="16" width="10.7109375" bestFit="1" customWidth="1"/>
    <col min="17" max="17" width="6.5703125" bestFit="1" customWidth="1"/>
    <col min="18" max="18" width="22.85546875" bestFit="1" customWidth="1"/>
    <col min="19" max="19" width="9.5703125" bestFit="1" customWidth="1"/>
    <col min="21" max="21" width="13.28515625" bestFit="1" customWidth="1"/>
    <col min="22" max="22" width="12.85546875" bestFit="1" customWidth="1"/>
    <col min="23" max="23" width="11.42578125" bestFit="1" customWidth="1"/>
    <col min="24" max="24" width="22.28515625" bestFit="1" customWidth="1"/>
  </cols>
  <sheetData>
    <row r="1" spans="1:25" x14ac:dyDescent="0.25">
      <c r="B1" s="118"/>
      <c r="C1" s="49"/>
      <c r="D1" s="118"/>
      <c r="E1" s="300" t="s">
        <v>311</v>
      </c>
      <c r="F1" s="300"/>
      <c r="G1" s="300"/>
      <c r="H1" s="300"/>
      <c r="I1" s="300"/>
      <c r="J1" s="300"/>
      <c r="K1" s="300"/>
      <c r="L1" s="300"/>
      <c r="M1" s="300"/>
      <c r="N1" s="300"/>
      <c r="O1" s="300"/>
      <c r="P1" s="300"/>
      <c r="Q1" s="300"/>
      <c r="R1" s="118"/>
      <c r="T1" s="118"/>
      <c r="U1" s="118"/>
      <c r="V1" s="118"/>
      <c r="W1" s="118"/>
      <c r="X1" s="118"/>
      <c r="Y1" s="118"/>
    </row>
    <row r="2" spans="1:25" x14ac:dyDescent="0.25">
      <c r="A2" s="1" t="s">
        <v>318</v>
      </c>
      <c r="B2" s="1" t="s">
        <v>384</v>
      </c>
      <c r="C2" s="1"/>
      <c r="D2" s="1" t="s">
        <v>379</v>
      </c>
      <c r="E2" s="1" t="s">
        <v>329</v>
      </c>
      <c r="F2" s="1" t="s">
        <v>331</v>
      </c>
      <c r="G2" s="1" t="s">
        <v>312</v>
      </c>
      <c r="H2" s="1" t="s">
        <v>313</v>
      </c>
      <c r="I2" s="1" t="s">
        <v>72</v>
      </c>
      <c r="J2" s="1" t="s">
        <v>57</v>
      </c>
      <c r="K2" s="1" t="s">
        <v>328</v>
      </c>
      <c r="L2" s="1" t="s">
        <v>314</v>
      </c>
      <c r="M2" s="1" t="s">
        <v>93</v>
      </c>
      <c r="N2" s="1" t="s">
        <v>315</v>
      </c>
      <c r="O2" s="1" t="s">
        <v>316</v>
      </c>
      <c r="P2" s="1" t="s">
        <v>317</v>
      </c>
      <c r="Q2" s="1" t="s">
        <v>31</v>
      </c>
      <c r="R2" s="1" t="s">
        <v>389</v>
      </c>
      <c r="S2" s="1" t="s">
        <v>378</v>
      </c>
      <c r="T2" s="1"/>
      <c r="U2" s="1" t="s">
        <v>688</v>
      </c>
      <c r="V2" s="1" t="s">
        <v>687</v>
      </c>
      <c r="W2" s="1" t="s">
        <v>620</v>
      </c>
      <c r="X2" s="1" t="s">
        <v>393</v>
      </c>
      <c r="Y2" s="118"/>
    </row>
    <row r="3" spans="1:25" x14ac:dyDescent="0.25">
      <c r="A3" t="s">
        <v>174</v>
      </c>
      <c r="B3" s="5">
        <v>727</v>
      </c>
      <c r="C3" s="5"/>
      <c r="D3" s="5" t="s">
        <v>63</v>
      </c>
      <c r="E3" s="99">
        <v>436.81121466024751</v>
      </c>
      <c r="F3" s="99">
        <v>93.880987209078398</v>
      </c>
      <c r="G3" s="99">
        <v>116.87625841815678</v>
      </c>
      <c r="H3" s="99">
        <v>21.949966431911964</v>
      </c>
      <c r="I3" s="99">
        <v>0.43016657496561206</v>
      </c>
      <c r="J3" s="99">
        <v>147.57724687345254</v>
      </c>
      <c r="K3" s="99">
        <v>116.98211829436039</v>
      </c>
      <c r="L3" s="102"/>
      <c r="M3" s="99">
        <v>107.16231086657497</v>
      </c>
      <c r="N3" s="100"/>
      <c r="O3" s="100"/>
      <c r="P3" s="233"/>
      <c r="Q3" s="12">
        <v>1083.9707284899077</v>
      </c>
      <c r="R3" s="232">
        <v>1071.2022398440899</v>
      </c>
      <c r="S3" s="237">
        <v>12.768488645817797</v>
      </c>
      <c r="U3" s="98">
        <v>27.928972103999996</v>
      </c>
      <c r="V3" s="98">
        <v>2.4447800343878954</v>
      </c>
      <c r="X3" s="55"/>
    </row>
    <row r="4" spans="1:25" x14ac:dyDescent="0.25">
      <c r="A4" t="s">
        <v>175</v>
      </c>
      <c r="B4" s="5">
        <v>233</v>
      </c>
      <c r="C4" s="5"/>
      <c r="D4" s="5" t="s">
        <v>63</v>
      </c>
      <c r="E4" s="99">
        <v>324.72849785407726</v>
      </c>
      <c r="F4" s="99">
        <v>75.273991416309016</v>
      </c>
      <c r="G4" s="99">
        <v>590.68201287553654</v>
      </c>
      <c r="H4" s="100"/>
      <c r="I4" s="99">
        <v>2.6258369098712446</v>
      </c>
      <c r="J4" s="100"/>
      <c r="K4" s="99">
        <v>49.663328755364816</v>
      </c>
      <c r="L4" s="100"/>
      <c r="M4" s="99">
        <v>65.961023175965664</v>
      </c>
      <c r="N4" s="100"/>
      <c r="O4" s="99">
        <v>5.2516738197424893</v>
      </c>
      <c r="P4" s="234">
        <v>19.693776824034337</v>
      </c>
      <c r="Q4" s="14">
        <v>725.56250214592274</v>
      </c>
      <c r="R4" s="232">
        <v>948.30629490515446</v>
      </c>
      <c r="S4" s="238">
        <v>222.74379275923172</v>
      </c>
      <c r="T4" s="45"/>
      <c r="U4" s="229">
        <v>7.1379000000000001</v>
      </c>
      <c r="V4" s="229">
        <v>0.61182000000000003</v>
      </c>
      <c r="W4" s="98">
        <v>18864.45</v>
      </c>
      <c r="X4" s="56"/>
    </row>
    <row r="5" spans="1:25" x14ac:dyDescent="0.25">
      <c r="A5" t="s">
        <v>176</v>
      </c>
      <c r="B5" s="5">
        <v>22.4</v>
      </c>
      <c r="C5" s="5"/>
      <c r="D5" s="5" t="s">
        <v>63</v>
      </c>
      <c r="E5" s="99">
        <v>1160.9557633928573</v>
      </c>
      <c r="F5" s="99">
        <v>251.3287366071429</v>
      </c>
      <c r="G5" s="99">
        <v>1508.0179419642859</v>
      </c>
      <c r="H5" s="100"/>
      <c r="I5" s="99">
        <v>13.656696428571431</v>
      </c>
      <c r="J5" s="100"/>
      <c r="K5" s="99">
        <v>80.392419642857149</v>
      </c>
      <c r="L5" s="100"/>
      <c r="M5" s="99">
        <v>130.60354017857142</v>
      </c>
      <c r="N5" s="100"/>
      <c r="O5" s="99">
        <v>32.776071428571434</v>
      </c>
      <c r="P5" s="234">
        <v>5.6902901785714288</v>
      </c>
      <c r="Q5" s="14">
        <v>1762.9429419642859</v>
      </c>
      <c r="R5" s="232">
        <v>1670.7682648279588</v>
      </c>
      <c r="S5" s="238">
        <v>92.174677136327091</v>
      </c>
      <c r="T5" s="45"/>
      <c r="U5" s="229">
        <v>35.852651999999999</v>
      </c>
      <c r="V5" s="229">
        <v>5.8020930000000011</v>
      </c>
      <c r="X5" s="56"/>
    </row>
    <row r="6" spans="1:25" x14ac:dyDescent="0.25">
      <c r="A6" t="s">
        <v>319</v>
      </c>
      <c r="B6" s="5">
        <v>500</v>
      </c>
      <c r="C6" s="5"/>
      <c r="D6" s="5" t="s">
        <v>63</v>
      </c>
      <c r="E6" s="99">
        <v>1144</v>
      </c>
      <c r="F6" s="99">
        <v>908</v>
      </c>
      <c r="G6" s="99">
        <v>102.47199999999999</v>
      </c>
      <c r="H6" s="103"/>
      <c r="I6" s="100"/>
      <c r="J6" s="100"/>
      <c r="K6" s="98">
        <v>8.9599999999999992E-3</v>
      </c>
      <c r="L6" s="100"/>
      <c r="M6" s="99">
        <v>308</v>
      </c>
      <c r="N6" s="100"/>
      <c r="O6" s="100"/>
      <c r="P6" s="235"/>
      <c r="Q6" s="14">
        <v>2564</v>
      </c>
      <c r="R6" s="16">
        <v>2656.1520454071174</v>
      </c>
      <c r="S6" s="238">
        <v>92.152045407117384</v>
      </c>
      <c r="T6" s="45"/>
      <c r="U6" s="231">
        <v>24</v>
      </c>
      <c r="V6" s="230"/>
      <c r="X6" s="55"/>
    </row>
    <row r="7" spans="1:25" x14ac:dyDescent="0.25">
      <c r="A7" t="s">
        <v>390</v>
      </c>
      <c r="B7" s="5">
        <v>60</v>
      </c>
      <c r="C7" s="5"/>
      <c r="D7" s="5" t="s">
        <v>63</v>
      </c>
      <c r="E7" s="99">
        <v>464.98319999999995</v>
      </c>
      <c r="F7" s="99">
        <v>134.952213495</v>
      </c>
      <c r="G7" s="99">
        <v>728.51338032000001</v>
      </c>
      <c r="H7" s="103"/>
      <c r="I7" s="104">
        <v>4.9214833333333328</v>
      </c>
      <c r="J7" s="99">
        <v>62.985152505000002</v>
      </c>
      <c r="K7" s="99">
        <v>16.344227459999999</v>
      </c>
      <c r="L7" s="102"/>
      <c r="M7" s="99">
        <v>22.654399999999999</v>
      </c>
      <c r="N7" s="53"/>
      <c r="O7" s="99">
        <v>30.824583333333333</v>
      </c>
      <c r="P7" s="235"/>
      <c r="Q7" s="14">
        <v>828.31126666666671</v>
      </c>
      <c r="R7" s="16">
        <v>777.38516840623015</v>
      </c>
      <c r="S7" s="238">
        <v>50.926098260436561</v>
      </c>
      <c r="T7" s="45"/>
      <c r="V7" s="59"/>
      <c r="X7" s="55"/>
    </row>
    <row r="8" spans="1:25" x14ac:dyDescent="0.25">
      <c r="A8" t="s">
        <v>391</v>
      </c>
      <c r="B8" s="5">
        <v>100</v>
      </c>
      <c r="C8" s="5"/>
      <c r="D8" s="5" t="s">
        <v>63</v>
      </c>
      <c r="E8" s="99">
        <v>1026.84375</v>
      </c>
      <c r="F8" s="99">
        <v>205.86099999999999</v>
      </c>
      <c r="G8" s="99">
        <v>212.28840000000002</v>
      </c>
      <c r="H8" s="103"/>
      <c r="I8" s="99">
        <v>3.0110619330000001</v>
      </c>
      <c r="J8" s="98">
        <v>47.868266556000002</v>
      </c>
      <c r="K8" s="99">
        <v>16.347391929</v>
      </c>
      <c r="L8" s="102"/>
      <c r="M8" s="99">
        <v>23.105157966</v>
      </c>
      <c r="N8" s="53"/>
      <c r="O8" s="99">
        <v>21.167000000000002</v>
      </c>
      <c r="P8" s="235"/>
      <c r="Q8" s="14">
        <v>1562.9535350613335</v>
      </c>
      <c r="R8" s="16">
        <v>1666.6358689274425</v>
      </c>
      <c r="S8" s="238">
        <v>103.68233386610905</v>
      </c>
      <c r="T8" s="45"/>
      <c r="V8" s="59"/>
      <c r="X8" s="55"/>
    </row>
    <row r="9" spans="1:25" x14ac:dyDescent="0.25">
      <c r="A9" t="s">
        <v>392</v>
      </c>
      <c r="B9" s="5">
        <v>100</v>
      </c>
      <c r="C9" s="5"/>
      <c r="D9" s="5" t="s">
        <v>63</v>
      </c>
      <c r="E9" s="99">
        <v>2096.1489500000002</v>
      </c>
      <c r="F9" s="99">
        <v>459.80250000000001</v>
      </c>
      <c r="G9" s="99">
        <v>455.09050000000002</v>
      </c>
      <c r="H9" s="100"/>
      <c r="I9" s="100"/>
      <c r="J9" s="100"/>
      <c r="K9" s="103"/>
      <c r="L9" s="102"/>
      <c r="M9" s="100"/>
      <c r="N9" s="53"/>
      <c r="O9" s="99">
        <v>21.167000000000002</v>
      </c>
      <c r="P9" s="235"/>
      <c r="Q9" s="14">
        <v>4010.98945</v>
      </c>
      <c r="R9" s="16" t="s">
        <v>388</v>
      </c>
      <c r="S9" s="238"/>
      <c r="T9" s="45"/>
      <c r="V9" s="59"/>
      <c r="X9" s="55"/>
    </row>
    <row r="10" spans="1:25" x14ac:dyDescent="0.25">
      <c r="A10" t="s">
        <v>323</v>
      </c>
      <c r="B10" s="5" t="s">
        <v>385</v>
      </c>
      <c r="C10" s="5"/>
      <c r="D10" s="5" t="s">
        <v>63</v>
      </c>
      <c r="E10" s="99">
        <v>1027.7877761533332</v>
      </c>
      <c r="F10" s="99">
        <v>314.8986256066666</v>
      </c>
      <c r="G10" s="99">
        <v>1675.2476839141</v>
      </c>
      <c r="H10" s="103"/>
      <c r="I10" s="100"/>
      <c r="J10" s="99">
        <v>163.49808885743332</v>
      </c>
      <c r="K10" s="99">
        <v>46.777732813333344</v>
      </c>
      <c r="L10" s="103"/>
      <c r="M10" s="99">
        <v>52.104377206666669</v>
      </c>
      <c r="N10" s="53"/>
      <c r="O10" s="99">
        <v>40.728830933333334</v>
      </c>
      <c r="P10" s="235"/>
      <c r="Q10" s="236">
        <v>1927.7195023841</v>
      </c>
      <c r="R10" s="16">
        <v>1079.1870597980292</v>
      </c>
      <c r="S10" s="238">
        <v>848.53244258607083</v>
      </c>
      <c r="T10" s="106"/>
      <c r="V10" s="59"/>
      <c r="X10" s="55"/>
    </row>
    <row r="11" spans="1:25" x14ac:dyDescent="0.25">
      <c r="A11" t="s">
        <v>332</v>
      </c>
      <c r="B11" s="5" t="s">
        <v>387</v>
      </c>
      <c r="C11" s="5"/>
      <c r="D11" s="5" t="s">
        <v>63</v>
      </c>
      <c r="E11" s="99">
        <v>1444.3572142857142</v>
      </c>
      <c r="F11" s="99">
        <v>1101.7797857142857</v>
      </c>
      <c r="G11" s="100"/>
      <c r="H11" s="100"/>
      <c r="I11" s="101"/>
      <c r="J11" s="99">
        <v>342.8125</v>
      </c>
      <c r="K11" s="100"/>
      <c r="L11" s="101"/>
      <c r="M11" s="100"/>
      <c r="N11" s="101"/>
      <c r="O11" s="102"/>
      <c r="P11" s="235"/>
      <c r="Q11" s="236">
        <v>3078.1036428571429</v>
      </c>
      <c r="R11" s="16">
        <v>2428.1498077864107</v>
      </c>
      <c r="S11" s="238">
        <v>649.95383507073211</v>
      </c>
      <c r="T11" s="45"/>
      <c r="V11" s="59"/>
      <c r="X11" s="55"/>
    </row>
    <row r="12" spans="1:25" x14ac:dyDescent="0.25">
      <c r="A12" t="s">
        <v>324</v>
      </c>
      <c r="B12" s="5">
        <v>100</v>
      </c>
      <c r="C12" s="5"/>
      <c r="D12" s="5" t="s">
        <v>63</v>
      </c>
      <c r="E12" s="99">
        <v>504.62</v>
      </c>
      <c r="F12" s="99">
        <v>208.43</v>
      </c>
      <c r="G12" s="99">
        <v>943.42</v>
      </c>
      <c r="H12" s="103"/>
      <c r="I12" s="100"/>
      <c r="J12" s="99">
        <v>120.67</v>
      </c>
      <c r="K12" s="98">
        <v>21.94</v>
      </c>
      <c r="L12" s="53"/>
      <c r="M12" s="99">
        <v>32.909999999999997</v>
      </c>
      <c r="N12" s="53"/>
      <c r="O12" s="99">
        <v>21.94</v>
      </c>
      <c r="P12" s="235"/>
      <c r="Q12" s="14">
        <v>1107.97</v>
      </c>
      <c r="R12" s="16">
        <v>1306.9477051941487</v>
      </c>
      <c r="S12" s="238">
        <v>198.97770519414871</v>
      </c>
      <c r="T12" s="45"/>
      <c r="U12" s="229">
        <v>18.649000000000001</v>
      </c>
      <c r="V12" s="59"/>
      <c r="X12" s="55"/>
    </row>
    <row r="13" spans="1:25" x14ac:dyDescent="0.25">
      <c r="A13" t="s">
        <v>326</v>
      </c>
      <c r="B13" s="5">
        <v>2.6</v>
      </c>
      <c r="C13" s="5"/>
      <c r="D13" s="5" t="s">
        <v>63</v>
      </c>
      <c r="E13" s="99">
        <v>1010.5227000000001</v>
      </c>
      <c r="F13" s="99">
        <v>332.42220000000003</v>
      </c>
      <c r="G13" s="100"/>
      <c r="H13" s="99">
        <v>34.669800000000002</v>
      </c>
      <c r="I13" s="99">
        <v>44.866800000000005</v>
      </c>
      <c r="J13" s="102"/>
      <c r="K13" s="100"/>
      <c r="L13" s="100"/>
      <c r="M13" s="99">
        <v>87.694200000000009</v>
      </c>
      <c r="N13" s="102"/>
      <c r="O13" s="100"/>
      <c r="P13" s="235"/>
      <c r="Q13" s="14">
        <v>1464.2891999999999</v>
      </c>
      <c r="R13" s="16">
        <v>1348.8534090909034</v>
      </c>
      <c r="S13" s="238">
        <v>115.43579090909657</v>
      </c>
      <c r="T13" s="45"/>
      <c r="U13" s="56"/>
      <c r="V13" s="59"/>
      <c r="X13" s="55"/>
    </row>
    <row r="14" spans="1:25" x14ac:dyDescent="0.25">
      <c r="A14" t="s">
        <v>325</v>
      </c>
      <c r="B14" s="5">
        <v>6.1</v>
      </c>
      <c r="C14" s="5"/>
      <c r="D14" s="5" t="s">
        <v>63</v>
      </c>
      <c r="E14" s="99">
        <v>1326.6297000000002</v>
      </c>
      <c r="F14" s="99">
        <v>2172.9807000000001</v>
      </c>
      <c r="G14" s="99" t="e">
        <v>#DIV/0!</v>
      </c>
      <c r="H14" s="99">
        <v>186.60510000000002</v>
      </c>
      <c r="I14" s="101"/>
      <c r="J14" s="100"/>
      <c r="K14" s="99">
        <v>148.87620000000001</v>
      </c>
      <c r="L14" s="102"/>
      <c r="M14" s="99">
        <v>322.22520000000003</v>
      </c>
      <c r="N14" s="100"/>
      <c r="O14" s="99" t="e">
        <v>#DIV/0!</v>
      </c>
      <c r="P14" s="235"/>
      <c r="Q14" s="14">
        <v>4157.3168999999998</v>
      </c>
      <c r="R14" s="16">
        <v>4507.0776037186843</v>
      </c>
      <c r="S14" s="238">
        <v>349.76070371868445</v>
      </c>
      <c r="T14" s="45"/>
      <c r="U14" s="56"/>
      <c r="V14" s="59"/>
      <c r="X14" s="55"/>
    </row>
    <row r="15" spans="1:25" x14ac:dyDescent="0.25">
      <c r="A15" t="s">
        <v>186</v>
      </c>
      <c r="B15" s="5">
        <v>50</v>
      </c>
      <c r="C15" s="5"/>
      <c r="D15" s="5" t="s">
        <v>63</v>
      </c>
      <c r="E15" s="99">
        <v>2808.0906479999999</v>
      </c>
      <c r="F15" s="99">
        <v>996.73635600000011</v>
      </c>
      <c r="G15" s="99">
        <v>3434.7778740000003</v>
      </c>
      <c r="H15" s="100"/>
      <c r="I15" s="99">
        <v>30.590999999999998</v>
      </c>
      <c r="J15" s="100"/>
      <c r="K15" s="99">
        <v>240.42486600000001</v>
      </c>
      <c r="L15" s="102"/>
      <c r="M15" s="99">
        <v>447.627906</v>
      </c>
      <c r="N15" s="100"/>
      <c r="O15" s="99">
        <v>24.472800000000003</v>
      </c>
      <c r="P15" s="235"/>
      <c r="Q15" s="14">
        <v>4177.8944460000002</v>
      </c>
      <c r="R15" s="16">
        <v>4464.7799187993687</v>
      </c>
      <c r="S15" s="238">
        <v>286.88547279936847</v>
      </c>
      <c r="T15" s="45"/>
      <c r="U15" s="98">
        <v>128.196684</v>
      </c>
      <c r="V15" s="98">
        <v>4.9251510000000005</v>
      </c>
      <c r="X15" s="55"/>
    </row>
    <row r="16" spans="1:25" x14ac:dyDescent="0.25">
      <c r="A16" t="s">
        <v>327</v>
      </c>
      <c r="B16" s="5">
        <v>600</v>
      </c>
      <c r="C16" s="5"/>
      <c r="D16" s="5" t="s">
        <v>63</v>
      </c>
      <c r="E16" s="99">
        <v>991.69903800000009</v>
      </c>
      <c r="F16" s="99">
        <v>661.13269200000002</v>
      </c>
      <c r="G16" s="99">
        <v>5332.9388871000001</v>
      </c>
      <c r="H16" s="100"/>
      <c r="I16" s="99">
        <v>1.7844749999999998</v>
      </c>
      <c r="J16" s="100"/>
      <c r="K16" s="99">
        <v>399.970527</v>
      </c>
      <c r="L16" s="102"/>
      <c r="M16" s="99">
        <v>573.89735699999994</v>
      </c>
      <c r="N16" s="100"/>
      <c r="O16" s="99">
        <v>4.2827400000000004</v>
      </c>
      <c r="P16" s="235"/>
      <c r="Q16" s="14">
        <v>6312.8739861000004</v>
      </c>
      <c r="R16" s="16" t="s">
        <v>388</v>
      </c>
      <c r="S16" s="14" t="s">
        <v>388</v>
      </c>
      <c r="T16" s="45"/>
      <c r="U16" s="55">
        <v>96.871500000000012</v>
      </c>
      <c r="V16" s="55">
        <v>3.0590999999999999</v>
      </c>
      <c r="X16" s="56"/>
    </row>
    <row r="17" spans="1:18" x14ac:dyDescent="0.25">
      <c r="B17" s="5"/>
      <c r="C17" s="5"/>
      <c r="D17" s="5"/>
      <c r="P17" s="5"/>
      <c r="R17" s="5"/>
    </row>
    <row r="18" spans="1:18" x14ac:dyDescent="0.25">
      <c r="A18" s="72" t="s">
        <v>334</v>
      </c>
      <c r="P18" s="5"/>
    </row>
    <row r="19" spans="1:18" x14ac:dyDescent="0.25">
      <c r="A19" s="73" t="s">
        <v>335</v>
      </c>
    </row>
    <row r="20" spans="1:18" x14ac:dyDescent="0.25">
      <c r="A20" s="74" t="s">
        <v>336</v>
      </c>
    </row>
    <row r="21" spans="1:18" x14ac:dyDescent="0.25">
      <c r="A21" s="75" t="s">
        <v>330</v>
      </c>
    </row>
    <row r="22" spans="1:18" x14ac:dyDescent="0.25">
      <c r="A22" s="76" t="s">
        <v>333</v>
      </c>
    </row>
  </sheetData>
  <mergeCells count="1">
    <mergeCell ref="E1:Q1"/>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C1" workbookViewId="0">
      <selection activeCell="E4" sqref="E4:E9"/>
    </sheetView>
  </sheetViews>
  <sheetFormatPr defaultRowHeight="15" x14ac:dyDescent="0.25"/>
  <cols>
    <col min="1" max="1" width="29.28515625" customWidth="1"/>
    <col min="2" max="2" width="19.7109375" bestFit="1" customWidth="1"/>
    <col min="3" max="3" width="17.5703125" bestFit="1" customWidth="1"/>
    <col min="4" max="5" width="14.42578125" bestFit="1" customWidth="1"/>
    <col min="6" max="6" width="62.140625" customWidth="1"/>
    <col min="7" max="7" width="53.7109375" customWidth="1"/>
    <col min="8" max="8" width="62.140625" customWidth="1"/>
  </cols>
  <sheetData>
    <row r="1" spans="1:8" ht="15.75" x14ac:dyDescent="0.25">
      <c r="A1" s="213" t="s">
        <v>669</v>
      </c>
    </row>
    <row r="2" spans="1:8" x14ac:dyDescent="0.25">
      <c r="D2" t="s">
        <v>681</v>
      </c>
      <c r="E2" t="s">
        <v>670</v>
      </c>
      <c r="F2" t="s">
        <v>656</v>
      </c>
      <c r="G2" t="s">
        <v>657</v>
      </c>
      <c r="H2" t="s">
        <v>654</v>
      </c>
    </row>
    <row r="4" spans="1:8" ht="28.15" customHeight="1" x14ac:dyDescent="0.25">
      <c r="D4" t="s">
        <v>672</v>
      </c>
      <c r="E4">
        <v>2016</v>
      </c>
      <c r="F4" s="121" t="s">
        <v>655</v>
      </c>
      <c r="G4" s="121" t="s">
        <v>658</v>
      </c>
      <c r="H4" s="121" t="s">
        <v>1</v>
      </c>
    </row>
    <row r="5" spans="1:8" ht="28.15" customHeight="1" x14ac:dyDescent="0.25">
      <c r="D5" t="s">
        <v>673</v>
      </c>
      <c r="E5">
        <v>2019</v>
      </c>
      <c r="F5" s="121" t="s">
        <v>659</v>
      </c>
      <c r="G5" s="121" t="s">
        <v>660</v>
      </c>
      <c r="H5" s="121" t="s">
        <v>127</v>
      </c>
    </row>
    <row r="6" spans="1:8" ht="28.9" customHeight="1" x14ac:dyDescent="0.25">
      <c r="D6" t="s">
        <v>674</v>
      </c>
      <c r="E6">
        <v>2020</v>
      </c>
      <c r="F6" s="121" t="s">
        <v>661</v>
      </c>
      <c r="G6" s="121" t="s">
        <v>662</v>
      </c>
      <c r="H6" s="121" t="s">
        <v>234</v>
      </c>
    </row>
    <row r="7" spans="1:8" ht="46.15" customHeight="1" x14ac:dyDescent="0.25">
      <c r="D7" t="s">
        <v>675</v>
      </c>
      <c r="E7">
        <v>2019</v>
      </c>
      <c r="F7" s="121" t="s">
        <v>663</v>
      </c>
      <c r="G7" s="121" t="s">
        <v>664</v>
      </c>
      <c r="H7" s="121" t="s">
        <v>40</v>
      </c>
    </row>
    <row r="8" spans="1:8" ht="28.9" customHeight="1" x14ac:dyDescent="0.25">
      <c r="D8" t="s">
        <v>676</v>
      </c>
      <c r="E8">
        <v>2020</v>
      </c>
      <c r="F8" s="121" t="s">
        <v>665</v>
      </c>
      <c r="G8" s="121" t="s">
        <v>666</v>
      </c>
      <c r="H8" s="121" t="s">
        <v>89</v>
      </c>
    </row>
    <row r="9" spans="1:8" ht="29.45" customHeight="1" x14ac:dyDescent="0.25">
      <c r="D9" t="s">
        <v>677</v>
      </c>
      <c r="E9">
        <v>2020</v>
      </c>
      <c r="F9" s="121" t="s">
        <v>667</v>
      </c>
      <c r="G9" s="121" t="s">
        <v>668</v>
      </c>
      <c r="H9" s="121" t="s">
        <v>207</v>
      </c>
    </row>
    <row r="10" spans="1:8" x14ac:dyDescent="0.25">
      <c r="H10" t="s">
        <v>747</v>
      </c>
    </row>
    <row r="11" spans="1:8" x14ac:dyDescent="0.25">
      <c r="H11" s="121" t="s">
        <v>748</v>
      </c>
    </row>
    <row r="13" spans="1:8" x14ac:dyDescent="0.25">
      <c r="A13" t="s">
        <v>680</v>
      </c>
      <c r="B13" t="s">
        <v>168</v>
      </c>
      <c r="E13" s="211"/>
      <c r="F13" s="211"/>
    </row>
    <row r="14" spans="1:8" x14ac:dyDescent="0.25">
      <c r="C14" t="s">
        <v>163</v>
      </c>
      <c r="D14" t="s">
        <v>671</v>
      </c>
    </row>
    <row r="15" spans="1:8" x14ac:dyDescent="0.25">
      <c r="A15" t="s">
        <v>164</v>
      </c>
      <c r="B15" t="s">
        <v>169</v>
      </c>
      <c r="D15" t="s">
        <v>678</v>
      </c>
    </row>
    <row r="16" spans="1:8" x14ac:dyDescent="0.25">
      <c r="A16" t="s">
        <v>164</v>
      </c>
      <c r="B16" t="s">
        <v>170</v>
      </c>
      <c r="C16" s="119" t="s">
        <v>690</v>
      </c>
      <c r="D16" t="s">
        <v>678</v>
      </c>
    </row>
    <row r="17" spans="1:4" x14ac:dyDescent="0.25">
      <c r="A17" t="s">
        <v>165</v>
      </c>
      <c r="C17">
        <v>2019</v>
      </c>
      <c r="D17" t="s">
        <v>673</v>
      </c>
    </row>
    <row r="18" spans="1:4" x14ac:dyDescent="0.25">
      <c r="A18" t="s">
        <v>374</v>
      </c>
      <c r="C18">
        <v>2019</v>
      </c>
      <c r="D18" t="s">
        <v>674</v>
      </c>
    </row>
    <row r="19" spans="1:4" x14ac:dyDescent="0.25">
      <c r="A19" t="s">
        <v>375</v>
      </c>
      <c r="C19">
        <v>2019</v>
      </c>
      <c r="D19" t="s">
        <v>674</v>
      </c>
    </row>
    <row r="20" spans="1:4" x14ac:dyDescent="0.25">
      <c r="A20" t="s">
        <v>166</v>
      </c>
      <c r="B20" t="s">
        <v>171</v>
      </c>
      <c r="C20">
        <v>2018</v>
      </c>
      <c r="D20" t="s">
        <v>675</v>
      </c>
    </row>
    <row r="21" spans="1:4" x14ac:dyDescent="0.25">
      <c r="A21" t="s">
        <v>166</v>
      </c>
      <c r="B21" t="s">
        <v>172</v>
      </c>
      <c r="C21">
        <v>2018</v>
      </c>
      <c r="D21" t="s">
        <v>675</v>
      </c>
    </row>
    <row r="22" spans="1:4" x14ac:dyDescent="0.25">
      <c r="A22" t="s">
        <v>167</v>
      </c>
      <c r="B22" t="s">
        <v>99</v>
      </c>
      <c r="C22" s="240" t="s">
        <v>689</v>
      </c>
      <c r="D22" t="s">
        <v>679</v>
      </c>
    </row>
    <row r="23" spans="1:4" x14ac:dyDescent="0.25">
      <c r="A23" t="s">
        <v>167</v>
      </c>
      <c r="B23" t="s">
        <v>98</v>
      </c>
      <c r="C23" s="240" t="s">
        <v>689</v>
      </c>
      <c r="D23" t="s">
        <v>679</v>
      </c>
    </row>
    <row r="24" spans="1:4" x14ac:dyDescent="0.25">
      <c r="A24" t="s">
        <v>167</v>
      </c>
      <c r="B24" t="s">
        <v>97</v>
      </c>
      <c r="C24" s="240" t="s">
        <v>689</v>
      </c>
      <c r="D24" t="s">
        <v>679</v>
      </c>
    </row>
    <row r="25" spans="1:4" x14ac:dyDescent="0.25">
      <c r="A25" t="s">
        <v>167</v>
      </c>
      <c r="B25" t="s">
        <v>96</v>
      </c>
      <c r="C25" s="240" t="s">
        <v>689</v>
      </c>
      <c r="D25" t="s">
        <v>679</v>
      </c>
    </row>
    <row r="26" spans="1:4" x14ac:dyDescent="0.25">
      <c r="A26" t="s">
        <v>173</v>
      </c>
      <c r="B26" s="5" t="s">
        <v>117</v>
      </c>
      <c r="C26">
        <v>2019</v>
      </c>
      <c r="D26" t="s">
        <v>673</v>
      </c>
    </row>
    <row r="27" spans="1:4" x14ac:dyDescent="0.25">
      <c r="A27" t="s">
        <v>173</v>
      </c>
      <c r="B27" s="5" t="s">
        <v>118</v>
      </c>
      <c r="C27">
        <v>2019</v>
      </c>
      <c r="D27" t="s">
        <v>673</v>
      </c>
    </row>
    <row r="28" spans="1:4" x14ac:dyDescent="0.25">
      <c r="A28" t="s">
        <v>173</v>
      </c>
      <c r="B28" s="7" t="s">
        <v>119</v>
      </c>
      <c r="C28">
        <v>2019</v>
      </c>
      <c r="D28" t="s">
        <v>673</v>
      </c>
    </row>
    <row r="29" spans="1:4" x14ac:dyDescent="0.25">
      <c r="A29" t="s">
        <v>204</v>
      </c>
      <c r="B29" s="5"/>
      <c r="C29">
        <v>2020</v>
      </c>
      <c r="D29" t="s">
        <v>677</v>
      </c>
    </row>
    <row r="30" spans="1:4" x14ac:dyDescent="0.25">
      <c r="A30" t="s">
        <v>186</v>
      </c>
      <c r="B30" s="5"/>
      <c r="C30">
        <v>2019</v>
      </c>
      <c r="D30" t="s">
        <v>674</v>
      </c>
    </row>
    <row r="31" spans="1:4" x14ac:dyDescent="0.25">
      <c r="A31" t="s">
        <v>289</v>
      </c>
      <c r="B31" s="5"/>
      <c r="C31">
        <v>2019</v>
      </c>
      <c r="D31" t="s">
        <v>674</v>
      </c>
    </row>
    <row r="34" spans="1:1" x14ac:dyDescent="0.25">
      <c r="A34" t="s">
        <v>653</v>
      </c>
    </row>
    <row r="35" spans="1:1" x14ac:dyDescent="0.25">
      <c r="A35" s="214" t="s">
        <v>174</v>
      </c>
    </row>
    <row r="36" spans="1:1" x14ac:dyDescent="0.25">
      <c r="A36" s="214" t="s">
        <v>175</v>
      </c>
    </row>
    <row r="37" spans="1:1" x14ac:dyDescent="0.25">
      <c r="A37" s="214" t="s">
        <v>176</v>
      </c>
    </row>
    <row r="38" spans="1:1" x14ac:dyDescent="0.25">
      <c r="A38" s="214" t="s">
        <v>177</v>
      </c>
    </row>
    <row r="39" spans="1:1" x14ac:dyDescent="0.25">
      <c r="A39" s="214" t="s">
        <v>178</v>
      </c>
    </row>
    <row r="40" spans="1:1" x14ac:dyDescent="0.25">
      <c r="A40" s="214" t="s">
        <v>179</v>
      </c>
    </row>
    <row r="41" spans="1:1" x14ac:dyDescent="0.25">
      <c r="A41" s="214" t="s">
        <v>180</v>
      </c>
    </row>
    <row r="42" spans="1:1" x14ac:dyDescent="0.25">
      <c r="A42" s="214" t="s">
        <v>181</v>
      </c>
    </row>
    <row r="43" spans="1:1" x14ac:dyDescent="0.25">
      <c r="A43" s="214" t="s">
        <v>182</v>
      </c>
    </row>
    <row r="44" spans="1:1" x14ac:dyDescent="0.25">
      <c r="A44" s="214" t="s">
        <v>183</v>
      </c>
    </row>
    <row r="45" spans="1:1" x14ac:dyDescent="0.25">
      <c r="A45" s="214" t="s">
        <v>85</v>
      </c>
    </row>
    <row r="46" spans="1:1" x14ac:dyDescent="0.25">
      <c r="A46" s="214" t="s">
        <v>86</v>
      </c>
    </row>
    <row r="47" spans="1:1" x14ac:dyDescent="0.25">
      <c r="A47" s="214" t="s">
        <v>87</v>
      </c>
    </row>
    <row r="48" spans="1:1" x14ac:dyDescent="0.25">
      <c r="A48" s="214" t="s">
        <v>88</v>
      </c>
    </row>
    <row r="49" spans="1:5" x14ac:dyDescent="0.25">
      <c r="A49" s="214" t="s">
        <v>184</v>
      </c>
    </row>
    <row r="50" spans="1:5" x14ac:dyDescent="0.25">
      <c r="A50" s="214" t="s">
        <v>185</v>
      </c>
    </row>
    <row r="51" spans="1:5" x14ac:dyDescent="0.25">
      <c r="A51" s="214" t="s">
        <v>186</v>
      </c>
    </row>
    <row r="52" spans="1:5" x14ac:dyDescent="0.25">
      <c r="A52" s="214" t="s">
        <v>187</v>
      </c>
    </row>
    <row r="57" spans="1:5" x14ac:dyDescent="0.25">
      <c r="A57" s="8" t="s">
        <v>682</v>
      </c>
      <c r="B57" s="19" t="s">
        <v>683</v>
      </c>
      <c r="C57" s="19" t="s">
        <v>684</v>
      </c>
      <c r="D57" s="19" t="s">
        <v>370</v>
      </c>
      <c r="E57" s="20" t="s">
        <v>371</v>
      </c>
    </row>
    <row r="58" spans="1:5" x14ac:dyDescent="0.25">
      <c r="A58" s="4">
        <v>2016</v>
      </c>
      <c r="B58" s="215">
        <v>2.1000000000000001E-2</v>
      </c>
      <c r="C58" s="216">
        <v>1.26E-2</v>
      </c>
      <c r="D58" s="215">
        <v>0.01</v>
      </c>
      <c r="E58" s="217">
        <f t="shared" ref="E58:E61" si="0">AVERAGE(B58:D58)</f>
        <v>1.4533333333333336E-2</v>
      </c>
    </row>
    <row r="59" spans="1:5" x14ac:dyDescent="0.25">
      <c r="A59" s="4">
        <v>2017</v>
      </c>
      <c r="B59" s="215">
        <v>2.1000000000000001E-2</v>
      </c>
      <c r="C59" s="216">
        <v>2.1299999999999999E-2</v>
      </c>
      <c r="D59" s="215">
        <v>1.9E-2</v>
      </c>
      <c r="E59" s="217">
        <f t="shared" si="0"/>
        <v>2.0433333333333335E-2</v>
      </c>
    </row>
    <row r="60" spans="1:5" x14ac:dyDescent="0.25">
      <c r="A60" s="4">
        <v>2018</v>
      </c>
      <c r="B60" s="215">
        <v>1.9E-2</v>
      </c>
      <c r="C60" s="216">
        <v>2.4400000000000002E-2</v>
      </c>
      <c r="D60" s="215">
        <v>2.4E-2</v>
      </c>
      <c r="E60" s="217">
        <f t="shared" si="0"/>
        <v>2.2466666666666666E-2</v>
      </c>
    </row>
    <row r="61" spans="1:5" x14ac:dyDescent="0.25">
      <c r="A61" s="4">
        <v>2019</v>
      </c>
      <c r="B61" s="215">
        <v>2.3E-2</v>
      </c>
      <c r="C61" s="216">
        <v>1.8100000000000002E-2</v>
      </c>
      <c r="D61" s="215">
        <v>1.7999999999999999E-2</v>
      </c>
      <c r="E61" s="167">
        <f t="shared" si="0"/>
        <v>1.9699999999999999E-2</v>
      </c>
    </row>
    <row r="62" spans="1:5" x14ac:dyDescent="0.25">
      <c r="A62" s="3">
        <v>2020</v>
      </c>
      <c r="B62" s="218">
        <v>1.4E-2</v>
      </c>
      <c r="C62" s="219">
        <v>1.23E-2</v>
      </c>
      <c r="D62" s="218">
        <v>1.2999999999999999E-2</v>
      </c>
      <c r="E62" s="220">
        <f>AVERAGE(B62:D62)</f>
        <v>1.3100000000000001E-2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workbookViewId="0">
      <selection activeCell="D36" sqref="D36"/>
    </sheetView>
  </sheetViews>
  <sheetFormatPr defaultRowHeight="15" x14ac:dyDescent="0.25"/>
  <cols>
    <col min="1" max="1" width="47" bestFit="1" customWidth="1"/>
    <col min="2" max="2" width="12.42578125" customWidth="1"/>
    <col min="3" max="3" width="23.140625" bestFit="1" customWidth="1"/>
    <col min="4" max="4" width="9.140625" customWidth="1"/>
    <col min="5" max="5" width="47.140625" bestFit="1" customWidth="1"/>
    <col min="6" max="6" width="11.5703125" bestFit="1" customWidth="1"/>
    <col min="7" max="7" width="13.85546875" bestFit="1" customWidth="1"/>
    <col min="8" max="8" width="11.5703125" bestFit="1" customWidth="1"/>
    <col min="9" max="9" width="38.28515625" bestFit="1" customWidth="1"/>
    <col min="10" max="10" width="12" bestFit="1" customWidth="1"/>
    <col min="11" max="11" width="30.85546875" bestFit="1" customWidth="1"/>
    <col min="12" max="12" width="12.5703125" bestFit="1" customWidth="1"/>
    <col min="13" max="13" width="31.85546875" bestFit="1" customWidth="1"/>
    <col min="14" max="14" width="50.28515625" bestFit="1" customWidth="1"/>
    <col min="15" max="15" width="31.7109375" bestFit="1" customWidth="1"/>
  </cols>
  <sheetData>
    <row r="1" spans="1:15" x14ac:dyDescent="0.25">
      <c r="A1" s="2" t="s">
        <v>625</v>
      </c>
      <c r="E1" s="4" t="s">
        <v>624</v>
      </c>
      <c r="M1" s="4" t="s">
        <v>626</v>
      </c>
    </row>
    <row r="2" spans="1:15" ht="28.15" customHeight="1" x14ac:dyDescent="0.25">
      <c r="A2" s="271" t="s">
        <v>622</v>
      </c>
      <c r="B2" s="271"/>
      <c r="E2" s="239" t="s">
        <v>635</v>
      </c>
      <c r="M2" s="239" t="s">
        <v>627</v>
      </c>
    </row>
    <row r="3" spans="1:15" x14ac:dyDescent="0.25">
      <c r="A3" s="148" t="s">
        <v>2</v>
      </c>
      <c r="B3" s="136" t="s">
        <v>7</v>
      </c>
      <c r="C3" s="136" t="s">
        <v>124</v>
      </c>
      <c r="E3" s="163"/>
      <c r="F3" s="254" t="s">
        <v>159</v>
      </c>
      <c r="G3" s="254" t="s">
        <v>160</v>
      </c>
      <c r="H3" s="255" t="s">
        <v>159</v>
      </c>
      <c r="M3" s="8" t="s">
        <v>116</v>
      </c>
      <c r="N3" s="20" t="s">
        <v>253</v>
      </c>
    </row>
    <row r="4" spans="1:15" x14ac:dyDescent="0.25">
      <c r="A4" s="137" t="s">
        <v>3</v>
      </c>
      <c r="B4" s="137">
        <v>1583</v>
      </c>
      <c r="C4" s="138">
        <f>B4*6000</f>
        <v>9498000</v>
      </c>
      <c r="E4" s="4"/>
      <c r="F4" s="124" t="s">
        <v>158</v>
      </c>
      <c r="G4" s="124"/>
      <c r="H4" s="7"/>
      <c r="M4" s="4" t="s">
        <v>254</v>
      </c>
      <c r="N4" s="7">
        <v>30</v>
      </c>
    </row>
    <row r="5" spans="1:15" x14ac:dyDescent="0.25">
      <c r="A5" s="137" t="s">
        <v>4</v>
      </c>
      <c r="B5" s="137">
        <v>196</v>
      </c>
      <c r="C5" s="138">
        <f>B5*6000</f>
        <v>1176000</v>
      </c>
      <c r="E5" s="4" t="s">
        <v>148</v>
      </c>
      <c r="F5" s="124" t="s">
        <v>63</v>
      </c>
      <c r="G5" s="124" t="s">
        <v>63</v>
      </c>
      <c r="H5" s="7" t="s">
        <v>369</v>
      </c>
      <c r="I5" s="133"/>
      <c r="M5" s="4" t="s">
        <v>255</v>
      </c>
      <c r="N5" s="7">
        <v>5</v>
      </c>
    </row>
    <row r="6" spans="1:15" x14ac:dyDescent="0.25">
      <c r="A6" s="137" t="s">
        <v>5</v>
      </c>
      <c r="B6" s="137">
        <v>25</v>
      </c>
      <c r="C6" s="138">
        <f>B6*6000</f>
        <v>150000</v>
      </c>
      <c r="E6" s="4" t="s">
        <v>134</v>
      </c>
      <c r="F6" s="5">
        <v>1301</v>
      </c>
      <c r="G6" s="5">
        <v>1301</v>
      </c>
      <c r="H6" s="15">
        <f>F6*6.1</f>
        <v>7936.0999999999995</v>
      </c>
      <c r="M6" s="4" t="s">
        <v>256</v>
      </c>
      <c r="N6" s="7">
        <v>100</v>
      </c>
    </row>
    <row r="7" spans="1:15" x14ac:dyDescent="0.25">
      <c r="A7" s="137" t="s">
        <v>6</v>
      </c>
      <c r="B7" s="137">
        <v>31</v>
      </c>
      <c r="C7" s="138">
        <f>B7*6000</f>
        <v>186000</v>
      </c>
      <c r="E7" s="4" t="s">
        <v>136</v>
      </c>
      <c r="F7" s="5"/>
      <c r="G7" s="5"/>
      <c r="H7" s="15">
        <f t="shared" ref="H7:H23" si="0">F7*6.1</f>
        <v>0</v>
      </c>
      <c r="M7" s="175" t="s">
        <v>257</v>
      </c>
      <c r="N7" s="257" t="s">
        <v>258</v>
      </c>
    </row>
    <row r="8" spans="1:15" x14ac:dyDescent="0.25">
      <c r="A8" s="136" t="s">
        <v>31</v>
      </c>
      <c r="B8" s="136"/>
      <c r="C8" s="139">
        <f>SUM(C4:C7)</f>
        <v>11010000</v>
      </c>
      <c r="E8" s="126" t="s">
        <v>4</v>
      </c>
      <c r="F8" s="5">
        <v>138</v>
      </c>
      <c r="G8" s="5">
        <v>165</v>
      </c>
      <c r="H8" s="15">
        <f t="shared" si="0"/>
        <v>841.8</v>
      </c>
      <c r="M8" s="4" t="s">
        <v>259</v>
      </c>
      <c r="N8" s="15">
        <v>240648</v>
      </c>
    </row>
    <row r="9" spans="1:15" x14ac:dyDescent="0.25">
      <c r="A9" s="137"/>
      <c r="B9" s="137"/>
      <c r="C9" s="137"/>
      <c r="E9" s="126" t="s">
        <v>10</v>
      </c>
      <c r="F9" s="5">
        <v>70</v>
      </c>
      <c r="G9" s="5">
        <v>85</v>
      </c>
      <c r="H9" s="15">
        <f t="shared" si="0"/>
        <v>427</v>
      </c>
      <c r="M9" s="4" t="s">
        <v>260</v>
      </c>
      <c r="N9" s="15">
        <v>653008</v>
      </c>
    </row>
    <row r="10" spans="1:15" x14ac:dyDescent="0.25">
      <c r="A10" s="137"/>
      <c r="B10" s="273" t="s">
        <v>11</v>
      </c>
      <c r="C10" s="273"/>
      <c r="E10" s="126" t="s">
        <v>149</v>
      </c>
      <c r="F10" s="5">
        <v>817</v>
      </c>
      <c r="G10" s="5">
        <v>1438</v>
      </c>
      <c r="H10" s="15">
        <f t="shared" si="0"/>
        <v>4983.7</v>
      </c>
      <c r="M10" s="4" t="s">
        <v>261</v>
      </c>
      <c r="N10" s="15">
        <v>125792</v>
      </c>
    </row>
    <row r="11" spans="1:15" x14ac:dyDescent="0.25">
      <c r="A11" s="137" t="s">
        <v>10</v>
      </c>
      <c r="B11" s="272" t="s">
        <v>12</v>
      </c>
      <c r="C11" s="272"/>
      <c r="E11" s="126" t="s">
        <v>150</v>
      </c>
      <c r="F11" s="5">
        <v>58</v>
      </c>
      <c r="G11" s="5">
        <v>44</v>
      </c>
      <c r="H11" s="15">
        <f t="shared" si="0"/>
        <v>353.79999999999995</v>
      </c>
      <c r="M11" s="4" t="s">
        <v>262</v>
      </c>
      <c r="N11" s="15">
        <v>778800</v>
      </c>
    </row>
    <row r="12" spans="1:15" x14ac:dyDescent="0.25">
      <c r="A12" s="137" t="s">
        <v>630</v>
      </c>
      <c r="B12" s="272" t="s">
        <v>631</v>
      </c>
      <c r="C12" s="272"/>
      <c r="E12" s="126" t="s">
        <v>141</v>
      </c>
      <c r="F12" s="5">
        <v>761</v>
      </c>
      <c r="G12" s="5">
        <v>979</v>
      </c>
      <c r="H12" s="15">
        <f t="shared" si="0"/>
        <v>4642.0999999999995</v>
      </c>
      <c r="M12" s="4" t="s">
        <v>263</v>
      </c>
      <c r="N12" s="15">
        <v>60995</v>
      </c>
    </row>
    <row r="13" spans="1:15" x14ac:dyDescent="0.25">
      <c r="A13" s="137" t="s">
        <v>629</v>
      </c>
      <c r="B13" s="272" t="s">
        <v>631</v>
      </c>
      <c r="C13" s="272"/>
      <c r="E13" s="126" t="s">
        <v>140</v>
      </c>
      <c r="F13" s="5">
        <v>198</v>
      </c>
      <c r="G13" s="5">
        <v>439</v>
      </c>
      <c r="H13" s="15">
        <f t="shared" si="0"/>
        <v>1207.8</v>
      </c>
      <c r="M13" s="4" t="s">
        <v>264</v>
      </c>
      <c r="N13" s="15">
        <v>213947</v>
      </c>
    </row>
    <row r="14" spans="1:15" x14ac:dyDescent="0.25">
      <c r="A14" s="137" t="s">
        <v>13</v>
      </c>
      <c r="B14" s="272" t="s">
        <v>16</v>
      </c>
      <c r="C14" s="272"/>
      <c r="E14" s="126" t="s">
        <v>151</v>
      </c>
      <c r="F14" s="5">
        <v>88</v>
      </c>
      <c r="G14" s="5">
        <v>88</v>
      </c>
      <c r="H14" s="15">
        <f t="shared" si="0"/>
        <v>536.79999999999995</v>
      </c>
      <c r="M14" s="4" t="s">
        <v>265</v>
      </c>
      <c r="N14" s="15">
        <v>60182</v>
      </c>
    </row>
    <row r="15" spans="1:15" x14ac:dyDescent="0.25">
      <c r="A15" s="137" t="s">
        <v>14</v>
      </c>
      <c r="B15" s="272" t="s">
        <v>17</v>
      </c>
      <c r="C15" s="272"/>
      <c r="E15" s="126" t="s">
        <v>31</v>
      </c>
      <c r="F15" s="5">
        <v>2131</v>
      </c>
      <c r="G15" s="5">
        <v>3237</v>
      </c>
      <c r="H15" s="15">
        <f t="shared" si="0"/>
        <v>12999.099999999999</v>
      </c>
      <c r="M15" s="4" t="s">
        <v>266</v>
      </c>
      <c r="N15" s="15">
        <v>335114</v>
      </c>
      <c r="O15" s="18"/>
    </row>
    <row r="16" spans="1:15" x14ac:dyDescent="0.25">
      <c r="A16" s="137" t="s">
        <v>15</v>
      </c>
      <c r="B16" s="140" t="s">
        <v>18</v>
      </c>
      <c r="C16" s="140"/>
      <c r="E16" s="4" t="s">
        <v>152</v>
      </c>
      <c r="F16" s="5"/>
      <c r="G16" s="5"/>
      <c r="H16" s="15">
        <f t="shared" si="0"/>
        <v>0</v>
      </c>
      <c r="M16" s="4" t="s">
        <v>242</v>
      </c>
      <c r="N16" s="15">
        <v>74800</v>
      </c>
    </row>
    <row r="17" spans="1:14" x14ac:dyDescent="0.25">
      <c r="E17" s="126" t="s">
        <v>153</v>
      </c>
      <c r="F17" s="5">
        <v>44</v>
      </c>
      <c r="G17" s="5">
        <v>52</v>
      </c>
      <c r="H17" s="15">
        <f t="shared" si="0"/>
        <v>268.39999999999998</v>
      </c>
      <c r="M17" s="4" t="s">
        <v>267</v>
      </c>
      <c r="N17" s="15">
        <v>85762</v>
      </c>
    </row>
    <row r="18" spans="1:14" x14ac:dyDescent="0.25">
      <c r="A18" s="149" t="s">
        <v>723</v>
      </c>
      <c r="B18" s="150" t="s">
        <v>19</v>
      </c>
      <c r="C18" s="149" t="s">
        <v>632</v>
      </c>
      <c r="E18" s="126" t="s">
        <v>154</v>
      </c>
      <c r="F18" s="5">
        <v>58</v>
      </c>
      <c r="G18" s="5">
        <v>76</v>
      </c>
      <c r="H18" s="15">
        <f t="shared" si="0"/>
        <v>353.79999999999995</v>
      </c>
      <c r="M18" s="4" t="s">
        <v>241</v>
      </c>
      <c r="N18" s="15">
        <f>N8+N11+N15+N16+N17</f>
        <v>1515124</v>
      </c>
    </row>
    <row r="19" spans="1:14" x14ac:dyDescent="0.25">
      <c r="A19" s="151" t="s">
        <v>20</v>
      </c>
      <c r="B19" s="152">
        <v>2250</v>
      </c>
      <c r="C19" s="153"/>
      <c r="E19" s="126" t="s">
        <v>155</v>
      </c>
      <c r="F19" s="5">
        <v>183</v>
      </c>
      <c r="G19" s="5">
        <v>221</v>
      </c>
      <c r="H19" s="15">
        <f t="shared" si="0"/>
        <v>1116.3</v>
      </c>
      <c r="M19" s="4" t="s">
        <v>268</v>
      </c>
      <c r="N19" s="225">
        <v>75756.2</v>
      </c>
    </row>
    <row r="20" spans="1:14" x14ac:dyDescent="0.25">
      <c r="A20" s="151" t="s">
        <v>21</v>
      </c>
      <c r="B20" s="152">
        <v>3230</v>
      </c>
      <c r="C20" s="153"/>
      <c r="E20" s="126" t="s">
        <v>156</v>
      </c>
      <c r="F20" s="5">
        <v>316</v>
      </c>
      <c r="G20" s="5">
        <v>389</v>
      </c>
      <c r="H20" s="15">
        <f t="shared" si="0"/>
        <v>1927.6</v>
      </c>
      <c r="M20" s="4" t="s">
        <v>269</v>
      </c>
      <c r="N20" s="15">
        <v>159088</v>
      </c>
    </row>
    <row r="21" spans="1:14" x14ac:dyDescent="0.25">
      <c r="A21" s="151" t="s">
        <v>22</v>
      </c>
      <c r="B21" s="152">
        <v>4680</v>
      </c>
      <c r="C21" s="153"/>
      <c r="E21" s="126" t="s">
        <v>157</v>
      </c>
      <c r="F21" s="5">
        <v>44</v>
      </c>
      <c r="G21" s="5">
        <v>52</v>
      </c>
      <c r="H21" s="15">
        <f t="shared" si="0"/>
        <v>268.39999999999998</v>
      </c>
      <c r="M21" s="4" t="s">
        <v>144</v>
      </c>
      <c r="N21" s="225">
        <f>N18+N19+N20</f>
        <v>1749968.2</v>
      </c>
    </row>
    <row r="22" spans="1:14" x14ac:dyDescent="0.25">
      <c r="A22" s="154" t="s">
        <v>23</v>
      </c>
      <c r="B22" s="155">
        <v>4599</v>
      </c>
      <c r="C22" s="150"/>
      <c r="E22" s="126" t="s">
        <v>31</v>
      </c>
      <c r="F22" s="5">
        <v>645</v>
      </c>
      <c r="G22" s="5">
        <v>790</v>
      </c>
      <c r="H22" s="15">
        <f t="shared" si="0"/>
        <v>3934.4999999999995</v>
      </c>
      <c r="M22" s="4"/>
      <c r="N22" s="7"/>
    </row>
    <row r="23" spans="1:14" x14ac:dyDescent="0.25">
      <c r="A23" s="153" t="s">
        <v>32</v>
      </c>
      <c r="B23" s="152">
        <f>SUM(B19:B22)</f>
        <v>14759</v>
      </c>
      <c r="C23" s="153"/>
      <c r="E23" s="4" t="s">
        <v>144</v>
      </c>
      <c r="F23" s="5">
        <v>4077</v>
      </c>
      <c r="G23" s="5">
        <v>5328</v>
      </c>
      <c r="H23" s="15">
        <f t="shared" si="0"/>
        <v>24869.699999999997</v>
      </c>
      <c r="M23" s="4" t="s">
        <v>476</v>
      </c>
      <c r="N23" s="7">
        <v>110</v>
      </c>
    </row>
    <row r="24" spans="1:14" x14ac:dyDescent="0.25">
      <c r="E24" s="4" t="s">
        <v>146</v>
      </c>
      <c r="F24" s="5" t="s">
        <v>161</v>
      </c>
      <c r="G24" s="5" t="s">
        <v>162</v>
      </c>
      <c r="H24" s="7"/>
      <c r="M24" s="4"/>
      <c r="N24" s="7"/>
    </row>
    <row r="25" spans="1:14" x14ac:dyDescent="0.25">
      <c r="A25" s="142" t="s">
        <v>24</v>
      </c>
      <c r="B25" s="135"/>
      <c r="C25" s="142" t="s">
        <v>628</v>
      </c>
      <c r="E25" s="3" t="s">
        <v>145</v>
      </c>
      <c r="F25" s="2">
        <v>0.48799999999999999</v>
      </c>
      <c r="G25" s="2">
        <v>0.38</v>
      </c>
      <c r="H25" s="6"/>
      <c r="M25" s="4"/>
      <c r="N25" s="7"/>
    </row>
    <row r="26" spans="1:14" x14ac:dyDescent="0.25">
      <c r="A26" s="143" t="s">
        <v>25</v>
      </c>
      <c r="B26" s="144">
        <v>3120</v>
      </c>
      <c r="C26" s="145"/>
      <c r="E26" s="4"/>
      <c r="M26" s="4" t="s">
        <v>116</v>
      </c>
      <c r="N26" s="7" t="s">
        <v>623</v>
      </c>
    </row>
    <row r="27" spans="1:14" x14ac:dyDescent="0.25">
      <c r="A27" s="143" t="s">
        <v>26</v>
      </c>
      <c r="B27" s="144">
        <v>4220</v>
      </c>
      <c r="C27" s="145"/>
      <c r="E27" s="4"/>
      <c r="M27" s="4" t="s">
        <v>474</v>
      </c>
      <c r="N27" s="7">
        <v>30</v>
      </c>
    </row>
    <row r="28" spans="1:14" x14ac:dyDescent="0.25">
      <c r="A28" s="143" t="s">
        <v>27</v>
      </c>
      <c r="B28" s="144">
        <v>6250</v>
      </c>
      <c r="C28" s="145"/>
      <c r="E28" s="4"/>
      <c r="M28" s="4" t="s">
        <v>255</v>
      </c>
      <c r="N28" s="7">
        <v>5</v>
      </c>
    </row>
    <row r="29" spans="1:14" x14ac:dyDescent="0.25">
      <c r="A29" s="143" t="s">
        <v>28</v>
      </c>
      <c r="B29" s="144">
        <v>5250</v>
      </c>
      <c r="C29" s="145"/>
      <c r="E29" s="4"/>
      <c r="M29" s="4" t="s">
        <v>475</v>
      </c>
      <c r="N29" s="7">
        <v>100</v>
      </c>
    </row>
    <row r="30" spans="1:14" x14ac:dyDescent="0.25">
      <c r="A30" s="143" t="s">
        <v>29</v>
      </c>
      <c r="B30" s="144">
        <v>7250</v>
      </c>
      <c r="C30" s="145"/>
      <c r="E30" s="4"/>
      <c r="M30" s="3" t="s">
        <v>477</v>
      </c>
      <c r="N30" s="6" t="s">
        <v>388</v>
      </c>
    </row>
    <row r="31" spans="1:14" x14ac:dyDescent="0.25">
      <c r="A31" s="146" t="s">
        <v>30</v>
      </c>
      <c r="B31" s="147">
        <v>150</v>
      </c>
      <c r="C31" s="135"/>
      <c r="E31" s="4"/>
      <c r="M31" s="4"/>
    </row>
    <row r="32" spans="1:14" x14ac:dyDescent="0.25">
      <c r="A32" s="145" t="s">
        <v>33</v>
      </c>
      <c r="B32" s="144">
        <f>SUM(B26:B31)</f>
        <v>26240</v>
      </c>
      <c r="C32" s="145"/>
      <c r="E32" s="4"/>
      <c r="M32" s="4"/>
    </row>
    <row r="33" spans="1:15" x14ac:dyDescent="0.25">
      <c r="E33" s="4"/>
      <c r="M33" s="4"/>
    </row>
    <row r="34" spans="1:15" x14ac:dyDescent="0.25">
      <c r="A34" s="159" t="s">
        <v>634</v>
      </c>
      <c r="B34" s="158" t="s">
        <v>125</v>
      </c>
      <c r="C34" t="s">
        <v>740</v>
      </c>
      <c r="E34" s="4"/>
      <c r="M34" s="4"/>
    </row>
    <row r="35" spans="1:15" x14ac:dyDescent="0.25">
      <c r="A35" s="158" t="s">
        <v>126</v>
      </c>
      <c r="B35" s="160" t="s">
        <v>633</v>
      </c>
      <c r="C35" s="45">
        <f>AVERAGE(3751,4000)*1000</f>
        <v>3875500</v>
      </c>
      <c r="D35" s="60">
        <f>C35/6100</f>
        <v>635.32786885245901</v>
      </c>
      <c r="E35" s="4"/>
      <c r="M35" s="4"/>
    </row>
    <row r="36" spans="1:15" x14ac:dyDescent="0.25">
      <c r="E36" s="4"/>
      <c r="M36" s="4"/>
    </row>
    <row r="37" spans="1:15" x14ac:dyDescent="0.25">
      <c r="A37" t="s">
        <v>722</v>
      </c>
      <c r="E37" s="4"/>
      <c r="M37" s="4"/>
    </row>
    <row r="38" spans="1:15" x14ac:dyDescent="0.25">
      <c r="A38" s="157" t="s">
        <v>8</v>
      </c>
      <c r="E38" s="4"/>
      <c r="M38" s="4"/>
    </row>
    <row r="39" spans="1:15" x14ac:dyDescent="0.25">
      <c r="A39" t="s">
        <v>9</v>
      </c>
      <c r="E39" s="4"/>
      <c r="M39" s="4"/>
    </row>
    <row r="40" spans="1:15" s="164" customFormat="1" ht="15.75" thickBot="1" x14ac:dyDescent="0.3">
      <c r="E40" s="256"/>
      <c r="M40" s="256"/>
    </row>
    <row r="41" spans="1:15" ht="15.75" thickTop="1" x14ac:dyDescent="0.25">
      <c r="E41" s="131" t="s">
        <v>377</v>
      </c>
      <c r="M41" s="131" t="s">
        <v>377</v>
      </c>
      <c r="N41" s="5"/>
      <c r="O41" s="5"/>
    </row>
    <row r="42" spans="1:15" x14ac:dyDescent="0.25">
      <c r="E42" s="21"/>
      <c r="F42" s="254" t="s">
        <v>159</v>
      </c>
      <c r="G42" s="254" t="s">
        <v>160</v>
      </c>
      <c r="H42" s="255" t="s">
        <v>159</v>
      </c>
      <c r="I42" s="166" t="s">
        <v>479</v>
      </c>
      <c r="J42" s="20"/>
      <c r="M42" s="8" t="s">
        <v>116</v>
      </c>
      <c r="N42" s="20" t="s">
        <v>253</v>
      </c>
    </row>
    <row r="43" spans="1:15" x14ac:dyDescent="0.25">
      <c r="E43" s="4"/>
      <c r="F43" s="124" t="s">
        <v>158</v>
      </c>
      <c r="G43" s="124"/>
      <c r="H43" s="7"/>
      <c r="I43" s="126" t="s">
        <v>483</v>
      </c>
      <c r="J43" s="7">
        <v>6.1</v>
      </c>
      <c r="M43" s="4" t="s">
        <v>254</v>
      </c>
      <c r="N43" s="7">
        <v>30</v>
      </c>
    </row>
    <row r="44" spans="1:15" x14ac:dyDescent="0.25">
      <c r="E44" s="4" t="s">
        <v>148</v>
      </c>
      <c r="F44" s="124" t="s">
        <v>63</v>
      </c>
      <c r="G44" s="124" t="s">
        <v>63</v>
      </c>
      <c r="H44" s="7" t="s">
        <v>369</v>
      </c>
      <c r="I44" s="126" t="s">
        <v>485</v>
      </c>
      <c r="J44" s="7">
        <v>150.69999999999999</v>
      </c>
      <c r="M44" s="4" t="s">
        <v>255</v>
      </c>
      <c r="N44" s="7">
        <v>5</v>
      </c>
    </row>
    <row r="45" spans="1:15" x14ac:dyDescent="0.25">
      <c r="E45" s="4" t="s">
        <v>134</v>
      </c>
      <c r="F45" s="16">
        <f>1.0197*F6</f>
        <v>1326.6297</v>
      </c>
      <c r="G45" s="16">
        <f>1.0197*G6</f>
        <v>1326.6297</v>
      </c>
      <c r="H45" s="15">
        <f>1.0197*H6</f>
        <v>8092.4411700000001</v>
      </c>
      <c r="I45" s="126" t="s">
        <v>486</v>
      </c>
      <c r="J45" s="7">
        <v>101.8</v>
      </c>
      <c r="M45" s="4" t="s">
        <v>256</v>
      </c>
      <c r="N45" s="7">
        <v>100</v>
      </c>
    </row>
    <row r="46" spans="1:15" x14ac:dyDescent="0.25">
      <c r="E46" s="4" t="s">
        <v>136</v>
      </c>
      <c r="F46" s="16"/>
      <c r="G46" s="16"/>
      <c r="H46" s="15"/>
      <c r="I46" s="126" t="s">
        <v>487</v>
      </c>
      <c r="J46" s="7">
        <v>80</v>
      </c>
      <c r="M46" s="173" t="s">
        <v>257</v>
      </c>
      <c r="N46" s="243" t="s">
        <v>258</v>
      </c>
    </row>
    <row r="47" spans="1:15" x14ac:dyDescent="0.25">
      <c r="E47" s="126" t="s">
        <v>4</v>
      </c>
      <c r="F47" s="16">
        <f t="shared" ref="F47:H54" si="1">1.0197*F8</f>
        <v>140.71860000000001</v>
      </c>
      <c r="G47" s="16">
        <f t="shared" si="1"/>
        <v>168.25050000000002</v>
      </c>
      <c r="H47" s="15">
        <f t="shared" si="1"/>
        <v>858.38346000000001</v>
      </c>
      <c r="I47" s="126" t="s">
        <v>482</v>
      </c>
      <c r="J47" s="7">
        <v>25</v>
      </c>
      <c r="M47" s="8" t="s">
        <v>259</v>
      </c>
      <c r="N47" s="79">
        <f t="shared" ref="N47:N60" si="2">1.0197*N8</f>
        <v>245388.76560000001</v>
      </c>
    </row>
    <row r="48" spans="1:15" x14ac:dyDescent="0.25">
      <c r="E48" s="126" t="s">
        <v>10</v>
      </c>
      <c r="F48" s="16">
        <f t="shared" si="1"/>
        <v>71.379000000000005</v>
      </c>
      <c r="G48" s="16">
        <f t="shared" si="1"/>
        <v>86.674500000000009</v>
      </c>
      <c r="H48" s="15">
        <f t="shared" si="1"/>
        <v>435.4119</v>
      </c>
      <c r="I48" s="126" t="s">
        <v>488</v>
      </c>
      <c r="J48" s="174" t="s">
        <v>489</v>
      </c>
      <c r="M48" s="4" t="s">
        <v>260</v>
      </c>
      <c r="N48" s="15">
        <f t="shared" si="2"/>
        <v>665872.25760000001</v>
      </c>
    </row>
    <row r="49" spans="5:14" x14ac:dyDescent="0.25">
      <c r="E49" s="126" t="s">
        <v>149</v>
      </c>
      <c r="F49" s="16">
        <f t="shared" si="1"/>
        <v>833.09490000000005</v>
      </c>
      <c r="G49" s="16">
        <f t="shared" si="1"/>
        <v>1466.3286000000001</v>
      </c>
      <c r="H49" s="15">
        <f t="shared" si="1"/>
        <v>5081.87889</v>
      </c>
      <c r="I49" s="126" t="s">
        <v>490</v>
      </c>
      <c r="J49" s="7">
        <v>3</v>
      </c>
      <c r="M49" s="4" t="s">
        <v>261</v>
      </c>
      <c r="N49" s="15">
        <f t="shared" si="2"/>
        <v>128270.1024</v>
      </c>
    </row>
    <row r="50" spans="5:14" x14ac:dyDescent="0.25">
      <c r="E50" s="126" t="s">
        <v>150</v>
      </c>
      <c r="F50" s="16">
        <f t="shared" si="1"/>
        <v>59.142600000000002</v>
      </c>
      <c r="G50" s="16">
        <f t="shared" si="1"/>
        <v>44.866800000000005</v>
      </c>
      <c r="H50" s="15">
        <f t="shared" si="1"/>
        <v>360.76985999999999</v>
      </c>
      <c r="I50" s="126" t="s">
        <v>491</v>
      </c>
      <c r="J50" s="7">
        <v>25</v>
      </c>
      <c r="M50" s="4" t="s">
        <v>262</v>
      </c>
      <c r="N50" s="15">
        <f t="shared" si="2"/>
        <v>794142.36</v>
      </c>
    </row>
    <row r="51" spans="5:14" x14ac:dyDescent="0.25">
      <c r="E51" s="126" t="s">
        <v>141</v>
      </c>
      <c r="F51" s="16">
        <f t="shared" si="1"/>
        <v>775.99170000000004</v>
      </c>
      <c r="G51" s="16">
        <f t="shared" si="1"/>
        <v>998.2863000000001</v>
      </c>
      <c r="H51" s="15">
        <f t="shared" si="1"/>
        <v>4733.5493699999997</v>
      </c>
      <c r="I51" s="126" t="s">
        <v>492</v>
      </c>
      <c r="J51" s="7">
        <v>0.47</v>
      </c>
      <c r="M51" s="4" t="s">
        <v>263</v>
      </c>
      <c r="N51" s="15">
        <f t="shared" si="2"/>
        <v>62196.601500000004</v>
      </c>
    </row>
    <row r="52" spans="5:14" x14ac:dyDescent="0.25">
      <c r="E52" s="126" t="s">
        <v>140</v>
      </c>
      <c r="F52" s="16">
        <f t="shared" si="1"/>
        <v>201.9006</v>
      </c>
      <c r="G52" s="16">
        <f t="shared" si="1"/>
        <v>447.64830000000001</v>
      </c>
      <c r="H52" s="15">
        <f t="shared" si="1"/>
        <v>1231.59366</v>
      </c>
      <c r="I52" s="126" t="s">
        <v>501</v>
      </c>
      <c r="J52" s="7">
        <v>7.67</v>
      </c>
      <c r="M52" s="4" t="s">
        <v>264</v>
      </c>
      <c r="N52" s="15">
        <f t="shared" si="2"/>
        <v>218161.75590000002</v>
      </c>
    </row>
    <row r="53" spans="5:14" x14ac:dyDescent="0.25">
      <c r="E53" s="126" t="s">
        <v>151</v>
      </c>
      <c r="F53" s="16">
        <f t="shared" si="1"/>
        <v>89.73360000000001</v>
      </c>
      <c r="G53" s="16">
        <f t="shared" si="1"/>
        <v>89.73360000000001</v>
      </c>
      <c r="H53" s="15">
        <f t="shared" si="1"/>
        <v>547.37495999999999</v>
      </c>
      <c r="I53" s="126" t="s">
        <v>502</v>
      </c>
      <c r="J53" s="7">
        <v>8.3000000000000007</v>
      </c>
      <c r="M53" s="4" t="s">
        <v>265</v>
      </c>
      <c r="N53" s="15">
        <f t="shared" si="2"/>
        <v>61367.585400000004</v>
      </c>
    </row>
    <row r="54" spans="5:14" x14ac:dyDescent="0.25">
      <c r="E54" s="126" t="s">
        <v>31</v>
      </c>
      <c r="F54" s="16">
        <f t="shared" si="1"/>
        <v>2172.9807000000001</v>
      </c>
      <c r="G54" s="16">
        <f t="shared" si="1"/>
        <v>3300.7689</v>
      </c>
      <c r="H54" s="15">
        <f t="shared" si="1"/>
        <v>13255.182269999999</v>
      </c>
      <c r="I54" s="126" t="s">
        <v>495</v>
      </c>
      <c r="J54" s="7">
        <v>2.1</v>
      </c>
      <c r="M54" s="4" t="s">
        <v>266</v>
      </c>
      <c r="N54" s="15">
        <f t="shared" si="2"/>
        <v>341715.74580000003</v>
      </c>
    </row>
    <row r="55" spans="5:14" x14ac:dyDescent="0.25">
      <c r="E55" s="4" t="s">
        <v>152</v>
      </c>
      <c r="F55" s="16"/>
      <c r="G55" s="16"/>
      <c r="H55" s="15"/>
      <c r="I55" s="126" t="s">
        <v>496</v>
      </c>
      <c r="J55" s="7">
        <v>0.1</v>
      </c>
      <c r="M55" s="4" t="s">
        <v>242</v>
      </c>
      <c r="N55" s="15">
        <f t="shared" si="2"/>
        <v>76273.56</v>
      </c>
    </row>
    <row r="56" spans="5:14" x14ac:dyDescent="0.25">
      <c r="E56" s="126" t="s">
        <v>153</v>
      </c>
      <c r="F56" s="16">
        <f t="shared" ref="F56:H62" si="3">1.0197*F17</f>
        <v>44.866800000000005</v>
      </c>
      <c r="G56" s="16">
        <f t="shared" si="3"/>
        <v>53.0244</v>
      </c>
      <c r="H56" s="15">
        <f t="shared" si="3"/>
        <v>273.68747999999999</v>
      </c>
      <c r="I56" s="126"/>
      <c r="J56" s="7"/>
      <c r="M56" s="4" t="s">
        <v>267</v>
      </c>
      <c r="N56" s="15">
        <f t="shared" si="2"/>
        <v>87451.511400000003</v>
      </c>
    </row>
    <row r="57" spans="5:14" x14ac:dyDescent="0.25">
      <c r="E57" s="126" t="s">
        <v>154</v>
      </c>
      <c r="F57" s="16">
        <f t="shared" si="3"/>
        <v>59.142600000000002</v>
      </c>
      <c r="G57" s="16">
        <f t="shared" si="3"/>
        <v>77.497200000000007</v>
      </c>
      <c r="H57" s="15">
        <f t="shared" si="3"/>
        <v>360.76985999999999</v>
      </c>
      <c r="I57" s="126" t="s">
        <v>497</v>
      </c>
      <c r="J57" s="168">
        <v>0.20899999999999999</v>
      </c>
      <c r="M57" s="4" t="s">
        <v>241</v>
      </c>
      <c r="N57" s="15">
        <f t="shared" si="2"/>
        <v>1544971.9428000001</v>
      </c>
    </row>
    <row r="58" spans="5:14" x14ac:dyDescent="0.25">
      <c r="E58" s="126" t="s">
        <v>155</v>
      </c>
      <c r="F58" s="16">
        <f t="shared" si="3"/>
        <v>186.60510000000002</v>
      </c>
      <c r="G58" s="16">
        <f t="shared" si="3"/>
        <v>225.3537</v>
      </c>
      <c r="H58" s="15">
        <f t="shared" si="3"/>
        <v>1138.2911100000001</v>
      </c>
      <c r="I58" s="126" t="s">
        <v>498</v>
      </c>
      <c r="J58" s="168">
        <v>0.98</v>
      </c>
      <c r="M58" s="4" t="s">
        <v>268</v>
      </c>
      <c r="N58" s="15">
        <f t="shared" si="2"/>
        <v>77248.597139999998</v>
      </c>
    </row>
    <row r="59" spans="5:14" x14ac:dyDescent="0.25">
      <c r="E59" s="126" t="s">
        <v>156</v>
      </c>
      <c r="F59" s="16">
        <f t="shared" si="3"/>
        <v>322.22520000000003</v>
      </c>
      <c r="G59" s="16">
        <f t="shared" si="3"/>
        <v>396.66329999999999</v>
      </c>
      <c r="H59" s="15">
        <f t="shared" si="3"/>
        <v>1965.5737200000001</v>
      </c>
      <c r="I59" s="126" t="s">
        <v>499</v>
      </c>
      <c r="J59" s="7">
        <v>3328</v>
      </c>
      <c r="M59" s="4" t="s">
        <v>269</v>
      </c>
      <c r="N59" s="15">
        <f t="shared" si="2"/>
        <v>162222.0336</v>
      </c>
    </row>
    <row r="60" spans="5:14" x14ac:dyDescent="0.25">
      <c r="E60" s="126" t="s">
        <v>157</v>
      </c>
      <c r="F60" s="16">
        <f t="shared" si="3"/>
        <v>44.866800000000005</v>
      </c>
      <c r="G60" s="16">
        <f t="shared" si="3"/>
        <v>53.0244</v>
      </c>
      <c r="H60" s="15">
        <f t="shared" si="3"/>
        <v>273.68747999999999</v>
      </c>
      <c r="I60" s="128" t="s">
        <v>500</v>
      </c>
      <c r="J60" s="252">
        <v>0.38</v>
      </c>
      <c r="M60" s="3" t="s">
        <v>144</v>
      </c>
      <c r="N60" s="31">
        <f t="shared" si="2"/>
        <v>1784442.57354</v>
      </c>
    </row>
    <row r="61" spans="5:14" x14ac:dyDescent="0.25">
      <c r="E61" s="126" t="s">
        <v>31</v>
      </c>
      <c r="F61" s="16">
        <f t="shared" si="3"/>
        <v>657.70650000000001</v>
      </c>
      <c r="G61" s="16">
        <f t="shared" si="3"/>
        <v>805.56299999999999</v>
      </c>
      <c r="H61" s="15">
        <f t="shared" si="3"/>
        <v>4012.0096499999995</v>
      </c>
      <c r="I61" s="4"/>
      <c r="M61" s="4"/>
    </row>
    <row r="62" spans="5:14" x14ac:dyDescent="0.25">
      <c r="E62" s="3" t="s">
        <v>144</v>
      </c>
      <c r="F62" s="28">
        <f t="shared" si="3"/>
        <v>4157.3168999999998</v>
      </c>
      <c r="G62" s="28">
        <f t="shared" si="3"/>
        <v>5432.9616000000005</v>
      </c>
      <c r="H62" s="31">
        <f t="shared" si="3"/>
        <v>25359.633089999999</v>
      </c>
      <c r="I62" s="4"/>
      <c r="M62" s="4"/>
    </row>
    <row r="64" spans="5:14" s="164" customFormat="1" ht="15.75" thickBot="1" x14ac:dyDescent="0.3"/>
    <row r="65" spans="1:5" ht="15.75" thickTop="1" x14ac:dyDescent="0.25">
      <c r="A65" s="57" t="s">
        <v>724</v>
      </c>
      <c r="B65" s="258" t="s">
        <v>625</v>
      </c>
    </row>
    <row r="66" spans="1:5" ht="60" x14ac:dyDescent="0.25">
      <c r="A66" s="121" t="s">
        <v>725</v>
      </c>
      <c r="E66" s="259" t="s">
        <v>726</v>
      </c>
    </row>
  </sheetData>
  <mergeCells count="7">
    <mergeCell ref="A2:B2"/>
    <mergeCell ref="B11:C11"/>
    <mergeCell ref="B14:C14"/>
    <mergeCell ref="B15:C15"/>
    <mergeCell ref="B10:C10"/>
    <mergeCell ref="B12:C12"/>
    <mergeCell ref="B13:C13"/>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B30" sqref="B30"/>
    </sheetView>
  </sheetViews>
  <sheetFormatPr defaultRowHeight="15" x14ac:dyDescent="0.25"/>
  <cols>
    <col min="1" max="1" width="37.28515625" customWidth="1"/>
    <col min="2" max="2" width="8.28515625" customWidth="1"/>
    <col min="3" max="3" width="10" bestFit="1" customWidth="1"/>
    <col min="5" max="5" width="9.140625" customWidth="1"/>
    <col min="6" max="6" width="35.7109375" bestFit="1" customWidth="1"/>
    <col min="7" max="8" width="10" bestFit="1" customWidth="1"/>
  </cols>
  <sheetData>
    <row r="1" spans="1:7" x14ac:dyDescent="0.25">
      <c r="A1" s="2" t="s">
        <v>624</v>
      </c>
      <c r="B1" s="2"/>
      <c r="C1" s="2" t="s">
        <v>478</v>
      </c>
      <c r="D1" s="5"/>
      <c r="F1" s="166" t="s">
        <v>479</v>
      </c>
      <c r="G1" s="20"/>
    </row>
    <row r="2" spans="1:7" x14ac:dyDescent="0.25">
      <c r="A2" s="239" t="s">
        <v>635</v>
      </c>
      <c r="B2" s="5" t="s">
        <v>95</v>
      </c>
      <c r="C2" s="7"/>
      <c r="F2" s="253" t="s">
        <v>483</v>
      </c>
      <c r="G2" s="20">
        <v>2.6</v>
      </c>
    </row>
    <row r="3" spans="1:7" x14ac:dyDescent="0.25">
      <c r="A3" s="4" t="s">
        <v>128</v>
      </c>
      <c r="B3" s="5" t="s">
        <v>135</v>
      </c>
      <c r="C3" s="7"/>
      <c r="F3" s="250" t="s">
        <v>485</v>
      </c>
      <c r="G3" s="7">
        <v>121.2</v>
      </c>
    </row>
    <row r="4" spans="1:7" x14ac:dyDescent="0.25">
      <c r="A4" s="3" t="s">
        <v>129</v>
      </c>
      <c r="B4" s="122" t="s">
        <v>63</v>
      </c>
      <c r="C4" s="123" t="s">
        <v>79</v>
      </c>
      <c r="F4" s="250" t="s">
        <v>486</v>
      </c>
      <c r="G4" s="7">
        <v>90.1</v>
      </c>
    </row>
    <row r="5" spans="1:7" x14ac:dyDescent="0.25">
      <c r="A5" s="126" t="s">
        <v>131</v>
      </c>
      <c r="B5" s="5">
        <v>287</v>
      </c>
      <c r="C5" s="15">
        <f>B5*2600</f>
        <v>746200</v>
      </c>
      <c r="F5" s="250" t="s">
        <v>487</v>
      </c>
      <c r="G5" s="7">
        <v>80</v>
      </c>
    </row>
    <row r="6" spans="1:7" x14ac:dyDescent="0.25">
      <c r="A6" s="126" t="s">
        <v>132</v>
      </c>
      <c r="B6" s="5">
        <v>488</v>
      </c>
      <c r="C6" s="15">
        <f t="shared" ref="C6:C21" si="0">B6*2600</f>
        <v>1268800</v>
      </c>
      <c r="F6" s="250" t="s">
        <v>480</v>
      </c>
      <c r="G6" s="7">
        <v>79</v>
      </c>
    </row>
    <row r="7" spans="1:7" x14ac:dyDescent="0.25">
      <c r="A7" s="126" t="s">
        <v>133</v>
      </c>
      <c r="B7" s="5">
        <v>215</v>
      </c>
      <c r="C7" s="15">
        <f t="shared" si="0"/>
        <v>559000</v>
      </c>
      <c r="F7" s="250" t="s">
        <v>484</v>
      </c>
      <c r="G7" s="7">
        <v>200</v>
      </c>
    </row>
    <row r="8" spans="1:7" x14ac:dyDescent="0.25">
      <c r="A8" s="126" t="s">
        <v>134</v>
      </c>
      <c r="B8" s="5">
        <v>991</v>
      </c>
      <c r="C8" s="15">
        <f t="shared" si="0"/>
        <v>2576600</v>
      </c>
      <c r="F8" s="250" t="s">
        <v>481</v>
      </c>
      <c r="G8" s="7">
        <v>450</v>
      </c>
    </row>
    <row r="9" spans="1:7" x14ac:dyDescent="0.25">
      <c r="A9" s="8" t="s">
        <v>136</v>
      </c>
      <c r="B9" s="19"/>
      <c r="C9" s="79">
        <f t="shared" si="0"/>
        <v>0</v>
      </c>
      <c r="F9" s="250" t="s">
        <v>482</v>
      </c>
      <c r="G9" s="7">
        <v>25</v>
      </c>
    </row>
    <row r="10" spans="1:7" x14ac:dyDescent="0.25">
      <c r="A10" s="126" t="s">
        <v>137</v>
      </c>
      <c r="B10" s="5">
        <v>16</v>
      </c>
      <c r="C10" s="15">
        <f t="shared" si="0"/>
        <v>41600</v>
      </c>
      <c r="F10" s="250" t="s">
        <v>488</v>
      </c>
      <c r="G10" s="7" t="s">
        <v>489</v>
      </c>
    </row>
    <row r="11" spans="1:7" x14ac:dyDescent="0.25">
      <c r="A11" s="126" t="s">
        <v>10</v>
      </c>
      <c r="B11" s="5">
        <v>18</v>
      </c>
      <c r="C11" s="15">
        <f t="shared" si="0"/>
        <v>46800</v>
      </c>
      <c r="F11" s="250" t="s">
        <v>490</v>
      </c>
      <c r="G11" s="7">
        <v>3</v>
      </c>
    </row>
    <row r="12" spans="1:7" x14ac:dyDescent="0.25">
      <c r="A12" s="126" t="s">
        <v>138</v>
      </c>
      <c r="B12" s="5">
        <v>59</v>
      </c>
      <c r="C12" s="15">
        <f t="shared" si="0"/>
        <v>153400</v>
      </c>
      <c r="F12" s="250" t="s">
        <v>491</v>
      </c>
      <c r="G12" s="7">
        <v>25</v>
      </c>
    </row>
    <row r="13" spans="1:7" x14ac:dyDescent="0.25">
      <c r="A13" s="126" t="s">
        <v>139</v>
      </c>
      <c r="B13" s="5">
        <v>44</v>
      </c>
      <c r="C13" s="15">
        <f t="shared" si="0"/>
        <v>114400</v>
      </c>
      <c r="F13" s="250" t="s">
        <v>492</v>
      </c>
      <c r="G13" s="7">
        <v>0.47</v>
      </c>
    </row>
    <row r="14" spans="1:7" x14ac:dyDescent="0.25">
      <c r="A14" s="126" t="s">
        <v>140</v>
      </c>
      <c r="B14" s="5">
        <v>44</v>
      </c>
      <c r="C14" s="15">
        <f t="shared" si="0"/>
        <v>114400</v>
      </c>
      <c r="F14" s="250" t="s">
        <v>493</v>
      </c>
      <c r="G14" s="7">
        <v>7.25</v>
      </c>
    </row>
    <row r="15" spans="1:7" x14ac:dyDescent="0.25">
      <c r="A15" s="126" t="s">
        <v>141</v>
      </c>
      <c r="B15" s="5">
        <v>145</v>
      </c>
      <c r="C15" s="15">
        <f t="shared" si="0"/>
        <v>377000</v>
      </c>
      <c r="F15" s="250" t="s">
        <v>494</v>
      </c>
      <c r="G15" s="7">
        <v>7.89</v>
      </c>
    </row>
    <row r="16" spans="1:7" x14ac:dyDescent="0.25">
      <c r="A16" s="128" t="s">
        <v>31</v>
      </c>
      <c r="B16" s="2">
        <v>326</v>
      </c>
      <c r="C16" s="31">
        <f t="shared" si="0"/>
        <v>847600</v>
      </c>
      <c r="F16" s="250" t="s">
        <v>495</v>
      </c>
      <c r="G16" s="7">
        <v>2</v>
      </c>
    </row>
    <row r="17" spans="1:7" x14ac:dyDescent="0.25">
      <c r="A17" s="4" t="s">
        <v>130</v>
      </c>
      <c r="B17" s="5"/>
      <c r="C17" s="15">
        <f t="shared" si="0"/>
        <v>0</v>
      </c>
      <c r="F17" s="250" t="s">
        <v>496</v>
      </c>
      <c r="G17" s="7">
        <v>0.14299999999999999</v>
      </c>
    </row>
    <row r="18" spans="1:7" x14ac:dyDescent="0.25">
      <c r="A18" s="126" t="s">
        <v>142</v>
      </c>
      <c r="B18" s="5">
        <v>34</v>
      </c>
      <c r="C18" s="15">
        <f t="shared" si="0"/>
        <v>88400</v>
      </c>
      <c r="F18" s="4"/>
      <c r="G18" s="7"/>
    </row>
    <row r="19" spans="1:7" x14ac:dyDescent="0.25">
      <c r="A19" s="126" t="s">
        <v>143</v>
      </c>
      <c r="B19" s="5">
        <v>86</v>
      </c>
      <c r="C19" s="15">
        <f t="shared" si="0"/>
        <v>223600</v>
      </c>
      <c r="F19" s="250" t="s">
        <v>497</v>
      </c>
      <c r="G19" s="168">
        <v>0.15</v>
      </c>
    </row>
    <row r="20" spans="1:7" x14ac:dyDescent="0.25">
      <c r="A20" s="126" t="s">
        <v>31</v>
      </c>
      <c r="B20" s="5">
        <v>120</v>
      </c>
      <c r="C20" s="15">
        <f t="shared" si="0"/>
        <v>312000</v>
      </c>
      <c r="F20" s="250" t="s">
        <v>498</v>
      </c>
      <c r="G20" s="168">
        <v>0.98</v>
      </c>
    </row>
    <row r="21" spans="1:7" x14ac:dyDescent="0.25">
      <c r="A21" s="3" t="s">
        <v>144</v>
      </c>
      <c r="B21" s="127">
        <v>1436</v>
      </c>
      <c r="C21" s="31">
        <f t="shared" si="0"/>
        <v>3733600</v>
      </c>
      <c r="F21" s="250" t="s">
        <v>499</v>
      </c>
      <c r="G21" s="7">
        <v>3734</v>
      </c>
    </row>
    <row r="22" spans="1:7" x14ac:dyDescent="0.25">
      <c r="A22" t="s">
        <v>145</v>
      </c>
      <c r="B22">
        <v>0.42599999999999999</v>
      </c>
      <c r="F22" s="251" t="s">
        <v>500</v>
      </c>
      <c r="G22" s="252">
        <v>0.42599999999999999</v>
      </c>
    </row>
    <row r="23" spans="1:7" x14ac:dyDescent="0.25">
      <c r="A23" t="s">
        <v>146</v>
      </c>
      <c r="B23" t="s">
        <v>147</v>
      </c>
    </row>
    <row r="24" spans="1:7" s="164" customFormat="1" ht="15.75" thickBot="1" x14ac:dyDescent="0.3"/>
    <row r="25" spans="1:7" ht="15.75" thickTop="1" x14ac:dyDescent="0.25"/>
    <row r="26" spans="1:7" x14ac:dyDescent="0.25">
      <c r="A26" s="132" t="s">
        <v>377</v>
      </c>
      <c r="B26" s="17" t="s">
        <v>95</v>
      </c>
      <c r="C26" s="42"/>
    </row>
    <row r="27" spans="1:7" x14ac:dyDescent="0.25">
      <c r="A27" s="8" t="s">
        <v>128</v>
      </c>
      <c r="B27" s="19" t="s">
        <v>135</v>
      </c>
      <c r="C27" s="20"/>
    </row>
    <row r="28" spans="1:7" x14ac:dyDescent="0.25">
      <c r="A28" s="3" t="s">
        <v>129</v>
      </c>
      <c r="B28" s="122" t="s">
        <v>63</v>
      </c>
      <c r="C28" s="123" t="s">
        <v>621</v>
      </c>
    </row>
    <row r="29" spans="1:7" x14ac:dyDescent="0.25">
      <c r="A29" s="129" t="s">
        <v>131</v>
      </c>
      <c r="B29" s="90">
        <f>B5*1.0197</f>
        <v>292.65390000000002</v>
      </c>
      <c r="C29" s="79">
        <f>B29*2600</f>
        <v>760900.14</v>
      </c>
    </row>
    <row r="30" spans="1:7" x14ac:dyDescent="0.25">
      <c r="A30" s="126" t="s">
        <v>132</v>
      </c>
      <c r="B30" s="88">
        <f>B6*1.0197</f>
        <v>497.61360000000002</v>
      </c>
      <c r="C30" s="15">
        <f t="shared" ref="C30:C45" si="1">B30*2600</f>
        <v>1293795.3600000001</v>
      </c>
    </row>
    <row r="31" spans="1:7" x14ac:dyDescent="0.25">
      <c r="A31" s="126" t="s">
        <v>133</v>
      </c>
      <c r="B31" s="88">
        <f>B7*1.0197</f>
        <v>219.2355</v>
      </c>
      <c r="C31" s="15">
        <f t="shared" si="1"/>
        <v>570012.30000000005</v>
      </c>
    </row>
    <row r="32" spans="1:7" x14ac:dyDescent="0.25">
      <c r="A32" s="128" t="s">
        <v>134</v>
      </c>
      <c r="B32" s="89">
        <f>B8*1.0197</f>
        <v>1010.5227000000001</v>
      </c>
      <c r="C32" s="31">
        <f t="shared" si="1"/>
        <v>2627359.0200000005</v>
      </c>
    </row>
    <row r="33" spans="1:3" x14ac:dyDescent="0.25">
      <c r="A33" s="8" t="s">
        <v>136</v>
      </c>
      <c r="B33" s="19"/>
      <c r="C33" s="79">
        <f t="shared" si="1"/>
        <v>0</v>
      </c>
    </row>
    <row r="34" spans="1:3" x14ac:dyDescent="0.25">
      <c r="A34" s="126" t="s">
        <v>137</v>
      </c>
      <c r="B34" s="88">
        <f t="shared" ref="B34:B40" si="2">B10*1.0197</f>
        <v>16.315200000000001</v>
      </c>
      <c r="C34" s="15">
        <f t="shared" si="1"/>
        <v>42419.520000000004</v>
      </c>
    </row>
    <row r="35" spans="1:3" x14ac:dyDescent="0.25">
      <c r="A35" s="126" t="s">
        <v>10</v>
      </c>
      <c r="B35" s="88">
        <f t="shared" si="2"/>
        <v>18.354600000000001</v>
      </c>
      <c r="C35" s="15">
        <f t="shared" si="1"/>
        <v>47721.960000000006</v>
      </c>
    </row>
    <row r="36" spans="1:3" x14ac:dyDescent="0.25">
      <c r="A36" s="126" t="s">
        <v>138</v>
      </c>
      <c r="B36" s="88">
        <f t="shared" si="2"/>
        <v>60.162300000000002</v>
      </c>
      <c r="C36" s="15">
        <f t="shared" si="1"/>
        <v>156421.98000000001</v>
      </c>
    </row>
    <row r="37" spans="1:3" x14ac:dyDescent="0.25">
      <c r="A37" s="126" t="s">
        <v>139</v>
      </c>
      <c r="B37" s="88">
        <f t="shared" si="2"/>
        <v>44.866800000000005</v>
      </c>
      <c r="C37" s="15">
        <f t="shared" si="1"/>
        <v>116653.68000000001</v>
      </c>
    </row>
    <row r="38" spans="1:3" x14ac:dyDescent="0.25">
      <c r="A38" s="126" t="s">
        <v>140</v>
      </c>
      <c r="B38" s="88">
        <f t="shared" si="2"/>
        <v>44.866800000000005</v>
      </c>
      <c r="C38" s="15">
        <f t="shared" si="1"/>
        <v>116653.68000000001</v>
      </c>
    </row>
    <row r="39" spans="1:3" x14ac:dyDescent="0.25">
      <c r="A39" s="126" t="s">
        <v>141</v>
      </c>
      <c r="B39" s="88">
        <f t="shared" si="2"/>
        <v>147.85650000000001</v>
      </c>
      <c r="C39" s="15">
        <f t="shared" si="1"/>
        <v>384426.9</v>
      </c>
    </row>
    <row r="40" spans="1:3" x14ac:dyDescent="0.25">
      <c r="A40" s="128" t="s">
        <v>31</v>
      </c>
      <c r="B40" s="89">
        <f t="shared" si="2"/>
        <v>332.42220000000003</v>
      </c>
      <c r="C40" s="31">
        <f t="shared" si="1"/>
        <v>864297.72000000009</v>
      </c>
    </row>
    <row r="41" spans="1:3" x14ac:dyDescent="0.25">
      <c r="A41" s="4" t="s">
        <v>130</v>
      </c>
      <c r="B41" s="5"/>
      <c r="C41" s="15">
        <f t="shared" si="1"/>
        <v>0</v>
      </c>
    </row>
    <row r="42" spans="1:3" x14ac:dyDescent="0.25">
      <c r="A42" s="126" t="s">
        <v>142</v>
      </c>
      <c r="B42" s="88">
        <f>B18*1.0197</f>
        <v>34.669800000000002</v>
      </c>
      <c r="C42" s="15">
        <f t="shared" si="1"/>
        <v>90141.48000000001</v>
      </c>
    </row>
    <row r="43" spans="1:3" x14ac:dyDescent="0.25">
      <c r="A43" s="126" t="s">
        <v>143</v>
      </c>
      <c r="B43" s="88">
        <f>B19*1.0197</f>
        <v>87.694200000000009</v>
      </c>
      <c r="C43" s="15">
        <f t="shared" si="1"/>
        <v>228004.92</v>
      </c>
    </row>
    <row r="44" spans="1:3" x14ac:dyDescent="0.25">
      <c r="A44" s="126" t="s">
        <v>31</v>
      </c>
      <c r="B44" s="88">
        <f>B20*1.0197</f>
        <v>122.364</v>
      </c>
      <c r="C44" s="15">
        <f t="shared" si="1"/>
        <v>318146.40000000002</v>
      </c>
    </row>
    <row r="45" spans="1:3" x14ac:dyDescent="0.25">
      <c r="A45" s="3" t="s">
        <v>144</v>
      </c>
      <c r="B45" s="89">
        <f>B21*1.0197</f>
        <v>1464.2892000000002</v>
      </c>
      <c r="C45" s="31">
        <f t="shared" si="1"/>
        <v>3807151.9200000004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workbookViewId="0">
      <selection activeCell="C10" sqref="C10"/>
    </sheetView>
  </sheetViews>
  <sheetFormatPr defaultRowHeight="15" x14ac:dyDescent="0.25"/>
  <cols>
    <col min="1" max="1" width="20.28515625" customWidth="1"/>
    <col min="2" max="2" width="27.42578125" customWidth="1"/>
    <col min="3" max="3" width="25.7109375" bestFit="1" customWidth="1"/>
    <col min="4" max="4" width="19.5703125" bestFit="1" customWidth="1"/>
    <col min="5" max="5" width="15.7109375" bestFit="1" customWidth="1"/>
    <col min="6" max="6" width="14.28515625" customWidth="1"/>
    <col min="7" max="7" width="16.7109375" style="5" customWidth="1"/>
    <col min="8" max="8" width="21.7109375" bestFit="1" customWidth="1"/>
    <col min="9" max="9" width="25.7109375" bestFit="1" customWidth="1"/>
    <col min="10" max="10" width="19.7109375" customWidth="1"/>
    <col min="11" max="11" width="32.85546875" bestFit="1" customWidth="1"/>
    <col min="12" max="12" width="10.140625" bestFit="1" customWidth="1"/>
    <col min="13" max="13" width="18.42578125" customWidth="1"/>
    <col min="14" max="14" width="18.28515625" customWidth="1"/>
    <col min="15" max="15" width="18.7109375" customWidth="1"/>
    <col min="16" max="16" width="18.5703125" customWidth="1"/>
    <col min="17" max="17" width="18.7109375" bestFit="1" customWidth="1"/>
  </cols>
  <sheetData>
    <row r="1" spans="1:17" x14ac:dyDescent="0.25">
      <c r="A1" t="s">
        <v>0</v>
      </c>
      <c r="B1" t="s">
        <v>89</v>
      </c>
    </row>
    <row r="2" spans="1:17" x14ac:dyDescent="0.25">
      <c r="B2" s="157" t="s">
        <v>635</v>
      </c>
    </row>
    <row r="3" spans="1:17" x14ac:dyDescent="0.25">
      <c r="B3" s="21" t="s">
        <v>115</v>
      </c>
      <c r="C3" s="17"/>
      <c r="D3" s="17"/>
      <c r="E3" s="42"/>
      <c r="H3" s="8" t="s">
        <v>337</v>
      </c>
      <c r="I3" s="20"/>
      <c r="K3" s="8" t="s">
        <v>189</v>
      </c>
      <c r="L3" s="19"/>
      <c r="M3" s="19"/>
      <c r="N3" s="19"/>
      <c r="O3" s="19"/>
      <c r="P3" s="20"/>
      <c r="Q3" s="5"/>
    </row>
    <row r="4" spans="1:17" x14ac:dyDescent="0.25">
      <c r="B4" s="21" t="s">
        <v>188</v>
      </c>
      <c r="C4" s="17"/>
      <c r="D4" s="17"/>
      <c r="E4" s="42"/>
      <c r="H4" s="4" t="s">
        <v>116</v>
      </c>
      <c r="I4" s="7" t="s">
        <v>338</v>
      </c>
      <c r="K4" s="4" t="s">
        <v>192</v>
      </c>
      <c r="L4" s="5"/>
      <c r="M4" s="275" t="s">
        <v>691</v>
      </c>
      <c r="N4" s="275" t="s">
        <v>692</v>
      </c>
      <c r="O4" s="275" t="s">
        <v>693</v>
      </c>
      <c r="P4" s="274" t="s">
        <v>694</v>
      </c>
      <c r="Q4" s="5"/>
    </row>
    <row r="5" spans="1:17" x14ac:dyDescent="0.25">
      <c r="B5" s="4" t="s">
        <v>116</v>
      </c>
      <c r="C5" s="5" t="s">
        <v>117</v>
      </c>
      <c r="D5" s="5" t="s">
        <v>118</v>
      </c>
      <c r="E5" s="7" t="s">
        <v>119</v>
      </c>
      <c r="H5" s="3" t="s">
        <v>339</v>
      </c>
      <c r="I5" s="6" t="s">
        <v>345</v>
      </c>
      <c r="K5" s="4" t="s">
        <v>116</v>
      </c>
      <c r="L5" s="5" t="s">
        <v>202</v>
      </c>
      <c r="M5" s="275"/>
      <c r="N5" s="275"/>
      <c r="O5" s="275"/>
      <c r="P5" s="274"/>
      <c r="Q5" s="5"/>
    </row>
    <row r="6" spans="1:17" x14ac:dyDescent="0.25">
      <c r="B6" s="3" t="s">
        <v>190</v>
      </c>
      <c r="C6" s="278" t="s">
        <v>191</v>
      </c>
      <c r="D6" s="278"/>
      <c r="E6" s="279"/>
      <c r="H6" s="4" t="s">
        <v>340</v>
      </c>
      <c r="I6" s="15">
        <v>41000000</v>
      </c>
      <c r="K6" s="3" t="s">
        <v>193</v>
      </c>
      <c r="L6" s="130" t="s">
        <v>79</v>
      </c>
      <c r="M6" s="130" t="s">
        <v>79</v>
      </c>
      <c r="N6" s="130" t="s">
        <v>79</v>
      </c>
      <c r="O6" s="130" t="s">
        <v>79</v>
      </c>
      <c r="P6" s="266" t="s">
        <v>79</v>
      </c>
      <c r="Q6" s="5"/>
    </row>
    <row r="7" spans="1:17" x14ac:dyDescent="0.25">
      <c r="B7" s="22" t="s">
        <v>120</v>
      </c>
      <c r="C7" s="16">
        <v>40587666</v>
      </c>
      <c r="D7" s="16">
        <v>40587666</v>
      </c>
      <c r="E7" s="15">
        <v>40587666</v>
      </c>
      <c r="H7" s="4" t="s">
        <v>341</v>
      </c>
      <c r="I7" s="15">
        <v>5000000</v>
      </c>
      <c r="K7" s="4" t="s">
        <v>194</v>
      </c>
      <c r="L7" s="16">
        <v>2844</v>
      </c>
      <c r="M7" s="16">
        <v>2844</v>
      </c>
      <c r="N7" s="16">
        <v>2844</v>
      </c>
      <c r="O7" s="16">
        <v>2844</v>
      </c>
      <c r="P7" s="15">
        <v>2844</v>
      </c>
      <c r="Q7" s="5"/>
    </row>
    <row r="8" spans="1:17" x14ac:dyDescent="0.25">
      <c r="B8" s="4" t="s">
        <v>101</v>
      </c>
      <c r="C8" s="16">
        <v>46091749</v>
      </c>
      <c r="D8" s="16">
        <v>46091749</v>
      </c>
      <c r="E8" s="15">
        <v>46091749</v>
      </c>
      <c r="H8" s="4" t="s">
        <v>103</v>
      </c>
      <c r="I8" s="15">
        <v>12000000</v>
      </c>
      <c r="K8" s="4" t="s">
        <v>195</v>
      </c>
      <c r="L8" s="16">
        <v>0</v>
      </c>
      <c r="M8" s="16">
        <v>1503</v>
      </c>
      <c r="N8" s="16">
        <v>1503</v>
      </c>
      <c r="O8" s="16">
        <v>5009</v>
      </c>
      <c r="P8" s="15">
        <v>5009</v>
      </c>
      <c r="Q8" s="5"/>
    </row>
    <row r="9" spans="1:17" x14ac:dyDescent="0.25">
      <c r="B9" s="22" t="s">
        <v>121</v>
      </c>
      <c r="C9" s="5"/>
      <c r="D9" s="5">
        <v>5171344</v>
      </c>
      <c r="E9" s="7">
        <v>5171344</v>
      </c>
      <c r="H9" s="4" t="s">
        <v>104</v>
      </c>
      <c r="I9" s="15">
        <v>7000000</v>
      </c>
      <c r="K9" s="4" t="s">
        <v>196</v>
      </c>
      <c r="L9" s="16">
        <v>1754</v>
      </c>
      <c r="M9" s="16">
        <v>0</v>
      </c>
      <c r="N9" s="16">
        <v>1754</v>
      </c>
      <c r="O9" s="16">
        <v>0</v>
      </c>
      <c r="P9" s="15">
        <v>1754</v>
      </c>
      <c r="Q9" s="5"/>
    </row>
    <row r="10" spans="1:17" x14ac:dyDescent="0.25">
      <c r="B10" s="4" t="s">
        <v>122</v>
      </c>
      <c r="C10" s="16">
        <v>3563795</v>
      </c>
      <c r="D10" s="16">
        <v>3563795</v>
      </c>
      <c r="E10" s="15">
        <v>3563795</v>
      </c>
      <c r="H10" s="4" t="s">
        <v>344</v>
      </c>
      <c r="I10" s="15">
        <f>I8+I9</f>
        <v>19000000</v>
      </c>
      <c r="K10" s="4" t="s">
        <v>197</v>
      </c>
      <c r="L10" s="16">
        <v>0</v>
      </c>
      <c r="M10" s="16">
        <v>1034</v>
      </c>
      <c r="N10" s="16">
        <v>1034</v>
      </c>
      <c r="O10" s="16">
        <v>3445</v>
      </c>
      <c r="P10" s="15">
        <v>3445</v>
      </c>
      <c r="Q10" s="5"/>
    </row>
    <row r="11" spans="1:17" x14ac:dyDescent="0.25">
      <c r="B11" s="4" t="s">
        <v>103</v>
      </c>
      <c r="C11" s="16">
        <v>15908348</v>
      </c>
      <c r="D11" s="16">
        <v>15289203</v>
      </c>
      <c r="E11" s="15">
        <v>15342164</v>
      </c>
      <c r="H11" s="4" t="s">
        <v>342</v>
      </c>
      <c r="I11" s="15">
        <v>11000000</v>
      </c>
      <c r="K11" s="4" t="s">
        <v>103</v>
      </c>
      <c r="L11" s="16">
        <v>589</v>
      </c>
      <c r="M11" s="16">
        <v>589</v>
      </c>
      <c r="N11" s="16">
        <v>589</v>
      </c>
      <c r="O11" s="16">
        <v>589</v>
      </c>
      <c r="P11" s="15">
        <v>589</v>
      </c>
      <c r="Q11" s="5"/>
    </row>
    <row r="12" spans="1:17" x14ac:dyDescent="0.25">
      <c r="B12" s="4" t="s">
        <v>104</v>
      </c>
      <c r="C12" s="16">
        <v>13384607</v>
      </c>
      <c r="D12" s="16">
        <v>10336576</v>
      </c>
      <c r="E12" s="15">
        <v>15855408</v>
      </c>
      <c r="H12" s="4" t="s">
        <v>343</v>
      </c>
      <c r="I12" s="15">
        <v>6000000</v>
      </c>
      <c r="K12" s="4" t="s">
        <v>104</v>
      </c>
      <c r="L12" s="16">
        <v>1600</v>
      </c>
      <c r="M12" s="16">
        <v>3060</v>
      </c>
      <c r="N12" s="16">
        <v>2755</v>
      </c>
      <c r="O12" s="16">
        <v>3060</v>
      </c>
      <c r="P12" s="15">
        <v>2755</v>
      </c>
      <c r="Q12" s="5"/>
    </row>
    <row r="13" spans="1:17" x14ac:dyDescent="0.25">
      <c r="B13" s="4" t="s">
        <v>108</v>
      </c>
      <c r="C13" s="13">
        <v>15537385.789999999</v>
      </c>
      <c r="D13" s="16">
        <v>13417123.800000001</v>
      </c>
      <c r="E13" s="15">
        <v>15757821</v>
      </c>
      <c r="H13" s="4" t="s">
        <v>199</v>
      </c>
      <c r="I13" s="15">
        <v>4000000</v>
      </c>
      <c r="K13" s="4" t="s">
        <v>198</v>
      </c>
      <c r="L13" s="16">
        <v>1825</v>
      </c>
      <c r="M13" s="16">
        <v>2042</v>
      </c>
      <c r="N13" s="16">
        <v>2025</v>
      </c>
      <c r="O13" s="16">
        <v>2338</v>
      </c>
      <c r="P13" s="15">
        <v>2321</v>
      </c>
      <c r="Q13" s="5"/>
    </row>
    <row r="14" spans="1:17" x14ac:dyDescent="0.25">
      <c r="B14" s="4" t="s">
        <v>105</v>
      </c>
      <c r="C14" s="16">
        <v>7905594</v>
      </c>
      <c r="D14" s="16">
        <v>6826782</v>
      </c>
      <c r="E14" s="15">
        <v>8017754</v>
      </c>
      <c r="H14" s="4" t="s">
        <v>107</v>
      </c>
      <c r="I14" s="15">
        <f>SUM(I6:I9,I11:I13)</f>
        <v>86000000</v>
      </c>
      <c r="K14" s="4" t="s">
        <v>199</v>
      </c>
      <c r="L14" s="16">
        <v>440</v>
      </c>
      <c r="M14" s="16">
        <v>724</v>
      </c>
      <c r="N14" s="16">
        <v>704</v>
      </c>
      <c r="O14" s="16">
        <v>1079</v>
      </c>
      <c r="P14" s="15">
        <v>1059</v>
      </c>
      <c r="Q14" s="5"/>
    </row>
    <row r="15" spans="1:17" x14ac:dyDescent="0.25">
      <c r="B15" s="3" t="s">
        <v>106</v>
      </c>
      <c r="C15" s="16">
        <v>7645117</v>
      </c>
      <c r="D15" s="28">
        <v>7741319</v>
      </c>
      <c r="E15" s="31">
        <v>8097671</v>
      </c>
      <c r="H15" s="4" t="s">
        <v>72</v>
      </c>
      <c r="I15" s="15"/>
      <c r="K15" s="4" t="s">
        <v>200</v>
      </c>
      <c r="L15" s="16">
        <v>1309</v>
      </c>
      <c r="M15" s="16">
        <v>1994</v>
      </c>
      <c r="N15" s="16">
        <v>2252</v>
      </c>
      <c r="O15" s="16">
        <v>2080</v>
      </c>
      <c r="P15" s="15">
        <v>2424</v>
      </c>
      <c r="Q15" s="5"/>
    </row>
    <row r="16" spans="1:17" x14ac:dyDescent="0.25">
      <c r="B16" s="21" t="s">
        <v>107</v>
      </c>
      <c r="C16" s="43">
        <f>SUM(C7:C15)</f>
        <v>150624261.78999999</v>
      </c>
      <c r="D16" s="43">
        <f>SUM(D7:D15)</f>
        <v>149025557.80000001</v>
      </c>
      <c r="E16" s="44">
        <f>SUM(E7:E15)</f>
        <v>158485372</v>
      </c>
      <c r="H16" s="4" t="s">
        <v>110</v>
      </c>
      <c r="I16" s="15"/>
      <c r="K16" s="3" t="s">
        <v>201</v>
      </c>
      <c r="L16" s="28">
        <v>1668</v>
      </c>
      <c r="M16" s="28">
        <v>1668</v>
      </c>
      <c r="N16" s="28">
        <v>1668</v>
      </c>
      <c r="O16" s="28">
        <v>1668</v>
      </c>
      <c r="P16" s="31">
        <v>1668</v>
      </c>
      <c r="Q16" s="5"/>
    </row>
    <row r="17" spans="2:17" x14ac:dyDescent="0.25">
      <c r="B17" s="4" t="s">
        <v>109</v>
      </c>
      <c r="C17" s="16">
        <v>0</v>
      </c>
      <c r="D17" s="16">
        <v>0</v>
      </c>
      <c r="E17" s="15">
        <v>0</v>
      </c>
      <c r="H17" s="4" t="s">
        <v>111</v>
      </c>
      <c r="I17" s="15">
        <v>3000000</v>
      </c>
      <c r="K17" s="22" t="s">
        <v>749</v>
      </c>
      <c r="L17" s="13">
        <v>2996</v>
      </c>
      <c r="M17" s="13">
        <v>5238</v>
      </c>
      <c r="N17" s="13">
        <v>5496</v>
      </c>
      <c r="O17" s="13">
        <v>6446</v>
      </c>
      <c r="P17" s="39">
        <v>6704</v>
      </c>
      <c r="Q17" s="5"/>
    </row>
    <row r="18" spans="2:17" x14ac:dyDescent="0.25">
      <c r="B18" s="4" t="s">
        <v>110</v>
      </c>
      <c r="C18" s="16">
        <v>198395</v>
      </c>
      <c r="D18" s="16">
        <v>198395</v>
      </c>
      <c r="E18" s="15">
        <v>396790</v>
      </c>
      <c r="H18" s="4" t="s">
        <v>123</v>
      </c>
      <c r="I18" s="15">
        <v>2000000</v>
      </c>
      <c r="K18" s="22" t="s">
        <v>750</v>
      </c>
      <c r="L18" s="13">
        <v>2045</v>
      </c>
      <c r="M18" s="13">
        <v>1874</v>
      </c>
      <c r="N18" s="13">
        <v>2164</v>
      </c>
      <c r="O18" s="13">
        <v>2895</v>
      </c>
      <c r="P18" s="39">
        <v>3199</v>
      </c>
    </row>
    <row r="19" spans="2:17" x14ac:dyDescent="0.25">
      <c r="B19" s="4" t="s">
        <v>111</v>
      </c>
      <c r="C19" s="16">
        <v>2784560</v>
      </c>
      <c r="D19" s="16">
        <v>2784560</v>
      </c>
      <c r="E19" s="15">
        <v>5569120</v>
      </c>
      <c r="H19" s="4" t="s">
        <v>92</v>
      </c>
      <c r="I19" s="15">
        <v>2000000</v>
      </c>
      <c r="K19" s="3" t="s">
        <v>752</v>
      </c>
      <c r="L19" s="28">
        <f>SUM(L7:L18)</f>
        <v>17070</v>
      </c>
      <c r="M19" s="28">
        <f>SUM(M7:M18)</f>
        <v>22570</v>
      </c>
      <c r="N19" s="28">
        <f t="shared" ref="N19:P19" si="0">SUM(N7:N18)</f>
        <v>24788</v>
      </c>
      <c r="O19" s="28">
        <f t="shared" si="0"/>
        <v>31453</v>
      </c>
      <c r="P19" s="31">
        <f t="shared" si="0"/>
        <v>33771</v>
      </c>
    </row>
    <row r="20" spans="2:17" x14ac:dyDescent="0.25">
      <c r="B20" s="22" t="s">
        <v>123</v>
      </c>
      <c r="C20" s="13">
        <v>1669331</v>
      </c>
      <c r="D20" s="13">
        <v>1669331</v>
      </c>
      <c r="E20" s="39">
        <v>1669331</v>
      </c>
      <c r="H20" s="4" t="s">
        <v>93</v>
      </c>
      <c r="I20" s="15">
        <v>3000000</v>
      </c>
      <c r="K20" s="52" t="s">
        <v>751</v>
      </c>
      <c r="L20" s="92">
        <v>18990</v>
      </c>
      <c r="M20" s="267">
        <v>26153</v>
      </c>
      <c r="N20" s="267">
        <v>28371</v>
      </c>
      <c r="O20" s="267">
        <v>35591</v>
      </c>
      <c r="P20" s="241">
        <v>37909</v>
      </c>
    </row>
    <row r="21" spans="2:17" x14ac:dyDescent="0.25">
      <c r="B21" s="4" t="s">
        <v>93</v>
      </c>
      <c r="C21" s="16">
        <v>4658296</v>
      </c>
      <c r="D21" s="16">
        <v>4610335</v>
      </c>
      <c r="E21" s="15">
        <v>4980515</v>
      </c>
      <c r="H21" s="4" t="s">
        <v>112</v>
      </c>
      <c r="I21" s="15">
        <v>5000000</v>
      </c>
    </row>
    <row r="22" spans="2:17" x14ac:dyDescent="0.25">
      <c r="B22" s="4" t="s">
        <v>92</v>
      </c>
      <c r="C22" s="16">
        <v>4658296</v>
      </c>
      <c r="D22" s="16">
        <v>4610335</v>
      </c>
      <c r="E22" s="15">
        <v>3523821</v>
      </c>
      <c r="H22" s="21" t="s">
        <v>113</v>
      </c>
      <c r="I22" s="58">
        <f>SUM(I16:I21)</f>
        <v>15000000</v>
      </c>
    </row>
    <row r="23" spans="2:17" x14ac:dyDescent="0.25">
      <c r="B23" s="3" t="s">
        <v>112</v>
      </c>
      <c r="C23" s="28">
        <v>8229657</v>
      </c>
      <c r="D23" s="28">
        <v>8144926</v>
      </c>
      <c r="E23" s="31">
        <v>8688259</v>
      </c>
      <c r="H23" s="3" t="s">
        <v>31</v>
      </c>
      <c r="I23" s="31">
        <f>SUM(I6:I9,I11:I13,I15:I21)</f>
        <v>101000000</v>
      </c>
    </row>
    <row r="24" spans="2:17" x14ac:dyDescent="0.25">
      <c r="B24" s="21" t="s">
        <v>113</v>
      </c>
      <c r="C24" s="43">
        <f>SUM(C18:C23)</f>
        <v>22198535</v>
      </c>
      <c r="D24" s="43">
        <f>SUM(D18:D23)</f>
        <v>22017882</v>
      </c>
      <c r="E24" s="44">
        <f>SUM(E18:E23)</f>
        <v>24827836</v>
      </c>
      <c r="H24" s="52" t="s">
        <v>346</v>
      </c>
      <c r="I24" s="241">
        <v>17</v>
      </c>
    </row>
    <row r="25" spans="2:17" x14ac:dyDescent="0.25">
      <c r="B25" s="3" t="s">
        <v>114</v>
      </c>
      <c r="C25" s="28">
        <f>C16+C24</f>
        <v>172822796.78999999</v>
      </c>
      <c r="D25" s="28">
        <f>D16+D24</f>
        <v>171043439.80000001</v>
      </c>
      <c r="E25" s="31">
        <f>E16+E24</f>
        <v>183313208</v>
      </c>
      <c r="H25" s="5"/>
    </row>
    <row r="26" spans="2:17" s="164" customFormat="1" ht="15.75" thickBot="1" x14ac:dyDescent="0.3"/>
    <row r="27" spans="2:17" ht="15.75" thickTop="1" x14ac:dyDescent="0.25">
      <c r="B27" s="161" t="s">
        <v>373</v>
      </c>
      <c r="H27" s="5"/>
    </row>
    <row r="28" spans="2:17" x14ac:dyDescent="0.25">
      <c r="B28" s="5"/>
    </row>
    <row r="29" spans="2:17" x14ac:dyDescent="0.25">
      <c r="B29" s="21" t="s">
        <v>115</v>
      </c>
      <c r="C29" s="17"/>
      <c r="D29" s="17"/>
      <c r="E29" s="42"/>
      <c r="H29" s="8" t="s">
        <v>337</v>
      </c>
      <c r="I29" s="20"/>
      <c r="K29" s="8" t="s">
        <v>192</v>
      </c>
      <c r="L29" s="19"/>
      <c r="M29" s="271" t="s">
        <v>203</v>
      </c>
      <c r="N29" s="271" t="s">
        <v>692</v>
      </c>
      <c r="O29" s="271" t="s">
        <v>693</v>
      </c>
      <c r="P29" s="271" t="s">
        <v>694</v>
      </c>
      <c r="Q29" s="276" t="s">
        <v>386</v>
      </c>
    </row>
    <row r="30" spans="2:17" x14ac:dyDescent="0.25">
      <c r="B30" s="21" t="s">
        <v>188</v>
      </c>
      <c r="C30" s="17"/>
      <c r="D30" s="17"/>
      <c r="E30" s="42"/>
      <c r="H30" s="4" t="s">
        <v>116</v>
      </c>
      <c r="I30" s="7" t="s">
        <v>338</v>
      </c>
      <c r="K30" s="4" t="s">
        <v>116</v>
      </c>
      <c r="L30" s="5" t="s">
        <v>202</v>
      </c>
      <c r="M30" s="275"/>
      <c r="N30" s="275"/>
      <c r="O30" s="275"/>
      <c r="P30" s="275"/>
      <c r="Q30" s="277"/>
    </row>
    <row r="31" spans="2:17" x14ac:dyDescent="0.25">
      <c r="B31" s="4" t="s">
        <v>116</v>
      </c>
      <c r="C31" s="5" t="s">
        <v>117</v>
      </c>
      <c r="D31" s="5" t="s">
        <v>118</v>
      </c>
      <c r="E31" s="7" t="s">
        <v>119</v>
      </c>
      <c r="F31" s="9" t="s">
        <v>383</v>
      </c>
      <c r="H31" s="3" t="s">
        <v>339</v>
      </c>
      <c r="I31" s="6" t="s">
        <v>345</v>
      </c>
      <c r="K31" s="3" t="s">
        <v>193</v>
      </c>
      <c r="L31" s="2"/>
      <c r="M31" s="2"/>
      <c r="N31" s="2"/>
      <c r="O31" s="2"/>
      <c r="P31" s="2"/>
      <c r="Q31" s="6"/>
    </row>
    <row r="32" spans="2:17" x14ac:dyDescent="0.25">
      <c r="B32" s="3" t="s">
        <v>190</v>
      </c>
      <c r="C32" s="46" t="s">
        <v>191</v>
      </c>
      <c r="D32" s="46"/>
      <c r="E32" s="50"/>
      <c r="F32" t="s">
        <v>369</v>
      </c>
      <c r="H32" s="4" t="s">
        <v>340</v>
      </c>
      <c r="I32" s="95">
        <f t="shared" ref="I32:I50" si="1">1.097*I6</f>
        <v>44977000</v>
      </c>
      <c r="K32" s="4" t="s">
        <v>194</v>
      </c>
      <c r="L32" s="37">
        <f t="shared" ref="L32:P41" si="2">1.097*L7</f>
        <v>3119.8679999999999</v>
      </c>
      <c r="M32" s="37">
        <f t="shared" si="2"/>
        <v>3119.8679999999999</v>
      </c>
      <c r="N32" s="37">
        <f t="shared" si="2"/>
        <v>3119.8679999999999</v>
      </c>
      <c r="O32" s="37">
        <f t="shared" si="2"/>
        <v>3119.8679999999999</v>
      </c>
      <c r="P32" s="37">
        <f t="shared" si="2"/>
        <v>3119.8679999999999</v>
      </c>
      <c r="Q32" s="35">
        <f>AVERAGE(M32:P32)</f>
        <v>3119.8679999999999</v>
      </c>
    </row>
    <row r="33" spans="2:17" x14ac:dyDescent="0.25">
      <c r="B33" s="91" t="s">
        <v>120</v>
      </c>
      <c r="C33" s="93">
        <f t="shared" ref="C33:E51" si="3">1.097*C7</f>
        <v>44524669.601999998</v>
      </c>
      <c r="D33" s="93">
        <f t="shared" si="3"/>
        <v>44524669.601999998</v>
      </c>
      <c r="E33" s="94">
        <f t="shared" si="3"/>
        <v>44524669.601999998</v>
      </c>
      <c r="F33" s="60">
        <f>AVERAGE(C33:E33)/1000</f>
        <v>44524.669601999994</v>
      </c>
      <c r="H33" s="4" t="s">
        <v>341</v>
      </c>
      <c r="I33" s="95">
        <f t="shared" si="1"/>
        <v>5485000</v>
      </c>
      <c r="K33" s="4" t="s">
        <v>195</v>
      </c>
      <c r="L33" s="37">
        <f t="shared" si="2"/>
        <v>0</v>
      </c>
      <c r="M33" s="37">
        <f t="shared" si="2"/>
        <v>1648.7909999999999</v>
      </c>
      <c r="N33" s="37">
        <f t="shared" si="2"/>
        <v>1648.7909999999999</v>
      </c>
      <c r="O33" s="37">
        <f t="shared" si="2"/>
        <v>5494.8729999999996</v>
      </c>
      <c r="P33" s="37">
        <f t="shared" si="2"/>
        <v>5494.8729999999996</v>
      </c>
      <c r="Q33" s="35">
        <f t="shared" ref="Q33:Q42" si="4">AVERAGE(M33:P33)</f>
        <v>3571.8319999999999</v>
      </c>
    </row>
    <row r="34" spans="2:17" x14ac:dyDescent="0.25">
      <c r="B34" s="4" t="s">
        <v>101</v>
      </c>
      <c r="C34" s="23">
        <f t="shared" si="3"/>
        <v>50562648.652999997</v>
      </c>
      <c r="D34" s="23">
        <f t="shared" si="3"/>
        <v>50562648.652999997</v>
      </c>
      <c r="E34" s="27">
        <f t="shared" si="3"/>
        <v>50562648.652999997</v>
      </c>
      <c r="F34" s="60">
        <f t="shared" ref="F34:F51" si="5">AVERAGE(C34:E34)/1000</f>
        <v>50562.648652999997</v>
      </c>
      <c r="H34" s="4" t="s">
        <v>103</v>
      </c>
      <c r="I34" s="95">
        <f t="shared" si="1"/>
        <v>13164000</v>
      </c>
      <c r="K34" s="4" t="s">
        <v>196</v>
      </c>
      <c r="L34" s="37">
        <f t="shared" si="2"/>
        <v>1924.1379999999999</v>
      </c>
      <c r="M34" s="37">
        <f t="shared" si="2"/>
        <v>0</v>
      </c>
      <c r="N34" s="37">
        <f t="shared" si="2"/>
        <v>1924.1379999999999</v>
      </c>
      <c r="O34" s="37">
        <f t="shared" si="2"/>
        <v>0</v>
      </c>
      <c r="P34" s="37">
        <f t="shared" si="2"/>
        <v>1924.1379999999999</v>
      </c>
      <c r="Q34" s="35">
        <f t="shared" si="4"/>
        <v>962.06899999999996</v>
      </c>
    </row>
    <row r="35" spans="2:17" x14ac:dyDescent="0.25">
      <c r="B35" s="22" t="s">
        <v>121</v>
      </c>
      <c r="C35" s="23">
        <f t="shared" si="3"/>
        <v>0</v>
      </c>
      <c r="D35" s="23">
        <f t="shared" si="3"/>
        <v>5672964.3679999998</v>
      </c>
      <c r="E35" s="27">
        <f t="shared" si="3"/>
        <v>5672964.3679999998</v>
      </c>
      <c r="F35" s="60">
        <f t="shared" si="5"/>
        <v>3781.9762453333328</v>
      </c>
      <c r="H35" s="4" t="s">
        <v>104</v>
      </c>
      <c r="I35" s="95">
        <f t="shared" si="1"/>
        <v>7679000</v>
      </c>
      <c r="K35" s="4" t="s">
        <v>197</v>
      </c>
      <c r="L35" s="37">
        <f t="shared" si="2"/>
        <v>0</v>
      </c>
      <c r="M35" s="37">
        <f t="shared" si="2"/>
        <v>1134.298</v>
      </c>
      <c r="N35" s="37">
        <f t="shared" si="2"/>
        <v>1134.298</v>
      </c>
      <c r="O35" s="37">
        <f t="shared" si="2"/>
        <v>3779.165</v>
      </c>
      <c r="P35" s="37">
        <f t="shared" si="2"/>
        <v>3779.165</v>
      </c>
      <c r="Q35" s="35">
        <f t="shared" si="4"/>
        <v>2456.7314999999999</v>
      </c>
    </row>
    <row r="36" spans="2:17" x14ac:dyDescent="0.25">
      <c r="B36" s="4" t="s">
        <v>122</v>
      </c>
      <c r="C36" s="23">
        <f t="shared" si="3"/>
        <v>3909483.1149999998</v>
      </c>
      <c r="D36" s="23">
        <f t="shared" si="3"/>
        <v>3909483.1149999998</v>
      </c>
      <c r="E36" s="27">
        <f t="shared" si="3"/>
        <v>3909483.1149999998</v>
      </c>
      <c r="F36" s="60">
        <f t="shared" si="5"/>
        <v>3909.4831149999995</v>
      </c>
      <c r="H36" s="4" t="s">
        <v>344</v>
      </c>
      <c r="I36" s="95">
        <f t="shared" si="1"/>
        <v>20843000</v>
      </c>
      <c r="K36" s="4" t="s">
        <v>103</v>
      </c>
      <c r="L36" s="37">
        <f t="shared" si="2"/>
        <v>646.13300000000004</v>
      </c>
      <c r="M36" s="37">
        <f t="shared" si="2"/>
        <v>646.13300000000004</v>
      </c>
      <c r="N36" s="37">
        <f t="shared" si="2"/>
        <v>646.13300000000004</v>
      </c>
      <c r="O36" s="37">
        <f t="shared" si="2"/>
        <v>646.13300000000004</v>
      </c>
      <c r="P36" s="37">
        <f t="shared" si="2"/>
        <v>646.13300000000004</v>
      </c>
      <c r="Q36" s="35">
        <f t="shared" si="4"/>
        <v>646.13300000000004</v>
      </c>
    </row>
    <row r="37" spans="2:17" x14ac:dyDescent="0.25">
      <c r="B37" s="4" t="s">
        <v>103</v>
      </c>
      <c r="C37" s="23">
        <f t="shared" si="3"/>
        <v>17451457.756000001</v>
      </c>
      <c r="D37" s="23">
        <f t="shared" si="3"/>
        <v>16772255.691</v>
      </c>
      <c r="E37" s="27">
        <f t="shared" si="3"/>
        <v>16830353.908</v>
      </c>
      <c r="F37" s="60">
        <f t="shared" si="5"/>
        <v>17018.022451666664</v>
      </c>
      <c r="H37" s="4" t="s">
        <v>342</v>
      </c>
      <c r="I37" s="95">
        <f t="shared" si="1"/>
        <v>12067000</v>
      </c>
      <c r="K37" s="4" t="s">
        <v>104</v>
      </c>
      <c r="L37" s="37">
        <f t="shared" si="2"/>
        <v>1755.2</v>
      </c>
      <c r="M37" s="37">
        <f t="shared" si="2"/>
        <v>3356.8199999999997</v>
      </c>
      <c r="N37" s="37">
        <f t="shared" si="2"/>
        <v>3022.2350000000001</v>
      </c>
      <c r="O37" s="37">
        <f t="shared" si="2"/>
        <v>3356.8199999999997</v>
      </c>
      <c r="P37" s="37">
        <f t="shared" si="2"/>
        <v>3022.2350000000001</v>
      </c>
      <c r="Q37" s="35">
        <f t="shared" si="4"/>
        <v>3189.5275000000001</v>
      </c>
    </row>
    <row r="38" spans="2:17" x14ac:dyDescent="0.25">
      <c r="B38" s="4" t="s">
        <v>104</v>
      </c>
      <c r="C38" s="23">
        <f t="shared" si="3"/>
        <v>14682913.878999999</v>
      </c>
      <c r="D38" s="23">
        <f t="shared" si="3"/>
        <v>11339223.872</v>
      </c>
      <c r="E38" s="27">
        <f t="shared" si="3"/>
        <v>17393382.576000001</v>
      </c>
      <c r="F38" s="60">
        <f t="shared" si="5"/>
        <v>14471.840108999999</v>
      </c>
      <c r="H38" s="4" t="s">
        <v>343</v>
      </c>
      <c r="I38" s="95">
        <f t="shared" si="1"/>
        <v>6582000</v>
      </c>
      <c r="K38" s="4" t="s">
        <v>198</v>
      </c>
      <c r="L38" s="37">
        <f t="shared" si="2"/>
        <v>2002.0249999999999</v>
      </c>
      <c r="M38" s="37">
        <f t="shared" si="2"/>
        <v>2240.0740000000001</v>
      </c>
      <c r="N38" s="37">
        <f t="shared" si="2"/>
        <v>2221.4249999999997</v>
      </c>
      <c r="O38" s="37">
        <f t="shared" si="2"/>
        <v>2564.7860000000001</v>
      </c>
      <c r="P38" s="37">
        <f t="shared" si="2"/>
        <v>2546.1369999999997</v>
      </c>
      <c r="Q38" s="35">
        <f t="shared" si="4"/>
        <v>2393.1054999999997</v>
      </c>
    </row>
    <row r="39" spans="2:17" x14ac:dyDescent="0.25">
      <c r="B39" s="4" t="s">
        <v>108</v>
      </c>
      <c r="C39" s="23">
        <f t="shared" si="3"/>
        <v>17044512.211629998</v>
      </c>
      <c r="D39" s="23">
        <f t="shared" si="3"/>
        <v>14718584.808600001</v>
      </c>
      <c r="E39" s="27">
        <f t="shared" si="3"/>
        <v>17286329.636999998</v>
      </c>
      <c r="F39" s="60">
        <f t="shared" si="5"/>
        <v>16349.808885743332</v>
      </c>
      <c r="H39" s="4" t="s">
        <v>199</v>
      </c>
      <c r="I39" s="95">
        <f t="shared" si="1"/>
        <v>4388000</v>
      </c>
      <c r="K39" s="4" t="s">
        <v>199</v>
      </c>
      <c r="L39" s="37">
        <f t="shared" si="2"/>
        <v>482.68</v>
      </c>
      <c r="M39" s="37">
        <f t="shared" si="2"/>
        <v>794.22799999999995</v>
      </c>
      <c r="N39" s="37">
        <f t="shared" si="2"/>
        <v>772.28800000000001</v>
      </c>
      <c r="O39" s="37">
        <f t="shared" si="2"/>
        <v>1183.663</v>
      </c>
      <c r="P39" s="37">
        <f t="shared" si="2"/>
        <v>1161.723</v>
      </c>
      <c r="Q39" s="35">
        <f t="shared" si="4"/>
        <v>977.97550000000001</v>
      </c>
    </row>
    <row r="40" spans="2:17" x14ac:dyDescent="0.25">
      <c r="B40" s="4" t="s">
        <v>105</v>
      </c>
      <c r="C40" s="23">
        <f t="shared" si="3"/>
        <v>8672436.6180000007</v>
      </c>
      <c r="D40" s="23">
        <f t="shared" si="3"/>
        <v>7488979.8540000003</v>
      </c>
      <c r="E40" s="27">
        <f t="shared" si="3"/>
        <v>8795476.1380000003</v>
      </c>
      <c r="F40" s="60">
        <f t="shared" si="5"/>
        <v>8318.964203333333</v>
      </c>
      <c r="H40" s="4" t="s">
        <v>107</v>
      </c>
      <c r="I40" s="95">
        <f t="shared" si="1"/>
        <v>94342000</v>
      </c>
      <c r="K40" s="4" t="s">
        <v>200</v>
      </c>
      <c r="L40" s="37">
        <f t="shared" si="2"/>
        <v>1435.973</v>
      </c>
      <c r="M40" s="37">
        <f t="shared" si="2"/>
        <v>2187.4180000000001</v>
      </c>
      <c r="N40" s="37">
        <f t="shared" si="2"/>
        <v>2470.444</v>
      </c>
      <c r="O40" s="37">
        <f t="shared" si="2"/>
        <v>2281.7599999999998</v>
      </c>
      <c r="P40" s="37">
        <f t="shared" si="2"/>
        <v>2659.1280000000002</v>
      </c>
      <c r="Q40" s="35">
        <f t="shared" si="4"/>
        <v>2399.6875</v>
      </c>
    </row>
    <row r="41" spans="2:17" x14ac:dyDescent="0.25">
      <c r="B41" s="4" t="s">
        <v>106</v>
      </c>
      <c r="C41" s="23">
        <f t="shared" si="3"/>
        <v>8386693.3489999995</v>
      </c>
      <c r="D41" s="23">
        <f t="shared" si="3"/>
        <v>8492226.943</v>
      </c>
      <c r="E41" s="27">
        <f t="shared" si="3"/>
        <v>8883145.0869999994</v>
      </c>
      <c r="F41" s="60">
        <f t="shared" si="5"/>
        <v>8587.3551263333338</v>
      </c>
      <c r="H41" s="4" t="s">
        <v>72</v>
      </c>
      <c r="I41" s="95">
        <f t="shared" si="1"/>
        <v>0</v>
      </c>
      <c r="K41" s="3" t="s">
        <v>201</v>
      </c>
      <c r="L41" s="165">
        <f t="shared" si="2"/>
        <v>1829.796</v>
      </c>
      <c r="M41" s="165">
        <f t="shared" si="2"/>
        <v>1829.796</v>
      </c>
      <c r="N41" s="165">
        <f t="shared" si="2"/>
        <v>1829.796</v>
      </c>
      <c r="O41" s="165">
        <f t="shared" si="2"/>
        <v>1829.796</v>
      </c>
      <c r="P41" s="165">
        <f t="shared" si="2"/>
        <v>1829.796</v>
      </c>
      <c r="Q41" s="40">
        <f t="shared" si="4"/>
        <v>1829.796</v>
      </c>
    </row>
    <row r="42" spans="2:17" x14ac:dyDescent="0.25">
      <c r="B42" s="21" t="s">
        <v>107</v>
      </c>
      <c r="C42" s="92">
        <f t="shared" si="3"/>
        <v>165234815.18362999</v>
      </c>
      <c r="D42" s="92">
        <f t="shared" si="3"/>
        <v>163481036.9066</v>
      </c>
      <c r="E42" s="58">
        <f t="shared" si="3"/>
        <v>173858453.08399999</v>
      </c>
      <c r="F42" s="60">
        <f t="shared" si="5"/>
        <v>167524.76839141001</v>
      </c>
      <c r="H42" s="4" t="s">
        <v>110</v>
      </c>
      <c r="I42" s="95">
        <f t="shared" si="1"/>
        <v>0</v>
      </c>
      <c r="K42" s="3" t="s">
        <v>31</v>
      </c>
      <c r="L42" s="165">
        <f>1.097*L19</f>
        <v>18725.79</v>
      </c>
      <c r="M42" s="165">
        <f>1.097*M19</f>
        <v>24759.29</v>
      </c>
      <c r="N42" s="165">
        <f>1.097*N19</f>
        <v>27192.435999999998</v>
      </c>
      <c r="O42" s="165">
        <f>1.097*O19</f>
        <v>34503.940999999999</v>
      </c>
      <c r="P42" s="165">
        <f>1.097*P19</f>
        <v>37046.786999999997</v>
      </c>
      <c r="Q42" s="40">
        <f t="shared" si="4"/>
        <v>30875.613499999996</v>
      </c>
    </row>
    <row r="43" spans="2:17" x14ac:dyDescent="0.25">
      <c r="B43" s="4" t="s">
        <v>109</v>
      </c>
      <c r="C43" s="23">
        <f t="shared" si="3"/>
        <v>0</v>
      </c>
      <c r="D43" s="23">
        <f t="shared" si="3"/>
        <v>0</v>
      </c>
      <c r="E43" s="27">
        <f t="shared" si="3"/>
        <v>0</v>
      </c>
      <c r="F43" s="60">
        <f t="shared" si="5"/>
        <v>0</v>
      </c>
      <c r="H43" s="4" t="s">
        <v>111</v>
      </c>
      <c r="I43" s="95">
        <f t="shared" si="1"/>
        <v>3291000</v>
      </c>
      <c r="L43" s="60"/>
      <c r="Q43" s="60"/>
    </row>
    <row r="44" spans="2:17" x14ac:dyDescent="0.25">
      <c r="B44" s="4" t="s">
        <v>110</v>
      </c>
      <c r="C44" s="23">
        <f t="shared" si="3"/>
        <v>217639.315</v>
      </c>
      <c r="D44" s="23">
        <f t="shared" si="3"/>
        <v>217639.315</v>
      </c>
      <c r="E44" s="27">
        <f t="shared" si="3"/>
        <v>435278.63</v>
      </c>
      <c r="F44" s="60">
        <f t="shared" si="5"/>
        <v>290.18575333333337</v>
      </c>
      <c r="H44" s="4" t="s">
        <v>123</v>
      </c>
      <c r="I44" s="95">
        <f t="shared" si="1"/>
        <v>2194000</v>
      </c>
    </row>
    <row r="45" spans="2:17" x14ac:dyDescent="0.25">
      <c r="B45" s="4" t="s">
        <v>111</v>
      </c>
      <c r="C45" s="23">
        <f t="shared" si="3"/>
        <v>3054662.32</v>
      </c>
      <c r="D45" s="23">
        <f t="shared" si="3"/>
        <v>3054662.32</v>
      </c>
      <c r="E45" s="27">
        <f t="shared" si="3"/>
        <v>6109324.6399999997</v>
      </c>
      <c r="F45" s="60">
        <f t="shared" si="5"/>
        <v>4072.8830933333334</v>
      </c>
      <c r="H45" s="4" t="s">
        <v>92</v>
      </c>
      <c r="I45" s="95">
        <f t="shared" si="1"/>
        <v>2194000</v>
      </c>
    </row>
    <row r="46" spans="2:17" x14ac:dyDescent="0.25">
      <c r="B46" s="22" t="s">
        <v>123</v>
      </c>
      <c r="C46" s="23">
        <f t="shared" si="3"/>
        <v>1831256.1069999998</v>
      </c>
      <c r="D46" s="23">
        <f t="shared" si="3"/>
        <v>1831256.1069999998</v>
      </c>
      <c r="E46" s="27">
        <f t="shared" si="3"/>
        <v>1831256.1069999998</v>
      </c>
      <c r="F46" s="60">
        <f t="shared" si="5"/>
        <v>1831.2561069999999</v>
      </c>
      <c r="H46" s="4" t="s">
        <v>93</v>
      </c>
      <c r="I46" s="95">
        <f t="shared" si="1"/>
        <v>3291000</v>
      </c>
    </row>
    <row r="47" spans="2:17" x14ac:dyDescent="0.25">
      <c r="B47" s="4" t="s">
        <v>93</v>
      </c>
      <c r="C47" s="23">
        <f t="shared" si="3"/>
        <v>5110150.7120000003</v>
      </c>
      <c r="D47" s="23">
        <f t="shared" si="3"/>
        <v>5057537.4950000001</v>
      </c>
      <c r="E47" s="27">
        <f t="shared" si="3"/>
        <v>5463624.9550000001</v>
      </c>
      <c r="F47" s="60">
        <f t="shared" si="5"/>
        <v>5210.4377206666668</v>
      </c>
      <c r="H47" s="4" t="s">
        <v>112</v>
      </c>
      <c r="I47" s="95">
        <f t="shared" si="1"/>
        <v>5485000</v>
      </c>
    </row>
    <row r="48" spans="2:17" x14ac:dyDescent="0.25">
      <c r="B48" s="4" t="s">
        <v>92</v>
      </c>
      <c r="C48" s="23">
        <f t="shared" si="3"/>
        <v>5110150.7120000003</v>
      </c>
      <c r="D48" s="23">
        <f t="shared" si="3"/>
        <v>5057537.4950000001</v>
      </c>
      <c r="E48" s="27">
        <f t="shared" si="3"/>
        <v>3865631.6370000001</v>
      </c>
      <c r="F48" s="60">
        <f t="shared" si="5"/>
        <v>4677.7732813333341</v>
      </c>
      <c r="H48" s="21" t="s">
        <v>113</v>
      </c>
      <c r="I48" s="95">
        <f t="shared" si="1"/>
        <v>16455000</v>
      </c>
    </row>
    <row r="49" spans="1:9" x14ac:dyDescent="0.25">
      <c r="B49" s="4" t="s">
        <v>112</v>
      </c>
      <c r="C49" s="23">
        <f t="shared" si="3"/>
        <v>9027933.7290000003</v>
      </c>
      <c r="D49" s="23">
        <f t="shared" si="3"/>
        <v>8934983.8220000006</v>
      </c>
      <c r="E49" s="27">
        <f t="shared" si="3"/>
        <v>9531020.1229999997</v>
      </c>
      <c r="F49" s="60">
        <f t="shared" si="5"/>
        <v>9164.6458913333317</v>
      </c>
      <c r="H49" s="3" t="s">
        <v>31</v>
      </c>
      <c r="I49" s="95">
        <f t="shared" si="1"/>
        <v>110797000</v>
      </c>
    </row>
    <row r="50" spans="1:9" x14ac:dyDescent="0.25">
      <c r="B50" s="21" t="s">
        <v>113</v>
      </c>
      <c r="C50" s="92">
        <f t="shared" si="3"/>
        <v>24351792.895</v>
      </c>
      <c r="D50" s="92">
        <f t="shared" si="3"/>
        <v>24153616.553999998</v>
      </c>
      <c r="E50" s="58">
        <f t="shared" si="3"/>
        <v>27236136.092</v>
      </c>
      <c r="F50" s="60">
        <f t="shared" si="5"/>
        <v>25247.181847000003</v>
      </c>
      <c r="H50" s="25" t="s">
        <v>346</v>
      </c>
      <c r="I50" s="96">
        <f t="shared" si="1"/>
        <v>18.649000000000001</v>
      </c>
    </row>
    <row r="51" spans="1:9" x14ac:dyDescent="0.25">
      <c r="B51" s="3" t="s">
        <v>114</v>
      </c>
      <c r="C51" s="33">
        <f t="shared" si="3"/>
        <v>189586608.07863</v>
      </c>
      <c r="D51" s="33">
        <f t="shared" si="3"/>
        <v>187634653.46060002</v>
      </c>
      <c r="E51" s="34">
        <f t="shared" si="3"/>
        <v>201094589.176</v>
      </c>
      <c r="F51" s="60">
        <f t="shared" si="5"/>
        <v>192771.95023841001</v>
      </c>
    </row>
    <row r="53" spans="1:9" s="164" customFormat="1" ht="15.75" thickBot="1" x14ac:dyDescent="0.3"/>
    <row r="54" spans="1:9" ht="15.75" thickTop="1" x14ac:dyDescent="0.25">
      <c r="A54" s="170" t="s">
        <v>393</v>
      </c>
      <c r="B54" s="171"/>
      <c r="C54" s="7"/>
    </row>
    <row r="55" spans="1:9" x14ac:dyDescent="0.25">
      <c r="A55" s="4"/>
      <c r="B55" s="5" t="s">
        <v>400</v>
      </c>
      <c r="C55" s="7"/>
    </row>
    <row r="56" spans="1:9" x14ac:dyDescent="0.25">
      <c r="A56" s="4" t="s">
        <v>719</v>
      </c>
      <c r="B56" s="5" t="s">
        <v>394</v>
      </c>
      <c r="C56" s="7" t="s">
        <v>395</v>
      </c>
    </row>
    <row r="57" spans="1:9" x14ac:dyDescent="0.25">
      <c r="A57" s="4"/>
      <c r="B57" s="5" t="s">
        <v>396</v>
      </c>
      <c r="C57" s="167">
        <v>9.5000000000000001E-2</v>
      </c>
    </row>
    <row r="58" spans="1:9" x14ac:dyDescent="0.25">
      <c r="A58" s="4"/>
      <c r="B58" s="5" t="s">
        <v>397</v>
      </c>
      <c r="C58" s="168">
        <v>0.02</v>
      </c>
    </row>
    <row r="59" spans="1:9" x14ac:dyDescent="0.25">
      <c r="A59" s="4"/>
      <c r="B59" s="5" t="s">
        <v>398</v>
      </c>
      <c r="C59" s="7" t="s">
        <v>399</v>
      </c>
    </row>
    <row r="60" spans="1:9" x14ac:dyDescent="0.25">
      <c r="A60" s="4"/>
      <c r="B60" s="5" t="s">
        <v>401</v>
      </c>
      <c r="C60" s="7">
        <v>1.34</v>
      </c>
    </row>
    <row r="61" spans="1:9" x14ac:dyDescent="0.25">
      <c r="A61" s="4"/>
      <c r="B61" s="5"/>
      <c r="C61" s="7"/>
    </row>
    <row r="62" spans="1:9" x14ac:dyDescent="0.25">
      <c r="A62" s="4"/>
      <c r="B62" s="5"/>
      <c r="C62" s="7"/>
    </row>
    <row r="63" spans="1:9" x14ac:dyDescent="0.25">
      <c r="A63" s="4"/>
      <c r="B63" s="5"/>
      <c r="C63" s="7"/>
    </row>
    <row r="64" spans="1:9" x14ac:dyDescent="0.25">
      <c r="A64" s="4" t="s">
        <v>720</v>
      </c>
      <c r="B64" s="5"/>
      <c r="C64" s="7"/>
    </row>
    <row r="65" spans="1:4" x14ac:dyDescent="0.25">
      <c r="A65" s="4"/>
      <c r="B65" s="5" t="s">
        <v>402</v>
      </c>
      <c r="C65" s="7" t="s">
        <v>403</v>
      </c>
    </row>
    <row r="66" spans="1:4" x14ac:dyDescent="0.25">
      <c r="A66" s="4"/>
      <c r="B66" s="5" t="s">
        <v>404</v>
      </c>
      <c r="C66" s="168">
        <v>0.8</v>
      </c>
    </row>
    <row r="67" spans="1:4" x14ac:dyDescent="0.25">
      <c r="A67" s="4"/>
      <c r="B67" s="5" t="s">
        <v>405</v>
      </c>
      <c r="C67" s="168">
        <v>0.9</v>
      </c>
    </row>
    <row r="68" spans="1:4" x14ac:dyDescent="0.25">
      <c r="A68" s="4"/>
      <c r="B68" s="5" t="s">
        <v>406</v>
      </c>
      <c r="C68" s="168" t="s">
        <v>407</v>
      </c>
    </row>
    <row r="69" spans="1:4" x14ac:dyDescent="0.25">
      <c r="A69" s="4"/>
      <c r="B69" s="5" t="s">
        <v>408</v>
      </c>
      <c r="C69" s="168" t="s">
        <v>407</v>
      </c>
    </row>
    <row r="70" spans="1:4" x14ac:dyDescent="0.25">
      <c r="A70" s="4"/>
      <c r="B70" s="5" t="s">
        <v>409</v>
      </c>
      <c r="C70" s="168" t="s">
        <v>410</v>
      </c>
      <c r="D70" t="s">
        <v>424</v>
      </c>
    </row>
    <row r="71" spans="1:4" x14ac:dyDescent="0.25">
      <c r="A71" s="4"/>
      <c r="B71" s="5" t="s">
        <v>411</v>
      </c>
      <c r="C71" s="7">
        <v>39</v>
      </c>
    </row>
    <row r="72" spans="1:4" x14ac:dyDescent="0.25">
      <c r="A72" s="4"/>
      <c r="B72" s="5" t="s">
        <v>412</v>
      </c>
      <c r="C72" s="168" t="s">
        <v>413</v>
      </c>
    </row>
    <row r="73" spans="1:4" x14ac:dyDescent="0.25">
      <c r="A73" s="4"/>
      <c r="B73" s="5" t="s">
        <v>414</v>
      </c>
      <c r="C73" s="7">
        <v>30</v>
      </c>
    </row>
    <row r="74" spans="1:4" x14ac:dyDescent="0.25">
      <c r="A74" s="4"/>
      <c r="B74" s="5"/>
      <c r="C74" s="7"/>
    </row>
    <row r="75" spans="1:4" x14ac:dyDescent="0.25">
      <c r="A75" s="4" t="s">
        <v>721</v>
      </c>
      <c r="B75" s="5"/>
      <c r="C75" s="7"/>
    </row>
    <row r="76" spans="1:4" x14ac:dyDescent="0.25">
      <c r="A76" s="4"/>
      <c r="B76" s="5" t="s">
        <v>409</v>
      </c>
      <c r="C76" s="7" t="s">
        <v>420</v>
      </c>
      <c r="D76" t="s">
        <v>423</v>
      </c>
    </row>
    <row r="77" spans="1:4" x14ac:dyDescent="0.25">
      <c r="A77" s="4"/>
      <c r="B77" s="5" t="s">
        <v>412</v>
      </c>
      <c r="C77" s="168" t="s">
        <v>413</v>
      </c>
    </row>
    <row r="78" spans="1:4" x14ac:dyDescent="0.25">
      <c r="A78" s="4"/>
      <c r="B78" s="5" t="s">
        <v>421</v>
      </c>
      <c r="C78" s="167">
        <v>7.0000000000000001E-3</v>
      </c>
    </row>
    <row r="79" spans="1:4" x14ac:dyDescent="0.25">
      <c r="A79" s="4"/>
      <c r="B79" s="5" t="s">
        <v>411</v>
      </c>
      <c r="C79" s="7">
        <v>27</v>
      </c>
      <c r="D79" t="s">
        <v>422</v>
      </c>
    </row>
    <row r="80" spans="1:4" x14ac:dyDescent="0.25">
      <c r="A80" s="3"/>
      <c r="B80" s="2" t="s">
        <v>414</v>
      </c>
      <c r="C80" s="6">
        <v>30</v>
      </c>
    </row>
  </sheetData>
  <mergeCells count="10">
    <mergeCell ref="C6:E6"/>
    <mergeCell ref="M4:M5"/>
    <mergeCell ref="M29:M30"/>
    <mergeCell ref="N4:N5"/>
    <mergeCell ref="O4:O5"/>
    <mergeCell ref="P4:P5"/>
    <mergeCell ref="N29:N30"/>
    <mergeCell ref="O29:O30"/>
    <mergeCell ref="P29:P30"/>
    <mergeCell ref="Q29:Q3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1"/>
  <sheetViews>
    <sheetView topLeftCell="AB1" workbookViewId="0">
      <selection activeCell="AN7" sqref="AN7:AN17"/>
    </sheetView>
  </sheetViews>
  <sheetFormatPr defaultRowHeight="15" x14ac:dyDescent="0.25"/>
  <cols>
    <col min="2" max="2" width="31" customWidth="1"/>
    <col min="3" max="3" width="17" bestFit="1" customWidth="1"/>
    <col min="4" max="4" width="16.85546875" bestFit="1" customWidth="1"/>
    <col min="5" max="5" width="13.7109375" bestFit="1" customWidth="1"/>
    <col min="6" max="6" width="12.5703125" bestFit="1" customWidth="1"/>
    <col min="7" max="7" width="12.5703125" customWidth="1"/>
    <col min="8" max="8" width="21.140625" customWidth="1"/>
    <col min="10" max="11" width="8.7109375" customWidth="1"/>
    <col min="16" max="16" width="27.42578125" bestFit="1" customWidth="1"/>
    <col min="26" max="26" width="27.42578125" bestFit="1" customWidth="1"/>
    <col min="39" max="39" width="32.28515625" customWidth="1"/>
    <col min="40" max="40" width="21.28515625" customWidth="1"/>
  </cols>
  <sheetData>
    <row r="1" spans="2:40" x14ac:dyDescent="0.25">
      <c r="B1" s="157" t="s">
        <v>635</v>
      </c>
      <c r="C1" s="157"/>
    </row>
    <row r="2" spans="2:40" x14ac:dyDescent="0.25">
      <c r="B2" s="141" t="s">
        <v>645</v>
      </c>
      <c r="C2" s="141"/>
      <c r="D2" s="141"/>
      <c r="H2" s="153" t="s">
        <v>646</v>
      </c>
      <c r="I2" s="153"/>
      <c r="J2" s="153"/>
      <c r="K2" s="153"/>
      <c r="L2" s="153"/>
      <c r="M2" s="153"/>
      <c r="N2" s="153"/>
      <c r="O2" s="153"/>
      <c r="P2" s="153"/>
      <c r="Q2" s="153"/>
      <c r="R2" s="153"/>
      <c r="S2" s="153"/>
      <c r="Z2" t="s">
        <v>745</v>
      </c>
      <c r="AG2" t="s">
        <v>746</v>
      </c>
      <c r="AM2" t="s">
        <v>753</v>
      </c>
    </row>
    <row r="3" spans="2:40" x14ac:dyDescent="0.25">
      <c r="B3" s="177" t="s">
        <v>94</v>
      </c>
      <c r="C3" s="178"/>
      <c r="D3" s="178"/>
      <c r="E3" s="178"/>
      <c r="F3" s="179"/>
      <c r="H3" s="200" t="s">
        <v>210</v>
      </c>
      <c r="I3" s="201"/>
      <c r="J3" s="201"/>
      <c r="K3" s="201"/>
      <c r="L3" s="201"/>
      <c r="M3" s="201"/>
      <c r="N3" s="202"/>
      <c r="P3" s="200" t="s">
        <v>223</v>
      </c>
      <c r="Q3" s="201"/>
      <c r="R3" s="201"/>
      <c r="S3" s="201"/>
      <c r="T3" s="201"/>
      <c r="U3" s="201"/>
      <c r="V3" s="201"/>
      <c r="W3" s="201"/>
      <c r="X3" s="202"/>
      <c r="Z3" s="207" t="s">
        <v>744</v>
      </c>
      <c r="AA3" s="208"/>
      <c r="AB3" s="208"/>
      <c r="AC3" s="208"/>
      <c r="AD3" s="208"/>
      <c r="AE3" s="208"/>
      <c r="AF3" s="209"/>
      <c r="AM3" s="200" t="s">
        <v>754</v>
      </c>
      <c r="AN3" s="202"/>
    </row>
    <row r="4" spans="2:40" x14ac:dyDescent="0.25">
      <c r="B4" s="177" t="s">
        <v>643</v>
      </c>
      <c r="C4" s="178"/>
      <c r="D4" s="178"/>
      <c r="E4" s="178"/>
      <c r="F4" s="179"/>
      <c r="H4" s="200" t="s">
        <v>95</v>
      </c>
      <c r="I4" s="281" t="s">
        <v>211</v>
      </c>
      <c r="J4" s="281"/>
      <c r="K4" s="281" t="s">
        <v>212</v>
      </c>
      <c r="L4" s="281"/>
      <c r="M4" s="281" t="s">
        <v>213</v>
      </c>
      <c r="N4" s="282"/>
      <c r="P4" s="200" t="s">
        <v>95</v>
      </c>
      <c r="Q4" s="280" t="s">
        <v>211</v>
      </c>
      <c r="R4" s="282"/>
      <c r="S4" s="280" t="s">
        <v>212</v>
      </c>
      <c r="T4" s="282"/>
      <c r="U4" s="280" t="s">
        <v>213</v>
      </c>
      <c r="V4" s="281"/>
      <c r="W4" s="281"/>
      <c r="X4" s="282"/>
      <c r="Z4" s="203" t="s">
        <v>95</v>
      </c>
      <c r="AA4" s="200"/>
      <c r="AB4" s="201" t="s">
        <v>741</v>
      </c>
      <c r="AC4" s="202"/>
      <c r="AD4" s="204"/>
      <c r="AE4" s="204" t="s">
        <v>742</v>
      </c>
      <c r="AF4" s="205"/>
      <c r="AM4" s="203" t="s">
        <v>95</v>
      </c>
      <c r="AN4" s="205" t="s">
        <v>755</v>
      </c>
    </row>
    <row r="5" spans="2:40" x14ac:dyDescent="0.25">
      <c r="B5" s="177" t="s">
        <v>95</v>
      </c>
      <c r="C5" s="178" t="s">
        <v>641</v>
      </c>
      <c r="D5" s="178"/>
      <c r="E5" s="178"/>
      <c r="F5" s="179"/>
      <c r="H5" s="203" t="s">
        <v>206</v>
      </c>
      <c r="I5" s="204">
        <v>4</v>
      </c>
      <c r="J5" s="204">
        <v>10</v>
      </c>
      <c r="K5" s="204">
        <v>4</v>
      </c>
      <c r="L5" s="204">
        <v>10</v>
      </c>
      <c r="M5" s="204">
        <v>4</v>
      </c>
      <c r="N5" s="205">
        <v>10</v>
      </c>
      <c r="P5" s="203" t="s">
        <v>206</v>
      </c>
      <c r="Q5" s="203">
        <v>4</v>
      </c>
      <c r="R5" s="205">
        <v>10</v>
      </c>
      <c r="S5" s="203">
        <v>4</v>
      </c>
      <c r="T5" s="205">
        <v>10</v>
      </c>
      <c r="U5" s="203">
        <v>2</v>
      </c>
      <c r="V5" s="204">
        <v>4</v>
      </c>
      <c r="W5" s="204">
        <v>6</v>
      </c>
      <c r="X5" s="205">
        <v>10</v>
      </c>
      <c r="Z5" s="203" t="s">
        <v>206</v>
      </c>
      <c r="AA5" s="263">
        <v>2</v>
      </c>
      <c r="AB5" s="264">
        <v>4</v>
      </c>
      <c r="AC5" s="265">
        <v>6</v>
      </c>
      <c r="AD5" s="264">
        <v>2</v>
      </c>
      <c r="AE5" s="264">
        <v>4</v>
      </c>
      <c r="AF5" s="265">
        <v>6</v>
      </c>
      <c r="AM5" s="203" t="s">
        <v>206</v>
      </c>
      <c r="AN5" s="205" t="s">
        <v>756</v>
      </c>
    </row>
    <row r="6" spans="2:40" x14ac:dyDescent="0.25">
      <c r="B6" s="180" t="s">
        <v>640</v>
      </c>
      <c r="C6" s="171" t="s">
        <v>96</v>
      </c>
      <c r="D6" s="171" t="s">
        <v>97</v>
      </c>
      <c r="E6" s="171" t="s">
        <v>98</v>
      </c>
      <c r="F6" s="181" t="s">
        <v>99</v>
      </c>
      <c r="H6" s="206" t="s">
        <v>100</v>
      </c>
      <c r="I6" s="287" t="s">
        <v>63</v>
      </c>
      <c r="J6" s="287"/>
      <c r="K6" s="287"/>
      <c r="L6" s="287"/>
      <c r="M6" s="287"/>
      <c r="N6" s="288"/>
      <c r="P6" s="206" t="s">
        <v>100</v>
      </c>
      <c r="Q6" s="286" t="s">
        <v>63</v>
      </c>
      <c r="R6" s="288"/>
      <c r="S6" s="286" t="s">
        <v>63</v>
      </c>
      <c r="T6" s="288"/>
      <c r="U6" s="286" t="s">
        <v>63</v>
      </c>
      <c r="V6" s="287"/>
      <c r="W6" s="287"/>
      <c r="X6" s="288"/>
      <c r="Z6" s="203" t="s">
        <v>743</v>
      </c>
      <c r="AA6" s="263" t="s">
        <v>63</v>
      </c>
      <c r="AB6" s="264" t="s">
        <v>63</v>
      </c>
      <c r="AC6" s="265" t="s">
        <v>63</v>
      </c>
      <c r="AD6" s="264" t="s">
        <v>63</v>
      </c>
      <c r="AE6" s="264" t="s">
        <v>63</v>
      </c>
      <c r="AF6" s="265" t="s">
        <v>63</v>
      </c>
      <c r="AM6" s="206" t="s">
        <v>743</v>
      </c>
      <c r="AN6" s="210"/>
    </row>
    <row r="7" spans="2:40" x14ac:dyDescent="0.25">
      <c r="B7" s="182" t="s">
        <v>100</v>
      </c>
      <c r="C7" s="134"/>
      <c r="D7" s="134"/>
      <c r="E7" s="134"/>
      <c r="F7" s="183"/>
      <c r="H7" s="203" t="s">
        <v>214</v>
      </c>
      <c r="I7" s="204">
        <f>180*I5</f>
        <v>720</v>
      </c>
      <c r="J7" s="204">
        <f>180*10</f>
        <v>1800</v>
      </c>
      <c r="K7" s="204">
        <f>171*K5</f>
        <v>684</v>
      </c>
      <c r="L7" s="204">
        <f>171*L5</f>
        <v>1710</v>
      </c>
      <c r="M7" s="204">
        <f>162*M5</f>
        <v>648</v>
      </c>
      <c r="N7" s="205">
        <f>162*N5</f>
        <v>1620</v>
      </c>
      <c r="P7" s="203" t="s">
        <v>214</v>
      </c>
      <c r="Q7" s="203">
        <f>289*4</f>
        <v>1156</v>
      </c>
      <c r="R7" s="205">
        <v>2310</v>
      </c>
      <c r="S7" s="203">
        <f>275*4</f>
        <v>1100</v>
      </c>
      <c r="T7" s="205">
        <v>2200</v>
      </c>
      <c r="U7" s="203">
        <v>696</v>
      </c>
      <c r="V7" s="204">
        <f>261*4</f>
        <v>1044</v>
      </c>
      <c r="W7" s="204">
        <v>1392</v>
      </c>
      <c r="X7" s="205">
        <v>2090</v>
      </c>
      <c r="Z7" s="200" t="s">
        <v>214</v>
      </c>
      <c r="AA7" s="200">
        <v>352</v>
      </c>
      <c r="AB7" s="201">
        <v>696</v>
      </c>
      <c r="AC7" s="202">
        <v>1032</v>
      </c>
      <c r="AD7" s="201">
        <v>336</v>
      </c>
      <c r="AE7" s="201">
        <v>660</v>
      </c>
      <c r="AF7" s="202">
        <v>984</v>
      </c>
      <c r="AM7" s="203" t="s">
        <v>757</v>
      </c>
      <c r="AN7" s="268">
        <v>3479</v>
      </c>
    </row>
    <row r="8" spans="2:40" x14ac:dyDescent="0.25">
      <c r="B8" s="180" t="s">
        <v>101</v>
      </c>
      <c r="C8" s="184">
        <v>46560000</v>
      </c>
      <c r="D8" s="184">
        <v>23760000</v>
      </c>
      <c r="E8" s="184">
        <v>13380000</v>
      </c>
      <c r="F8" s="185">
        <v>7260000</v>
      </c>
      <c r="H8" s="203" t="s">
        <v>215</v>
      </c>
      <c r="I8" s="204">
        <f>49*I5</f>
        <v>196</v>
      </c>
      <c r="J8" s="204">
        <f t="shared" ref="J8" si="0">49*J5</f>
        <v>490</v>
      </c>
      <c r="K8" s="204">
        <f>47*K5</f>
        <v>188</v>
      </c>
      <c r="L8" s="204">
        <f t="shared" ref="L8" si="1">47*L5</f>
        <v>470</v>
      </c>
      <c r="M8" s="204">
        <f>45*M5</f>
        <v>180</v>
      </c>
      <c r="N8" s="205">
        <f>45*N5</f>
        <v>450</v>
      </c>
      <c r="P8" s="203" t="s">
        <v>215</v>
      </c>
      <c r="Q8" s="203">
        <f>58*4</f>
        <v>232</v>
      </c>
      <c r="R8" s="205">
        <v>460</v>
      </c>
      <c r="S8" s="203">
        <f>55*4</f>
        <v>220</v>
      </c>
      <c r="T8" s="205">
        <v>440</v>
      </c>
      <c r="U8" s="203">
        <v>140</v>
      </c>
      <c r="V8" s="204">
        <f>52*4</f>
        <v>208</v>
      </c>
      <c r="W8" s="204">
        <v>276</v>
      </c>
      <c r="X8" s="205">
        <v>420</v>
      </c>
      <c r="Z8" s="203" t="s">
        <v>215</v>
      </c>
      <c r="AA8" s="203">
        <v>86</v>
      </c>
      <c r="AB8" s="204">
        <v>160</v>
      </c>
      <c r="AC8" s="205">
        <v>234</v>
      </c>
      <c r="AD8" s="204">
        <v>82</v>
      </c>
      <c r="AE8" s="204">
        <v>152</v>
      </c>
      <c r="AF8" s="205">
        <v>222</v>
      </c>
      <c r="AM8" s="203" t="s">
        <v>758</v>
      </c>
      <c r="AN8" s="269">
        <v>2393</v>
      </c>
    </row>
    <row r="9" spans="2:40" x14ac:dyDescent="0.25">
      <c r="B9" s="180" t="s">
        <v>102</v>
      </c>
      <c r="C9" s="184">
        <v>3600000</v>
      </c>
      <c r="D9" s="184">
        <v>3600000</v>
      </c>
      <c r="E9" s="184">
        <v>3600000</v>
      </c>
      <c r="F9" s="185">
        <v>3600000</v>
      </c>
      <c r="H9" s="203" t="s">
        <v>216</v>
      </c>
      <c r="I9" s="204">
        <v>155</v>
      </c>
      <c r="J9" s="204">
        <v>155</v>
      </c>
      <c r="K9" s="204">
        <v>133</v>
      </c>
      <c r="L9" s="204">
        <v>133</v>
      </c>
      <c r="M9" s="204">
        <v>115</v>
      </c>
      <c r="N9" s="205">
        <v>115</v>
      </c>
      <c r="P9" s="203" t="s">
        <v>216</v>
      </c>
      <c r="Q9" s="203">
        <v>155</v>
      </c>
      <c r="R9" s="205">
        <v>155</v>
      </c>
      <c r="S9" s="203">
        <v>133</v>
      </c>
      <c r="T9" s="205">
        <v>133</v>
      </c>
      <c r="U9" s="203">
        <v>115</v>
      </c>
      <c r="V9" s="204">
        <v>115</v>
      </c>
      <c r="W9" s="204">
        <v>115</v>
      </c>
      <c r="X9" s="205">
        <v>115</v>
      </c>
      <c r="Z9" s="203" t="s">
        <v>216</v>
      </c>
      <c r="AA9" s="203">
        <v>73</v>
      </c>
      <c r="AB9" s="204">
        <v>73</v>
      </c>
      <c r="AC9" s="205">
        <v>73</v>
      </c>
      <c r="AD9" s="204">
        <v>63</v>
      </c>
      <c r="AE9" s="204">
        <v>63</v>
      </c>
      <c r="AF9" s="205">
        <v>63</v>
      </c>
      <c r="AM9" s="203" t="s">
        <v>104</v>
      </c>
      <c r="AN9" s="269">
        <v>1507</v>
      </c>
    </row>
    <row r="10" spans="2:40" x14ac:dyDescent="0.25">
      <c r="B10" s="180" t="s">
        <v>103</v>
      </c>
      <c r="C10" s="184">
        <v>3173302</v>
      </c>
      <c r="D10" s="184">
        <v>1853216</v>
      </c>
      <c r="E10" s="184">
        <v>1193174</v>
      </c>
      <c r="F10" s="185">
        <v>863152</v>
      </c>
      <c r="H10" s="203" t="s">
        <v>217</v>
      </c>
      <c r="I10" s="204">
        <v>40</v>
      </c>
      <c r="J10" s="204">
        <v>40</v>
      </c>
      <c r="K10" s="204">
        <v>8</v>
      </c>
      <c r="L10" s="204">
        <v>8</v>
      </c>
      <c r="M10" s="204">
        <v>2</v>
      </c>
      <c r="N10" s="205">
        <v>2</v>
      </c>
      <c r="P10" s="203" t="s">
        <v>217</v>
      </c>
      <c r="Q10" s="203">
        <v>40</v>
      </c>
      <c r="R10" s="205">
        <v>40</v>
      </c>
      <c r="S10" s="203">
        <v>8</v>
      </c>
      <c r="T10" s="205">
        <v>8</v>
      </c>
      <c r="U10" s="203">
        <v>2</v>
      </c>
      <c r="V10" s="204">
        <v>2</v>
      </c>
      <c r="W10" s="204">
        <v>2</v>
      </c>
      <c r="X10" s="205">
        <v>2</v>
      </c>
      <c r="Z10" s="203" t="s">
        <v>217</v>
      </c>
      <c r="AA10" s="203">
        <v>8</v>
      </c>
      <c r="AB10" s="204">
        <v>8</v>
      </c>
      <c r="AC10" s="205">
        <v>8</v>
      </c>
      <c r="AD10" s="204">
        <v>2</v>
      </c>
      <c r="AE10" s="204">
        <v>2</v>
      </c>
      <c r="AF10" s="205">
        <v>2</v>
      </c>
      <c r="AM10" s="203" t="s">
        <v>759</v>
      </c>
      <c r="AN10" s="269">
        <v>369</v>
      </c>
    </row>
    <row r="11" spans="2:40" x14ac:dyDescent="0.25">
      <c r="B11" s="180" t="s">
        <v>104</v>
      </c>
      <c r="C11" s="184">
        <v>8599517</v>
      </c>
      <c r="D11" s="184">
        <v>6087485</v>
      </c>
      <c r="E11" s="184">
        <v>4831469</v>
      </c>
      <c r="F11" s="185">
        <v>4203461</v>
      </c>
      <c r="H11" s="203" t="s">
        <v>218</v>
      </c>
      <c r="I11" s="204">
        <f>47*I5</f>
        <v>188</v>
      </c>
      <c r="J11" s="204">
        <f>43*J5</f>
        <v>430</v>
      </c>
      <c r="K11" s="204">
        <f>44*4</f>
        <v>176</v>
      </c>
      <c r="L11" s="204">
        <v>410</v>
      </c>
      <c r="M11" s="204">
        <f>41*4</f>
        <v>164</v>
      </c>
      <c r="N11" s="205">
        <v>390</v>
      </c>
      <c r="P11" s="203" t="s">
        <v>218</v>
      </c>
      <c r="Q11" s="203">
        <f>55*4</f>
        <v>220</v>
      </c>
      <c r="R11" s="205">
        <v>430</v>
      </c>
      <c r="S11" s="203">
        <f>51*4</f>
        <v>204</v>
      </c>
      <c r="T11" s="205">
        <v>400</v>
      </c>
      <c r="U11" s="203">
        <v>132</v>
      </c>
      <c r="V11" s="204">
        <f>48*4</f>
        <v>192</v>
      </c>
      <c r="W11" s="204">
        <v>168</v>
      </c>
      <c r="X11" s="205">
        <v>380</v>
      </c>
      <c r="Z11" s="203" t="s">
        <v>218</v>
      </c>
      <c r="AA11" s="203">
        <v>104</v>
      </c>
      <c r="AB11" s="204">
        <v>188</v>
      </c>
      <c r="AC11" s="205">
        <v>270</v>
      </c>
      <c r="AD11" s="204">
        <v>96</v>
      </c>
      <c r="AE11" s="204">
        <v>176</v>
      </c>
      <c r="AF11" s="205">
        <v>252</v>
      </c>
      <c r="AM11" s="203" t="s">
        <v>760</v>
      </c>
      <c r="AN11" s="269">
        <v>535</v>
      </c>
    </row>
    <row r="12" spans="2:40" x14ac:dyDescent="0.25">
      <c r="B12" s="180" t="s">
        <v>108</v>
      </c>
      <c r="C12" s="184">
        <v>4694348</v>
      </c>
      <c r="D12" s="184">
        <v>3706099</v>
      </c>
      <c r="E12" s="184">
        <v>3211975</v>
      </c>
      <c r="F12" s="185">
        <v>2964913</v>
      </c>
      <c r="H12" s="203" t="s">
        <v>219</v>
      </c>
      <c r="I12" s="204">
        <f>52*I5</f>
        <v>208</v>
      </c>
      <c r="J12" s="204">
        <v>470</v>
      </c>
      <c r="K12" s="204">
        <f>49*4</f>
        <v>196</v>
      </c>
      <c r="L12" s="204">
        <v>450</v>
      </c>
      <c r="M12" s="204">
        <f>46*4</f>
        <v>184</v>
      </c>
      <c r="N12" s="205">
        <v>430</v>
      </c>
      <c r="P12" s="203" t="s">
        <v>219</v>
      </c>
      <c r="Q12" s="203">
        <f>63*4</f>
        <v>252</v>
      </c>
      <c r="R12" s="205">
        <v>500</v>
      </c>
      <c r="S12" s="203">
        <f>58*4</f>
        <v>232</v>
      </c>
      <c r="T12" s="205">
        <v>460</v>
      </c>
      <c r="U12" s="203">
        <v>152</v>
      </c>
      <c r="V12" s="204">
        <f>54*4</f>
        <v>216</v>
      </c>
      <c r="W12" s="204">
        <v>192</v>
      </c>
      <c r="X12" s="205">
        <v>430</v>
      </c>
      <c r="Z12" s="203" t="s">
        <v>219</v>
      </c>
      <c r="AA12" s="203">
        <v>124</v>
      </c>
      <c r="AB12" s="204">
        <v>224</v>
      </c>
      <c r="AC12" s="205">
        <v>324</v>
      </c>
      <c r="AD12" s="204">
        <v>116</v>
      </c>
      <c r="AE12" s="204">
        <v>212</v>
      </c>
      <c r="AF12" s="205">
        <v>306</v>
      </c>
      <c r="AM12" s="203" t="s">
        <v>761</v>
      </c>
      <c r="AN12" s="269">
        <v>1560</v>
      </c>
    </row>
    <row r="13" spans="2:40" x14ac:dyDescent="0.25">
      <c r="B13" s="180" t="s">
        <v>105</v>
      </c>
      <c r="C13" s="184">
        <v>2354557</v>
      </c>
      <c r="D13" s="184">
        <v>1623195</v>
      </c>
      <c r="E13" s="184">
        <v>1257513</v>
      </c>
      <c r="F13" s="185">
        <v>1074673</v>
      </c>
      <c r="H13" s="203" t="s">
        <v>220</v>
      </c>
      <c r="I13" s="204">
        <f>67*I5</f>
        <v>268</v>
      </c>
      <c r="J13" s="204">
        <v>610</v>
      </c>
      <c r="K13" s="204">
        <f>62*4</f>
        <v>248</v>
      </c>
      <c r="L13" s="204">
        <v>570</v>
      </c>
      <c r="M13" s="204">
        <f>58*4</f>
        <v>232</v>
      </c>
      <c r="N13" s="205">
        <v>540</v>
      </c>
      <c r="P13" s="203" t="s">
        <v>220</v>
      </c>
      <c r="Q13" s="203">
        <f>80*4</f>
        <v>320</v>
      </c>
      <c r="R13" s="205">
        <v>640</v>
      </c>
      <c r="S13" s="203">
        <f>73*4</f>
        <v>292</v>
      </c>
      <c r="T13" s="205">
        <v>590</v>
      </c>
      <c r="U13" s="203">
        <v>184</v>
      </c>
      <c r="V13" s="204">
        <f>68*4</f>
        <v>272</v>
      </c>
      <c r="W13" s="204">
        <v>240</v>
      </c>
      <c r="X13" s="205">
        <v>540</v>
      </c>
      <c r="Z13" s="203" t="s">
        <v>220</v>
      </c>
      <c r="AA13" s="203">
        <v>150</v>
      </c>
      <c r="AB13" s="204">
        <v>268</v>
      </c>
      <c r="AC13" s="205">
        <v>390</v>
      </c>
      <c r="AD13" s="204">
        <v>140</v>
      </c>
      <c r="AE13" s="204">
        <v>252</v>
      </c>
      <c r="AF13" s="205">
        <v>366</v>
      </c>
      <c r="AM13" s="203" t="s">
        <v>762</v>
      </c>
      <c r="AN13" s="269">
        <v>1209</v>
      </c>
    </row>
    <row r="14" spans="2:40" x14ac:dyDescent="0.25">
      <c r="B14" s="182" t="s">
        <v>106</v>
      </c>
      <c r="C14" s="186">
        <v>3807403</v>
      </c>
      <c r="D14" s="186">
        <v>2236341</v>
      </c>
      <c r="E14" s="186">
        <v>1509970</v>
      </c>
      <c r="F14" s="187">
        <v>1092844</v>
      </c>
      <c r="H14" s="203" t="s">
        <v>221</v>
      </c>
      <c r="I14" s="204">
        <v>31</v>
      </c>
      <c r="J14" s="204">
        <v>31</v>
      </c>
      <c r="K14" s="204">
        <v>25</v>
      </c>
      <c r="L14" s="204">
        <v>25</v>
      </c>
      <c r="M14" s="204">
        <v>20</v>
      </c>
      <c r="N14" s="205">
        <v>20</v>
      </c>
      <c r="P14" s="203" t="s">
        <v>221</v>
      </c>
      <c r="Q14" s="203">
        <v>31</v>
      </c>
      <c r="R14" s="205">
        <v>31</v>
      </c>
      <c r="S14" s="203">
        <v>25</v>
      </c>
      <c r="T14" s="205">
        <v>25</v>
      </c>
      <c r="U14" s="203">
        <v>20</v>
      </c>
      <c r="V14" s="204">
        <v>20</v>
      </c>
      <c r="W14" s="204">
        <v>20</v>
      </c>
      <c r="X14" s="205">
        <v>20</v>
      </c>
      <c r="Z14" s="206" t="s">
        <v>221</v>
      </c>
      <c r="AA14" s="206">
        <v>25</v>
      </c>
      <c r="AB14" s="150">
        <v>25</v>
      </c>
      <c r="AC14" s="210">
        <v>25</v>
      </c>
      <c r="AD14" s="150">
        <v>20</v>
      </c>
      <c r="AE14" s="150">
        <v>20</v>
      </c>
      <c r="AF14" s="210">
        <v>20</v>
      </c>
      <c r="AM14" s="203" t="s">
        <v>763</v>
      </c>
      <c r="AN14" s="269">
        <v>1940</v>
      </c>
    </row>
    <row r="15" spans="2:40" x14ac:dyDescent="0.25">
      <c r="B15" s="177" t="s">
        <v>107</v>
      </c>
      <c r="C15" s="188">
        <f>SUM(C8:C14)</f>
        <v>72789127</v>
      </c>
      <c r="D15" s="188">
        <f>SUM(D8:D14)</f>
        <v>42866336</v>
      </c>
      <c r="E15" s="188">
        <f>SUM(E8:E14)</f>
        <v>28984101</v>
      </c>
      <c r="F15" s="189">
        <f>SUM(F8:F14)</f>
        <v>21059043</v>
      </c>
      <c r="H15" s="207" t="s">
        <v>222</v>
      </c>
      <c r="I15" s="208">
        <f>SUM(I7:I14)</f>
        <v>1806</v>
      </c>
      <c r="J15" s="208">
        <f t="shared" ref="J15:N15" si="2">SUM(J7:J14)</f>
        <v>4026</v>
      </c>
      <c r="K15" s="208">
        <f t="shared" si="2"/>
        <v>1658</v>
      </c>
      <c r="L15" s="208">
        <f t="shared" si="2"/>
        <v>3776</v>
      </c>
      <c r="M15" s="208">
        <f t="shared" si="2"/>
        <v>1545</v>
      </c>
      <c r="N15" s="209">
        <f t="shared" si="2"/>
        <v>3567</v>
      </c>
      <c r="P15" s="207" t="s">
        <v>222</v>
      </c>
      <c r="Q15" s="207">
        <f>SUM(Q7:Q14)</f>
        <v>2406</v>
      </c>
      <c r="R15" s="209">
        <f t="shared" ref="R15:X15" si="3">SUM(R7:R14)</f>
        <v>4566</v>
      </c>
      <c r="S15" s="207">
        <f t="shared" si="3"/>
        <v>2214</v>
      </c>
      <c r="T15" s="209">
        <f t="shared" si="3"/>
        <v>4256</v>
      </c>
      <c r="U15" s="207">
        <v>1438</v>
      </c>
      <c r="V15" s="208">
        <f t="shared" si="3"/>
        <v>2069</v>
      </c>
      <c r="W15" s="208">
        <v>2710</v>
      </c>
      <c r="X15" s="209">
        <f t="shared" si="3"/>
        <v>3997</v>
      </c>
      <c r="Z15" s="206" t="s">
        <v>222</v>
      </c>
      <c r="AA15" s="206">
        <v>922</v>
      </c>
      <c r="AB15" s="150">
        <v>1643</v>
      </c>
      <c r="AC15" s="210">
        <v>2355</v>
      </c>
      <c r="AD15" s="150">
        <v>854</v>
      </c>
      <c r="AE15" s="150">
        <v>1541</v>
      </c>
      <c r="AF15" s="210">
        <v>2220</v>
      </c>
      <c r="AM15" s="203" t="s">
        <v>764</v>
      </c>
      <c r="AN15" s="269">
        <v>3829</v>
      </c>
    </row>
    <row r="16" spans="2:40" x14ac:dyDescent="0.25">
      <c r="B16" s="180" t="s">
        <v>109</v>
      </c>
      <c r="C16" s="184">
        <v>0</v>
      </c>
      <c r="D16" s="184">
        <v>0</v>
      </c>
      <c r="E16" s="184">
        <v>0</v>
      </c>
      <c r="F16" s="185">
        <v>0</v>
      </c>
      <c r="AM16" s="206" t="s">
        <v>765</v>
      </c>
      <c r="AN16" s="269">
        <v>1920</v>
      </c>
    </row>
    <row r="17" spans="2:40" x14ac:dyDescent="0.25">
      <c r="B17" s="180" t="s">
        <v>110</v>
      </c>
      <c r="C17" s="184">
        <v>295289</v>
      </c>
      <c r="D17" s="184">
        <v>295289</v>
      </c>
      <c r="E17" s="184">
        <v>295289</v>
      </c>
      <c r="F17" s="185">
        <v>295289</v>
      </c>
      <c r="AM17" s="270" t="s">
        <v>766</v>
      </c>
      <c r="AN17" s="270">
        <f>SUM(AN7:AN16)</f>
        <v>18741</v>
      </c>
    </row>
    <row r="18" spans="2:40" x14ac:dyDescent="0.25">
      <c r="B18" s="180" t="s">
        <v>111</v>
      </c>
      <c r="C18" s="184">
        <v>1849475</v>
      </c>
      <c r="D18" s="184">
        <v>1849475</v>
      </c>
      <c r="E18" s="184">
        <v>1849475</v>
      </c>
      <c r="F18" s="185">
        <v>1849475</v>
      </c>
    </row>
    <row r="19" spans="2:40" x14ac:dyDescent="0.25">
      <c r="B19" s="180" t="s">
        <v>93</v>
      </c>
      <c r="C19" s="184">
        <v>2265878</v>
      </c>
      <c r="D19" s="184">
        <v>1359264</v>
      </c>
      <c r="E19" s="184">
        <v>938331</v>
      </c>
      <c r="F19" s="185">
        <v>698347</v>
      </c>
      <c r="H19" s="18">
        <f>C8/60000</f>
        <v>776</v>
      </c>
      <c r="I19" s="18">
        <f>D8/60000</f>
        <v>396</v>
      </c>
    </row>
    <row r="20" spans="2:40" x14ac:dyDescent="0.25">
      <c r="B20" s="180" t="s">
        <v>92</v>
      </c>
      <c r="C20" s="184">
        <v>1603157</v>
      </c>
      <c r="D20" s="184">
        <v>961708</v>
      </c>
      <c r="E20" s="184">
        <v>663889</v>
      </c>
      <c r="F20" s="185">
        <v>494095</v>
      </c>
      <c r="AB20">
        <f>179*2</f>
        <v>358</v>
      </c>
    </row>
    <row r="21" spans="2:40" x14ac:dyDescent="0.25">
      <c r="B21" s="182" t="s">
        <v>112</v>
      </c>
      <c r="C21" s="186">
        <v>3940146</v>
      </c>
      <c r="D21" s="186">
        <v>2366604</v>
      </c>
      <c r="E21" s="186">
        <v>1636554</v>
      </c>
      <c r="F21" s="187">
        <v>1219812</v>
      </c>
    </row>
    <row r="22" spans="2:40" x14ac:dyDescent="0.25">
      <c r="B22" s="177" t="s">
        <v>113</v>
      </c>
      <c r="C22" s="188">
        <f>SUM(C17:C21)</f>
        <v>9953945</v>
      </c>
      <c r="D22" s="188">
        <f>SUM(D17:D21)</f>
        <v>6832340</v>
      </c>
      <c r="E22" s="188">
        <f>SUM(E17:E21)</f>
        <v>5383538</v>
      </c>
      <c r="F22" s="189">
        <f>SUM(F17:F21)</f>
        <v>4557018</v>
      </c>
    </row>
    <row r="23" spans="2:40" x14ac:dyDescent="0.25">
      <c r="B23" s="182" t="s">
        <v>114</v>
      </c>
      <c r="C23" s="186">
        <f>C15+C22</f>
        <v>82743072</v>
      </c>
      <c r="D23" s="186">
        <f>D15+D22</f>
        <v>49698676</v>
      </c>
      <c r="E23" s="186">
        <f>E15+E22</f>
        <v>34367639</v>
      </c>
      <c r="F23" s="187">
        <f>F15+F22</f>
        <v>25616061</v>
      </c>
    </row>
    <row r="25" spans="2:40" s="164" customFormat="1" ht="15.75" thickBot="1" x14ac:dyDescent="0.3"/>
    <row r="26" spans="2:40" ht="15.75" thickTop="1" x14ac:dyDescent="0.25">
      <c r="B26" s="55" t="s">
        <v>373</v>
      </c>
      <c r="C26" s="55"/>
    </row>
    <row r="28" spans="2:40" x14ac:dyDescent="0.25">
      <c r="B28" s="177" t="s">
        <v>94</v>
      </c>
      <c r="C28" s="178"/>
      <c r="D28" s="178"/>
      <c r="E28" s="178"/>
      <c r="F28" s="179"/>
      <c r="H28" s="200" t="s">
        <v>210</v>
      </c>
      <c r="I28" s="201"/>
      <c r="J28" s="201"/>
      <c r="K28" s="201"/>
      <c r="L28" s="201"/>
      <c r="M28" s="201"/>
      <c r="N28" s="202"/>
      <c r="P28" s="207" t="s">
        <v>223</v>
      </c>
      <c r="Q28" s="208"/>
      <c r="R28" s="208"/>
      <c r="S28" s="208"/>
      <c r="T28" s="208"/>
      <c r="U28" s="208"/>
      <c r="V28" s="208"/>
      <c r="W28" s="208"/>
      <c r="X28" s="209"/>
    </row>
    <row r="29" spans="2:40" x14ac:dyDescent="0.25">
      <c r="B29" s="177" t="s">
        <v>209</v>
      </c>
      <c r="C29" s="178"/>
      <c r="D29" s="178"/>
      <c r="E29" s="178"/>
      <c r="F29" s="179"/>
      <c r="H29" s="200" t="s">
        <v>95</v>
      </c>
      <c r="I29" s="281" t="s">
        <v>211</v>
      </c>
      <c r="J29" s="281"/>
      <c r="K29" s="281" t="s">
        <v>212</v>
      </c>
      <c r="L29" s="281"/>
      <c r="M29" s="281" t="s">
        <v>213</v>
      </c>
      <c r="N29" s="282"/>
      <c r="P29" s="203" t="s">
        <v>95</v>
      </c>
      <c r="Q29" s="289" t="s">
        <v>211</v>
      </c>
      <c r="R29" s="290"/>
      <c r="S29" s="291" t="s">
        <v>212</v>
      </c>
      <c r="T29" s="291"/>
      <c r="U29" s="280" t="s">
        <v>213</v>
      </c>
      <c r="V29" s="281"/>
      <c r="W29" s="281"/>
      <c r="X29" s="282"/>
    </row>
    <row r="30" spans="2:40" x14ac:dyDescent="0.25">
      <c r="B30" s="180" t="s">
        <v>95</v>
      </c>
      <c r="C30" s="171" t="s">
        <v>96</v>
      </c>
      <c r="D30" s="171" t="s">
        <v>97</v>
      </c>
      <c r="E30" s="171" t="s">
        <v>98</v>
      </c>
      <c r="F30" s="181" t="s">
        <v>99</v>
      </c>
      <c r="H30" s="203" t="s">
        <v>206</v>
      </c>
      <c r="I30" s="204">
        <v>4</v>
      </c>
      <c r="J30" s="204">
        <v>10</v>
      </c>
      <c r="K30" s="204">
        <v>4</v>
      </c>
      <c r="L30" s="204">
        <v>10</v>
      </c>
      <c r="M30" s="204">
        <v>4</v>
      </c>
      <c r="N30" s="205">
        <v>10</v>
      </c>
      <c r="P30" s="203" t="s">
        <v>206</v>
      </c>
      <c r="Q30" s="203">
        <v>4</v>
      </c>
      <c r="R30" s="205">
        <v>10</v>
      </c>
      <c r="S30" s="204">
        <v>4</v>
      </c>
      <c r="T30" s="204">
        <v>10</v>
      </c>
      <c r="U30" s="203">
        <v>2</v>
      </c>
      <c r="V30" s="204">
        <v>4</v>
      </c>
      <c r="W30" s="204">
        <v>6</v>
      </c>
      <c r="X30" s="205">
        <v>10</v>
      </c>
    </row>
    <row r="31" spans="2:40" x14ac:dyDescent="0.25">
      <c r="B31" s="182" t="s">
        <v>100</v>
      </c>
      <c r="C31" s="134"/>
      <c r="D31" s="134"/>
      <c r="E31" s="134"/>
      <c r="F31" s="183"/>
      <c r="H31" s="206" t="s">
        <v>100</v>
      </c>
      <c r="I31" s="287" t="s">
        <v>63</v>
      </c>
      <c r="J31" s="287"/>
      <c r="K31" s="287"/>
      <c r="L31" s="287"/>
      <c r="M31" s="287"/>
      <c r="N31" s="288"/>
      <c r="P31" s="206" t="s">
        <v>100</v>
      </c>
      <c r="Q31" s="286" t="s">
        <v>63</v>
      </c>
      <c r="R31" s="288"/>
      <c r="S31" s="286" t="s">
        <v>63</v>
      </c>
      <c r="T31" s="287"/>
      <c r="U31" s="286" t="s">
        <v>63</v>
      </c>
      <c r="V31" s="287"/>
      <c r="W31" s="287"/>
      <c r="X31" s="288"/>
    </row>
    <row r="32" spans="2:40" x14ac:dyDescent="0.25">
      <c r="B32" s="190" t="s">
        <v>101</v>
      </c>
      <c r="C32" s="191">
        <f t="shared" ref="C32:F47" si="4">C8*1.0197</f>
        <v>47477232</v>
      </c>
      <c r="D32" s="191">
        <f t="shared" si="4"/>
        <v>24228072</v>
      </c>
      <c r="E32" s="191">
        <f t="shared" si="4"/>
        <v>13643586</v>
      </c>
      <c r="F32" s="192">
        <f t="shared" si="4"/>
        <v>7403022</v>
      </c>
      <c r="H32" s="200" t="s">
        <v>214</v>
      </c>
      <c r="I32" s="201">
        <f t="shared" ref="I32:N40" si="5">1.0197*I7</f>
        <v>734.18400000000008</v>
      </c>
      <c r="J32" s="201">
        <f t="shared" si="5"/>
        <v>1835.46</v>
      </c>
      <c r="K32" s="201">
        <f t="shared" si="5"/>
        <v>697.47480000000007</v>
      </c>
      <c r="L32" s="201">
        <f t="shared" si="5"/>
        <v>1743.6870000000001</v>
      </c>
      <c r="M32" s="201">
        <f t="shared" si="5"/>
        <v>660.76560000000006</v>
      </c>
      <c r="N32" s="202">
        <f t="shared" si="5"/>
        <v>1651.914</v>
      </c>
      <c r="P32" s="203" t="s">
        <v>214</v>
      </c>
      <c r="Q32" s="200">
        <f t="shared" ref="Q32:X32" si="6">1.097*Q7</f>
        <v>1268.1320000000001</v>
      </c>
      <c r="R32" s="202">
        <f t="shared" si="6"/>
        <v>2534.0700000000002</v>
      </c>
      <c r="S32" s="204">
        <f t="shared" si="6"/>
        <v>1206.7</v>
      </c>
      <c r="T32" s="204">
        <f t="shared" si="6"/>
        <v>2413.4</v>
      </c>
      <c r="U32" s="200">
        <f t="shared" si="6"/>
        <v>763.51199999999994</v>
      </c>
      <c r="V32" s="201">
        <f t="shared" si="6"/>
        <v>1145.268</v>
      </c>
      <c r="W32" s="201">
        <f t="shared" si="6"/>
        <v>1527.0239999999999</v>
      </c>
      <c r="X32" s="202">
        <f t="shared" si="6"/>
        <v>2292.73</v>
      </c>
    </row>
    <row r="33" spans="2:24" x14ac:dyDescent="0.25">
      <c r="B33" s="180" t="s">
        <v>102</v>
      </c>
      <c r="C33" s="193">
        <f t="shared" si="4"/>
        <v>3670920</v>
      </c>
      <c r="D33" s="193">
        <f t="shared" si="4"/>
        <v>3670920</v>
      </c>
      <c r="E33" s="193">
        <f t="shared" si="4"/>
        <v>3670920</v>
      </c>
      <c r="F33" s="194">
        <f t="shared" si="4"/>
        <v>3670920</v>
      </c>
      <c r="H33" s="203" t="s">
        <v>215</v>
      </c>
      <c r="I33" s="204">
        <f t="shared" si="5"/>
        <v>199.8612</v>
      </c>
      <c r="J33" s="204">
        <f t="shared" si="5"/>
        <v>499.65300000000002</v>
      </c>
      <c r="K33" s="204">
        <f t="shared" si="5"/>
        <v>191.70360000000002</v>
      </c>
      <c r="L33" s="204">
        <f t="shared" si="5"/>
        <v>479.25900000000001</v>
      </c>
      <c r="M33" s="204">
        <f t="shared" si="5"/>
        <v>183.54600000000002</v>
      </c>
      <c r="N33" s="205">
        <f t="shared" si="5"/>
        <v>458.86500000000001</v>
      </c>
      <c r="P33" s="203" t="s">
        <v>215</v>
      </c>
      <c r="Q33" s="203">
        <f t="shared" ref="Q33:T40" si="7">1.097*Q8</f>
        <v>254.50399999999999</v>
      </c>
      <c r="R33" s="205">
        <f t="shared" si="7"/>
        <v>504.62</v>
      </c>
      <c r="S33" s="204">
        <f t="shared" si="7"/>
        <v>241.34</v>
      </c>
      <c r="T33" s="204">
        <f t="shared" si="7"/>
        <v>482.68</v>
      </c>
      <c r="U33" s="203">
        <f t="shared" ref="U33:U40" si="8">1.097*U8</f>
        <v>153.57999999999998</v>
      </c>
      <c r="V33" s="204">
        <f t="shared" ref="V33:V40" si="9">1.097*V8</f>
        <v>228.17599999999999</v>
      </c>
      <c r="W33" s="204">
        <f t="shared" ref="W33:W40" si="10">1.097*W8</f>
        <v>302.77199999999999</v>
      </c>
      <c r="X33" s="205">
        <f t="shared" ref="X33:X40" si="11">1.097*X8</f>
        <v>460.74</v>
      </c>
    </row>
    <row r="34" spans="2:24" x14ac:dyDescent="0.25">
      <c r="B34" s="180" t="s">
        <v>103</v>
      </c>
      <c r="C34" s="193">
        <f t="shared" si="4"/>
        <v>3235816.0494000004</v>
      </c>
      <c r="D34" s="193">
        <f t="shared" si="4"/>
        <v>1889724.3552000001</v>
      </c>
      <c r="E34" s="193">
        <f t="shared" si="4"/>
        <v>1216679.5278</v>
      </c>
      <c r="F34" s="194">
        <f t="shared" si="4"/>
        <v>880156.09440000006</v>
      </c>
      <c r="H34" s="203" t="s">
        <v>216</v>
      </c>
      <c r="I34" s="204">
        <f t="shared" si="5"/>
        <v>158.05350000000001</v>
      </c>
      <c r="J34" s="204">
        <f t="shared" si="5"/>
        <v>158.05350000000001</v>
      </c>
      <c r="K34" s="204">
        <f t="shared" si="5"/>
        <v>135.62010000000001</v>
      </c>
      <c r="L34" s="204">
        <f t="shared" si="5"/>
        <v>135.62010000000001</v>
      </c>
      <c r="M34" s="204">
        <f t="shared" si="5"/>
        <v>117.2655</v>
      </c>
      <c r="N34" s="205">
        <f t="shared" si="5"/>
        <v>117.2655</v>
      </c>
      <c r="P34" s="203" t="s">
        <v>216</v>
      </c>
      <c r="Q34" s="203">
        <f t="shared" si="7"/>
        <v>170.035</v>
      </c>
      <c r="R34" s="205">
        <f t="shared" si="7"/>
        <v>170.035</v>
      </c>
      <c r="S34" s="204">
        <f t="shared" si="7"/>
        <v>145.90100000000001</v>
      </c>
      <c r="T34" s="204">
        <f t="shared" si="7"/>
        <v>145.90100000000001</v>
      </c>
      <c r="U34" s="203">
        <f t="shared" si="8"/>
        <v>126.155</v>
      </c>
      <c r="V34" s="204">
        <f t="shared" si="9"/>
        <v>126.155</v>
      </c>
      <c r="W34" s="204">
        <f t="shared" si="10"/>
        <v>126.155</v>
      </c>
      <c r="X34" s="205">
        <f t="shared" si="11"/>
        <v>126.155</v>
      </c>
    </row>
    <row r="35" spans="2:24" x14ac:dyDescent="0.25">
      <c r="B35" s="180" t="s">
        <v>104</v>
      </c>
      <c r="C35" s="193">
        <f t="shared" si="4"/>
        <v>8768927.4848999996</v>
      </c>
      <c r="D35" s="193">
        <f t="shared" si="4"/>
        <v>6207408.4545</v>
      </c>
      <c r="E35" s="193">
        <f t="shared" si="4"/>
        <v>4926648.9393000007</v>
      </c>
      <c r="F35" s="194">
        <f t="shared" si="4"/>
        <v>4286269.1817000005</v>
      </c>
      <c r="H35" s="203" t="s">
        <v>217</v>
      </c>
      <c r="I35" s="204">
        <f t="shared" si="5"/>
        <v>40.788000000000004</v>
      </c>
      <c r="J35" s="204">
        <f t="shared" si="5"/>
        <v>40.788000000000004</v>
      </c>
      <c r="K35" s="204">
        <f t="shared" si="5"/>
        <v>8.1576000000000004</v>
      </c>
      <c r="L35" s="204">
        <f t="shared" si="5"/>
        <v>8.1576000000000004</v>
      </c>
      <c r="M35" s="204">
        <f t="shared" si="5"/>
        <v>2.0394000000000001</v>
      </c>
      <c r="N35" s="205">
        <f t="shared" si="5"/>
        <v>2.0394000000000001</v>
      </c>
      <c r="P35" s="203" t="s">
        <v>217</v>
      </c>
      <c r="Q35" s="203">
        <f t="shared" si="7"/>
        <v>43.879999999999995</v>
      </c>
      <c r="R35" s="205">
        <f t="shared" si="7"/>
        <v>43.879999999999995</v>
      </c>
      <c r="S35" s="204">
        <f t="shared" si="7"/>
        <v>8.7759999999999998</v>
      </c>
      <c r="T35" s="204">
        <f t="shared" si="7"/>
        <v>8.7759999999999998</v>
      </c>
      <c r="U35" s="203">
        <f t="shared" si="8"/>
        <v>2.194</v>
      </c>
      <c r="V35" s="204">
        <f t="shared" si="9"/>
        <v>2.194</v>
      </c>
      <c r="W35" s="204">
        <f t="shared" si="10"/>
        <v>2.194</v>
      </c>
      <c r="X35" s="205">
        <f t="shared" si="11"/>
        <v>2.194</v>
      </c>
    </row>
    <row r="36" spans="2:24" x14ac:dyDescent="0.25">
      <c r="B36" s="180" t="s">
        <v>108</v>
      </c>
      <c r="C36" s="193">
        <f t="shared" si="4"/>
        <v>4786826.6556000002</v>
      </c>
      <c r="D36" s="193">
        <f t="shared" si="4"/>
        <v>3779109.1503000003</v>
      </c>
      <c r="E36" s="193">
        <f t="shared" si="4"/>
        <v>3275250.9075000002</v>
      </c>
      <c r="F36" s="194">
        <f t="shared" si="4"/>
        <v>3023321.7861000001</v>
      </c>
      <c r="H36" s="203" t="s">
        <v>218</v>
      </c>
      <c r="I36" s="204">
        <f t="shared" si="5"/>
        <v>191.70360000000002</v>
      </c>
      <c r="J36" s="204">
        <f t="shared" si="5"/>
        <v>438.471</v>
      </c>
      <c r="K36" s="204">
        <f t="shared" si="5"/>
        <v>179.46720000000002</v>
      </c>
      <c r="L36" s="204">
        <f t="shared" si="5"/>
        <v>418.077</v>
      </c>
      <c r="M36" s="204">
        <f t="shared" si="5"/>
        <v>167.23080000000002</v>
      </c>
      <c r="N36" s="205">
        <f t="shared" si="5"/>
        <v>397.68299999999999</v>
      </c>
      <c r="P36" s="203" t="s">
        <v>218</v>
      </c>
      <c r="Q36" s="203">
        <f t="shared" si="7"/>
        <v>241.34</v>
      </c>
      <c r="R36" s="205">
        <f t="shared" si="7"/>
        <v>471.71</v>
      </c>
      <c r="S36" s="204">
        <f t="shared" si="7"/>
        <v>223.78799999999998</v>
      </c>
      <c r="T36" s="204">
        <f t="shared" si="7"/>
        <v>438.8</v>
      </c>
      <c r="U36" s="203">
        <f t="shared" si="8"/>
        <v>144.804</v>
      </c>
      <c r="V36" s="204">
        <f t="shared" si="9"/>
        <v>210.624</v>
      </c>
      <c r="W36" s="204">
        <f t="shared" si="10"/>
        <v>184.29599999999999</v>
      </c>
      <c r="X36" s="205">
        <f t="shared" si="11"/>
        <v>416.86</v>
      </c>
    </row>
    <row r="37" spans="2:24" x14ac:dyDescent="0.25">
      <c r="B37" s="180" t="s">
        <v>105</v>
      </c>
      <c r="C37" s="193">
        <f t="shared" si="4"/>
        <v>2400941.7729000002</v>
      </c>
      <c r="D37" s="193">
        <f t="shared" si="4"/>
        <v>1655171.9415000002</v>
      </c>
      <c r="E37" s="193">
        <f t="shared" si="4"/>
        <v>1282286.0061000001</v>
      </c>
      <c r="F37" s="194">
        <f t="shared" si="4"/>
        <v>1095844.0581</v>
      </c>
      <c r="H37" s="203" t="s">
        <v>219</v>
      </c>
      <c r="I37" s="204">
        <f t="shared" si="5"/>
        <v>212.0976</v>
      </c>
      <c r="J37" s="204">
        <f t="shared" si="5"/>
        <v>479.25900000000001</v>
      </c>
      <c r="K37" s="204">
        <f t="shared" si="5"/>
        <v>199.8612</v>
      </c>
      <c r="L37" s="204">
        <f t="shared" si="5"/>
        <v>458.86500000000001</v>
      </c>
      <c r="M37" s="204">
        <f t="shared" si="5"/>
        <v>187.62480000000002</v>
      </c>
      <c r="N37" s="205">
        <f t="shared" si="5"/>
        <v>438.471</v>
      </c>
      <c r="P37" s="203" t="s">
        <v>219</v>
      </c>
      <c r="Q37" s="203">
        <f t="shared" si="7"/>
        <v>276.44400000000002</v>
      </c>
      <c r="R37" s="205">
        <f t="shared" si="7"/>
        <v>548.5</v>
      </c>
      <c r="S37" s="204">
        <f t="shared" si="7"/>
        <v>254.50399999999999</v>
      </c>
      <c r="T37" s="204">
        <f t="shared" si="7"/>
        <v>504.62</v>
      </c>
      <c r="U37" s="203">
        <f t="shared" si="8"/>
        <v>166.744</v>
      </c>
      <c r="V37" s="204">
        <f t="shared" si="9"/>
        <v>236.952</v>
      </c>
      <c r="W37" s="204">
        <f t="shared" si="10"/>
        <v>210.624</v>
      </c>
      <c r="X37" s="205">
        <f t="shared" si="11"/>
        <v>471.71</v>
      </c>
    </row>
    <row r="38" spans="2:24" x14ac:dyDescent="0.25">
      <c r="B38" s="180" t="s">
        <v>106</v>
      </c>
      <c r="C38" s="193">
        <f t="shared" si="4"/>
        <v>3882408.8391</v>
      </c>
      <c r="D38" s="193">
        <f t="shared" si="4"/>
        <v>2280396.9177000001</v>
      </c>
      <c r="E38" s="193">
        <f t="shared" si="4"/>
        <v>1539716.409</v>
      </c>
      <c r="F38" s="194">
        <f t="shared" si="4"/>
        <v>1114373.0268000001</v>
      </c>
      <c r="H38" s="203" t="s">
        <v>220</v>
      </c>
      <c r="I38" s="204">
        <f t="shared" si="5"/>
        <v>273.27960000000002</v>
      </c>
      <c r="J38" s="204">
        <f t="shared" si="5"/>
        <v>622.01700000000005</v>
      </c>
      <c r="K38" s="204">
        <f t="shared" si="5"/>
        <v>252.88560000000001</v>
      </c>
      <c r="L38" s="204">
        <f t="shared" si="5"/>
        <v>581.22900000000004</v>
      </c>
      <c r="M38" s="204">
        <f t="shared" si="5"/>
        <v>236.57040000000001</v>
      </c>
      <c r="N38" s="205">
        <f t="shared" si="5"/>
        <v>550.63800000000003</v>
      </c>
      <c r="P38" s="203" t="s">
        <v>220</v>
      </c>
      <c r="Q38" s="203">
        <f t="shared" si="7"/>
        <v>351.03999999999996</v>
      </c>
      <c r="R38" s="205">
        <f t="shared" si="7"/>
        <v>702.07999999999993</v>
      </c>
      <c r="S38" s="204">
        <f t="shared" si="7"/>
        <v>320.32400000000001</v>
      </c>
      <c r="T38" s="204">
        <f t="shared" si="7"/>
        <v>647.23</v>
      </c>
      <c r="U38" s="203">
        <f t="shared" si="8"/>
        <v>201.84799999999998</v>
      </c>
      <c r="V38" s="204">
        <f t="shared" si="9"/>
        <v>298.38400000000001</v>
      </c>
      <c r="W38" s="204">
        <f t="shared" si="10"/>
        <v>263.27999999999997</v>
      </c>
      <c r="X38" s="205">
        <f t="shared" si="11"/>
        <v>592.38</v>
      </c>
    </row>
    <row r="39" spans="2:24" x14ac:dyDescent="0.25">
      <c r="B39" s="177" t="s">
        <v>107</v>
      </c>
      <c r="C39" s="195">
        <f t="shared" si="4"/>
        <v>74223072.801899999</v>
      </c>
      <c r="D39" s="195">
        <f t="shared" si="4"/>
        <v>43710802.819200002</v>
      </c>
      <c r="E39" s="195">
        <f t="shared" si="4"/>
        <v>29555087.789700001</v>
      </c>
      <c r="F39" s="196">
        <f t="shared" si="4"/>
        <v>21473906.147100002</v>
      </c>
      <c r="H39" s="206" t="s">
        <v>221</v>
      </c>
      <c r="I39" s="150">
        <f t="shared" si="5"/>
        <v>31.610700000000001</v>
      </c>
      <c r="J39" s="150">
        <f t="shared" si="5"/>
        <v>31.610700000000001</v>
      </c>
      <c r="K39" s="150">
        <f t="shared" si="5"/>
        <v>25.4925</v>
      </c>
      <c r="L39" s="150">
        <f t="shared" si="5"/>
        <v>25.4925</v>
      </c>
      <c r="M39" s="150">
        <f t="shared" si="5"/>
        <v>20.394000000000002</v>
      </c>
      <c r="N39" s="210">
        <f t="shared" si="5"/>
        <v>20.394000000000002</v>
      </c>
      <c r="P39" s="203" t="s">
        <v>221</v>
      </c>
      <c r="Q39" s="203">
        <f t="shared" si="7"/>
        <v>34.006999999999998</v>
      </c>
      <c r="R39" s="205">
        <f t="shared" si="7"/>
        <v>34.006999999999998</v>
      </c>
      <c r="S39" s="204">
        <f t="shared" si="7"/>
        <v>27.425000000000001</v>
      </c>
      <c r="T39" s="204">
        <f t="shared" si="7"/>
        <v>27.425000000000001</v>
      </c>
      <c r="U39" s="203">
        <f t="shared" si="8"/>
        <v>21.939999999999998</v>
      </c>
      <c r="V39" s="204">
        <f t="shared" si="9"/>
        <v>21.939999999999998</v>
      </c>
      <c r="W39" s="204">
        <f t="shared" si="10"/>
        <v>21.939999999999998</v>
      </c>
      <c r="X39" s="205">
        <f t="shared" si="11"/>
        <v>21.939999999999998</v>
      </c>
    </row>
    <row r="40" spans="2:24" x14ac:dyDescent="0.25">
      <c r="B40" s="180" t="s">
        <v>109</v>
      </c>
      <c r="C40" s="193">
        <f t="shared" si="4"/>
        <v>0</v>
      </c>
      <c r="D40" s="193">
        <f t="shared" si="4"/>
        <v>0</v>
      </c>
      <c r="E40" s="193">
        <f t="shared" si="4"/>
        <v>0</v>
      </c>
      <c r="F40" s="194">
        <f t="shared" si="4"/>
        <v>0</v>
      </c>
      <c r="H40" s="206" t="s">
        <v>222</v>
      </c>
      <c r="I40" s="150">
        <f t="shared" si="5"/>
        <v>1841.5782000000002</v>
      </c>
      <c r="J40" s="150">
        <f t="shared" si="5"/>
        <v>4105.3122000000003</v>
      </c>
      <c r="K40" s="150">
        <f t="shared" si="5"/>
        <v>1690.6626000000001</v>
      </c>
      <c r="L40" s="150">
        <f t="shared" si="5"/>
        <v>3850.3872000000001</v>
      </c>
      <c r="M40" s="150">
        <f t="shared" si="5"/>
        <v>1575.4365</v>
      </c>
      <c r="N40" s="210">
        <f t="shared" si="5"/>
        <v>3637.2699000000002</v>
      </c>
      <c r="P40" s="207" t="s">
        <v>222</v>
      </c>
      <c r="Q40" s="207">
        <f t="shared" si="7"/>
        <v>2639.3820000000001</v>
      </c>
      <c r="R40" s="209">
        <f t="shared" si="7"/>
        <v>5008.902</v>
      </c>
      <c r="S40" s="207">
        <f t="shared" si="7"/>
        <v>2428.7579999999998</v>
      </c>
      <c r="T40" s="208">
        <f t="shared" si="7"/>
        <v>4668.8320000000003</v>
      </c>
      <c r="U40" s="207">
        <f t="shared" si="8"/>
        <v>1577.4859999999999</v>
      </c>
      <c r="V40" s="208">
        <f t="shared" si="9"/>
        <v>2269.6929999999998</v>
      </c>
      <c r="W40" s="208">
        <f t="shared" si="10"/>
        <v>2972.87</v>
      </c>
      <c r="X40" s="209">
        <f t="shared" si="11"/>
        <v>4384.7089999999998</v>
      </c>
    </row>
    <row r="41" spans="2:24" x14ac:dyDescent="0.25">
      <c r="B41" s="180" t="s">
        <v>110</v>
      </c>
      <c r="C41" s="193">
        <f t="shared" si="4"/>
        <v>301106.19330000004</v>
      </c>
      <c r="D41" s="193">
        <f t="shared" si="4"/>
        <v>301106.19330000004</v>
      </c>
      <c r="E41" s="193">
        <f t="shared" si="4"/>
        <v>301106.19330000004</v>
      </c>
      <c r="F41" s="194">
        <f t="shared" si="4"/>
        <v>301106.19330000004</v>
      </c>
    </row>
    <row r="42" spans="2:24" x14ac:dyDescent="0.25">
      <c r="B42" s="180" t="s">
        <v>111</v>
      </c>
      <c r="C42" s="193">
        <f t="shared" si="4"/>
        <v>1885909.6575000002</v>
      </c>
      <c r="D42" s="193">
        <f t="shared" si="4"/>
        <v>1885909.6575000002</v>
      </c>
      <c r="E42" s="193">
        <f t="shared" si="4"/>
        <v>1885909.6575000002</v>
      </c>
      <c r="F42" s="194">
        <f t="shared" si="4"/>
        <v>1885909.6575000002</v>
      </c>
    </row>
    <row r="43" spans="2:24" x14ac:dyDescent="0.25">
      <c r="B43" s="180" t="s">
        <v>93</v>
      </c>
      <c r="C43" s="193">
        <f t="shared" si="4"/>
        <v>2310515.7966</v>
      </c>
      <c r="D43" s="193">
        <f t="shared" si="4"/>
        <v>1386041.5008</v>
      </c>
      <c r="E43" s="193">
        <f t="shared" si="4"/>
        <v>956816.12070000009</v>
      </c>
      <c r="F43" s="194">
        <f t="shared" si="4"/>
        <v>712104.43590000004</v>
      </c>
    </row>
    <row r="44" spans="2:24" x14ac:dyDescent="0.25">
      <c r="B44" s="180" t="s">
        <v>92</v>
      </c>
      <c r="C44" s="193">
        <f t="shared" si="4"/>
        <v>1634739.1929000001</v>
      </c>
      <c r="D44" s="193">
        <f t="shared" si="4"/>
        <v>980653.64760000003</v>
      </c>
      <c r="E44" s="193">
        <f t="shared" si="4"/>
        <v>676967.61330000008</v>
      </c>
      <c r="F44" s="194">
        <f t="shared" si="4"/>
        <v>503828.6715</v>
      </c>
    </row>
    <row r="45" spans="2:24" x14ac:dyDescent="0.25">
      <c r="B45" s="180" t="s">
        <v>112</v>
      </c>
      <c r="C45" s="193">
        <f t="shared" si="4"/>
        <v>4017766.8762000003</v>
      </c>
      <c r="D45" s="193">
        <f t="shared" si="4"/>
        <v>2413226.0988000003</v>
      </c>
      <c r="E45" s="193">
        <f t="shared" si="4"/>
        <v>1668794.1138000002</v>
      </c>
      <c r="F45" s="194">
        <f t="shared" si="4"/>
        <v>1243842.2964000001</v>
      </c>
    </row>
    <row r="46" spans="2:24" x14ac:dyDescent="0.25">
      <c r="B46" s="177" t="s">
        <v>113</v>
      </c>
      <c r="C46" s="195">
        <f t="shared" si="4"/>
        <v>10150037.716500001</v>
      </c>
      <c r="D46" s="195">
        <f t="shared" si="4"/>
        <v>6966937.0980000002</v>
      </c>
      <c r="E46" s="195">
        <f t="shared" si="4"/>
        <v>5489593.6986000007</v>
      </c>
      <c r="F46" s="196">
        <f t="shared" si="4"/>
        <v>4646791.2546000006</v>
      </c>
    </row>
    <row r="47" spans="2:24" x14ac:dyDescent="0.25">
      <c r="B47" s="182" t="s">
        <v>114</v>
      </c>
      <c r="C47" s="197">
        <f t="shared" si="4"/>
        <v>84373110.518399999</v>
      </c>
      <c r="D47" s="197">
        <f t="shared" si="4"/>
        <v>50677739.917199999</v>
      </c>
      <c r="E47" s="197">
        <f t="shared" si="4"/>
        <v>35044681.488300003</v>
      </c>
      <c r="F47" s="198">
        <f t="shared" si="4"/>
        <v>26120697.401700001</v>
      </c>
    </row>
    <row r="50" spans="2:9" x14ac:dyDescent="0.25">
      <c r="B50" s="8" t="s">
        <v>380</v>
      </c>
      <c r="C50" s="283" t="s">
        <v>213</v>
      </c>
      <c r="D50" s="284"/>
      <c r="I50" s="5"/>
    </row>
    <row r="51" spans="2:9" x14ac:dyDescent="0.25">
      <c r="B51" s="4" t="s">
        <v>381</v>
      </c>
      <c r="C51" s="5">
        <v>4</v>
      </c>
      <c r="D51" s="7">
        <v>10</v>
      </c>
      <c r="I51" s="5"/>
    </row>
    <row r="52" spans="2:9" x14ac:dyDescent="0.25">
      <c r="B52" s="4" t="s">
        <v>206</v>
      </c>
      <c r="C52" s="5"/>
      <c r="D52" s="7"/>
      <c r="I52" s="5"/>
    </row>
    <row r="53" spans="2:9" x14ac:dyDescent="0.25">
      <c r="B53" s="4" t="s">
        <v>382</v>
      </c>
      <c r="C53" s="2"/>
      <c r="D53" s="7"/>
    </row>
    <row r="54" spans="2:9" x14ac:dyDescent="0.25">
      <c r="B54" s="91" t="s">
        <v>214</v>
      </c>
      <c r="C54" s="16">
        <f t="shared" ref="C54:C61" si="12">((V32+M32)/2)*100</f>
        <v>90301.680000000008</v>
      </c>
      <c r="D54" s="79">
        <f t="shared" ref="D54:D62" si="13">((X32+N32)/2)*100</f>
        <v>197232.2</v>
      </c>
    </row>
    <row r="55" spans="2:9" x14ac:dyDescent="0.25">
      <c r="B55" s="22" t="s">
        <v>215</v>
      </c>
      <c r="C55" s="16">
        <f t="shared" si="12"/>
        <v>20586.099999999999</v>
      </c>
      <c r="D55" s="15">
        <f t="shared" si="13"/>
        <v>45980.25</v>
      </c>
    </row>
    <row r="56" spans="2:9" x14ac:dyDescent="0.25">
      <c r="B56" s="22" t="s">
        <v>216</v>
      </c>
      <c r="C56" s="16">
        <f t="shared" si="12"/>
        <v>12171.025</v>
      </c>
      <c r="D56" s="15">
        <f t="shared" si="13"/>
        <v>12171.025</v>
      </c>
    </row>
    <row r="57" spans="2:9" x14ac:dyDescent="0.25">
      <c r="B57" s="22" t="s">
        <v>217</v>
      </c>
      <c r="C57" s="16">
        <f t="shared" si="12"/>
        <v>211.67</v>
      </c>
      <c r="D57" s="15">
        <f t="shared" si="13"/>
        <v>211.67</v>
      </c>
    </row>
    <row r="58" spans="2:9" x14ac:dyDescent="0.25">
      <c r="B58" s="22" t="s">
        <v>218</v>
      </c>
      <c r="C58" s="16">
        <f t="shared" si="12"/>
        <v>18892.740000000002</v>
      </c>
      <c r="D58" s="15">
        <f t="shared" si="13"/>
        <v>40727.15</v>
      </c>
    </row>
    <row r="59" spans="2:9" x14ac:dyDescent="0.25">
      <c r="B59" s="22" t="s">
        <v>219</v>
      </c>
      <c r="C59" s="16">
        <f t="shared" si="12"/>
        <v>21228.840000000004</v>
      </c>
      <c r="D59" s="15">
        <f t="shared" si="13"/>
        <v>45509.05</v>
      </c>
    </row>
    <row r="60" spans="2:9" x14ac:dyDescent="0.25">
      <c r="B60" s="22" t="s">
        <v>220</v>
      </c>
      <c r="C60" s="16">
        <f t="shared" si="12"/>
        <v>26747.720000000005</v>
      </c>
      <c r="D60" s="15">
        <f t="shared" si="13"/>
        <v>57150.9</v>
      </c>
    </row>
    <row r="61" spans="2:9" x14ac:dyDescent="0.25">
      <c r="B61" s="22" t="s">
        <v>221</v>
      </c>
      <c r="C61" s="16">
        <f t="shared" si="12"/>
        <v>2116.7000000000003</v>
      </c>
      <c r="D61" s="15">
        <f t="shared" si="13"/>
        <v>2116.7000000000003</v>
      </c>
    </row>
    <row r="62" spans="2:9" x14ac:dyDescent="0.25">
      <c r="B62" s="52" t="s">
        <v>222</v>
      </c>
      <c r="C62" s="43">
        <f>((V40+M40)*100000+C47)/3000</f>
        <v>156295.35350613334</v>
      </c>
      <c r="D62" s="44">
        <f t="shared" si="13"/>
        <v>401098.94500000001</v>
      </c>
    </row>
    <row r="63" spans="2:9" x14ac:dyDescent="0.25">
      <c r="G63" s="5"/>
      <c r="H63" s="5"/>
    </row>
    <row r="64" spans="2:9" s="164" customFormat="1" ht="15.75" thickBot="1" x14ac:dyDescent="0.3"/>
    <row r="65" spans="2:8" ht="15.75" thickTop="1" x14ac:dyDescent="0.25">
      <c r="G65" s="5"/>
      <c r="H65" s="5"/>
    </row>
    <row r="67" spans="2:8" x14ac:dyDescent="0.25">
      <c r="B67" s="221" t="s">
        <v>393</v>
      </c>
      <c r="C67" s="153"/>
      <c r="D67" s="153"/>
      <c r="E67" s="153"/>
      <c r="F67" s="153"/>
      <c r="G67" s="153"/>
    </row>
    <row r="68" spans="2:8" x14ac:dyDescent="0.25">
      <c r="B68" s="153" t="s">
        <v>471</v>
      </c>
      <c r="C68" s="285" t="s">
        <v>472</v>
      </c>
      <c r="D68" s="285"/>
      <c r="E68" s="285"/>
      <c r="F68" s="285"/>
      <c r="G68" s="153"/>
    </row>
    <row r="69" spans="2:8" x14ac:dyDescent="0.25">
      <c r="B69" s="153" t="s">
        <v>461</v>
      </c>
      <c r="C69" s="153" t="s">
        <v>468</v>
      </c>
      <c r="D69" s="153" t="s">
        <v>469</v>
      </c>
      <c r="E69" s="153" t="s">
        <v>462</v>
      </c>
      <c r="F69" s="153" t="s">
        <v>463</v>
      </c>
      <c r="G69" s="153" t="s">
        <v>464</v>
      </c>
    </row>
    <row r="70" spans="2:8" ht="30" x14ac:dyDescent="0.25">
      <c r="B70" s="212" t="s">
        <v>459</v>
      </c>
      <c r="C70" s="260">
        <v>0.86</v>
      </c>
      <c r="D70" s="260">
        <v>0.86</v>
      </c>
      <c r="E70" s="260">
        <v>0.69</v>
      </c>
      <c r="F70" s="260">
        <v>0.82</v>
      </c>
      <c r="G70" s="260">
        <v>0.8</v>
      </c>
    </row>
    <row r="71" spans="2:8" x14ac:dyDescent="0.25">
      <c r="B71" s="153" t="s">
        <v>465</v>
      </c>
      <c r="C71" s="261" t="s">
        <v>470</v>
      </c>
      <c r="D71" s="261" t="s">
        <v>470</v>
      </c>
      <c r="E71" s="261" t="s">
        <v>470</v>
      </c>
      <c r="F71" s="261" t="s">
        <v>470</v>
      </c>
      <c r="G71" s="261" t="s">
        <v>473</v>
      </c>
    </row>
    <row r="72" spans="2:8" x14ac:dyDescent="0.25">
      <c r="B72" s="153" t="s">
        <v>460</v>
      </c>
      <c r="C72" s="153">
        <v>2000</v>
      </c>
      <c r="D72" s="153">
        <v>1200</v>
      </c>
      <c r="E72" s="153">
        <v>5201</v>
      </c>
      <c r="F72" s="153">
        <f>(599+739)/2</f>
        <v>669</v>
      </c>
      <c r="G72" s="262">
        <v>13870</v>
      </c>
    </row>
    <row r="73" spans="2:8" x14ac:dyDescent="0.25">
      <c r="B73" s="153" t="s">
        <v>466</v>
      </c>
      <c r="C73" s="153">
        <v>10</v>
      </c>
      <c r="D73" s="153">
        <v>10</v>
      </c>
      <c r="E73" s="153">
        <v>15</v>
      </c>
      <c r="F73" s="153">
        <v>12</v>
      </c>
      <c r="G73" s="153">
        <v>40</v>
      </c>
    </row>
    <row r="74" spans="2:8" ht="30" x14ac:dyDescent="0.25">
      <c r="B74" s="212" t="s">
        <v>467</v>
      </c>
      <c r="C74" s="153">
        <v>5.77</v>
      </c>
      <c r="D74" s="153">
        <v>3.46</v>
      </c>
      <c r="E74" s="153">
        <v>15</v>
      </c>
      <c r="F74" s="153">
        <f>(2.13+1.73)/2</f>
        <v>1.93</v>
      </c>
      <c r="G74" s="153">
        <v>40</v>
      </c>
    </row>
    <row r="77" spans="2:8" x14ac:dyDescent="0.25">
      <c r="B77" s="199" t="s">
        <v>644</v>
      </c>
      <c r="C77" s="179"/>
    </row>
    <row r="78" spans="2:8" x14ac:dyDescent="0.25">
      <c r="B78" s="169" t="s">
        <v>415</v>
      </c>
      <c r="C78" s="249"/>
    </row>
    <row r="79" spans="2:8" x14ac:dyDescent="0.25">
      <c r="B79" s="180" t="s">
        <v>416</v>
      </c>
      <c r="C79" s="181"/>
    </row>
    <row r="80" spans="2:8" x14ac:dyDescent="0.25">
      <c r="B80" s="180" t="s">
        <v>417</v>
      </c>
      <c r="C80" s="181">
        <v>1.3</v>
      </c>
    </row>
    <row r="81" spans="1:3" x14ac:dyDescent="0.25">
      <c r="B81" s="182" t="s">
        <v>418</v>
      </c>
      <c r="C81" s="183" t="s">
        <v>419</v>
      </c>
    </row>
    <row r="84" spans="1:3" x14ac:dyDescent="0.25">
      <c r="A84" t="s">
        <v>90</v>
      </c>
    </row>
    <row r="85" spans="1:3" x14ac:dyDescent="0.25">
      <c r="A85" t="s">
        <v>718</v>
      </c>
    </row>
    <row r="86" spans="1:3" x14ac:dyDescent="0.25">
      <c r="A86" t="s">
        <v>91</v>
      </c>
    </row>
    <row r="87" spans="1:3" ht="29.45" customHeight="1" x14ac:dyDescent="0.25"/>
    <row r="91" spans="1:3" ht="28.9" customHeight="1" x14ac:dyDescent="0.25"/>
  </sheetData>
  <mergeCells count="22">
    <mergeCell ref="S6:T6"/>
    <mergeCell ref="I4:J4"/>
    <mergeCell ref="K4:L4"/>
    <mergeCell ref="M4:N4"/>
    <mergeCell ref="Q4:R4"/>
    <mergeCell ref="S4:T4"/>
    <mergeCell ref="U4:X4"/>
    <mergeCell ref="C50:D50"/>
    <mergeCell ref="C68:F68"/>
    <mergeCell ref="U6:X6"/>
    <mergeCell ref="U31:X31"/>
    <mergeCell ref="U29:X29"/>
    <mergeCell ref="Q31:R31"/>
    <mergeCell ref="S31:T31"/>
    <mergeCell ref="I29:J29"/>
    <mergeCell ref="K29:L29"/>
    <mergeCell ref="M29:N29"/>
    <mergeCell ref="I31:N31"/>
    <mergeCell ref="Q29:R29"/>
    <mergeCell ref="S29:T29"/>
    <mergeCell ref="I6:N6"/>
    <mergeCell ref="Q6:R6"/>
  </mergeCells>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workbookViewId="0">
      <selection activeCell="A19" sqref="A19:B31"/>
    </sheetView>
  </sheetViews>
  <sheetFormatPr defaultRowHeight="15" x14ac:dyDescent="0.25"/>
  <cols>
    <col min="1" max="1" width="35.7109375" bestFit="1" customWidth="1"/>
    <col min="2" max="2" width="11.140625" customWidth="1"/>
    <col min="3" max="3" width="12" customWidth="1"/>
    <col min="4" max="4" width="9.140625" bestFit="1" customWidth="1"/>
    <col min="5" max="5" width="12" bestFit="1" customWidth="1"/>
    <col min="6" max="6" width="10.140625" bestFit="1" customWidth="1"/>
  </cols>
  <sheetData>
    <row r="1" spans="1:15" x14ac:dyDescent="0.25">
      <c r="A1" t="s">
        <v>639</v>
      </c>
      <c r="O1" t="s">
        <v>208</v>
      </c>
    </row>
    <row r="3" spans="1:15" x14ac:dyDescent="0.25">
      <c r="A3" s="55" t="s">
        <v>717</v>
      </c>
    </row>
    <row r="4" spans="1:15" x14ac:dyDescent="0.25">
      <c r="A4" s="8" t="s">
        <v>205</v>
      </c>
      <c r="B4" s="19">
        <v>100</v>
      </c>
      <c r="C4" s="19">
        <v>100</v>
      </c>
      <c r="D4" s="19">
        <v>1000</v>
      </c>
      <c r="E4" s="20">
        <v>1000</v>
      </c>
    </row>
    <row r="5" spans="1:15" x14ac:dyDescent="0.25">
      <c r="A5" s="4" t="s">
        <v>206</v>
      </c>
      <c r="B5" s="5">
        <v>4</v>
      </c>
      <c r="C5" s="5">
        <v>10</v>
      </c>
      <c r="D5" s="5">
        <v>4</v>
      </c>
      <c r="E5" s="7">
        <v>10</v>
      </c>
    </row>
    <row r="6" spans="1:15" x14ac:dyDescent="0.25">
      <c r="A6" s="3" t="s">
        <v>224</v>
      </c>
      <c r="B6" s="2" t="s">
        <v>225</v>
      </c>
      <c r="C6" s="2"/>
      <c r="D6" s="2"/>
      <c r="E6" s="6"/>
    </row>
    <row r="7" spans="1:15" x14ac:dyDescent="0.25">
      <c r="A7" s="8" t="s">
        <v>226</v>
      </c>
      <c r="B7" s="19">
        <f>81*4</f>
        <v>324</v>
      </c>
      <c r="C7" s="19">
        <v>760</v>
      </c>
      <c r="D7" s="19">
        <f>68*4</f>
        <v>272</v>
      </c>
      <c r="E7" s="20">
        <v>640</v>
      </c>
    </row>
    <row r="8" spans="1:15" x14ac:dyDescent="0.25">
      <c r="A8" s="4" t="s">
        <v>227</v>
      </c>
      <c r="B8" s="5">
        <v>742</v>
      </c>
      <c r="C8" s="5">
        <v>742</v>
      </c>
      <c r="D8" s="5">
        <v>623</v>
      </c>
      <c r="E8" s="7">
        <v>623</v>
      </c>
    </row>
    <row r="9" spans="1:15" x14ac:dyDescent="0.25">
      <c r="A9" s="4" t="s">
        <v>228</v>
      </c>
      <c r="B9" s="5">
        <v>467</v>
      </c>
      <c r="C9" s="5">
        <v>467</v>
      </c>
      <c r="D9" s="5">
        <v>392</v>
      </c>
      <c r="E9" s="7">
        <v>392</v>
      </c>
    </row>
    <row r="10" spans="1:15" x14ac:dyDescent="0.25">
      <c r="A10" s="21" t="s">
        <v>229</v>
      </c>
      <c r="B10" s="17">
        <f>SUM(B7:B9)</f>
        <v>1533</v>
      </c>
      <c r="C10" s="17">
        <f t="shared" ref="C10:E10" si="0">SUM(C7:C9)</f>
        <v>1969</v>
      </c>
      <c r="D10" s="17">
        <f t="shared" si="0"/>
        <v>1287</v>
      </c>
      <c r="E10" s="42">
        <f t="shared" si="0"/>
        <v>1655</v>
      </c>
    </row>
    <row r="11" spans="1:15" x14ac:dyDescent="0.25">
      <c r="A11" s="3" t="s">
        <v>230</v>
      </c>
      <c r="B11" s="2">
        <v>2046</v>
      </c>
      <c r="C11" s="2">
        <v>2623</v>
      </c>
      <c r="D11" s="2">
        <v>1717</v>
      </c>
      <c r="E11" s="6">
        <v>2202</v>
      </c>
    </row>
    <row r="12" spans="1:15" x14ac:dyDescent="0.25">
      <c r="A12" s="4" t="s">
        <v>232</v>
      </c>
      <c r="B12" s="295">
        <v>30.4</v>
      </c>
      <c r="C12" s="295"/>
      <c r="D12" s="295">
        <v>17.8</v>
      </c>
      <c r="E12" s="296"/>
    </row>
    <row r="13" spans="1:15" x14ac:dyDescent="0.25">
      <c r="A13" s="3" t="s">
        <v>233</v>
      </c>
      <c r="B13" s="278">
        <v>0.51249999999999996</v>
      </c>
      <c r="C13" s="278"/>
      <c r="D13" s="278">
        <v>0.51249999999999996</v>
      </c>
      <c r="E13" s="279"/>
    </row>
    <row r="16" spans="1:15" x14ac:dyDescent="0.25">
      <c r="A16" s="21" t="s">
        <v>39</v>
      </c>
      <c r="B16" s="67" t="s">
        <v>367</v>
      </c>
      <c r="C16" s="62" t="s">
        <v>368</v>
      </c>
    </row>
    <row r="17" spans="1:3" x14ac:dyDescent="0.25">
      <c r="A17" s="4" t="s">
        <v>205</v>
      </c>
      <c r="B17" s="283">
        <v>500</v>
      </c>
      <c r="C17" s="284"/>
    </row>
    <row r="18" spans="1:3" x14ac:dyDescent="0.25">
      <c r="A18" s="4" t="s">
        <v>206</v>
      </c>
      <c r="B18" s="293">
        <v>10</v>
      </c>
      <c r="C18" s="294"/>
    </row>
    <row r="19" spans="1:3" x14ac:dyDescent="0.25">
      <c r="A19" s="3" t="s">
        <v>224</v>
      </c>
      <c r="B19" s="2" t="s">
        <v>347</v>
      </c>
      <c r="C19" s="6" t="s">
        <v>356</v>
      </c>
    </row>
    <row r="20" spans="1:3" x14ac:dyDescent="0.25">
      <c r="A20" s="22" t="s">
        <v>348</v>
      </c>
      <c r="B20" s="68">
        <v>1016</v>
      </c>
      <c r="C20" s="63">
        <v>457</v>
      </c>
    </row>
    <row r="21" spans="1:3" x14ac:dyDescent="0.25">
      <c r="A21" s="22" t="s">
        <v>349</v>
      </c>
      <c r="B21" s="68">
        <v>163</v>
      </c>
      <c r="C21" s="63">
        <v>73</v>
      </c>
    </row>
    <row r="22" spans="1:3" x14ac:dyDescent="0.25">
      <c r="A22" s="22" t="s">
        <v>350</v>
      </c>
      <c r="B22" s="68">
        <v>97</v>
      </c>
      <c r="C22" s="63">
        <v>42</v>
      </c>
    </row>
    <row r="23" spans="1:3" x14ac:dyDescent="0.25">
      <c r="A23" s="22" t="s">
        <v>351</v>
      </c>
      <c r="B23" s="68">
        <v>1010</v>
      </c>
      <c r="C23" s="63">
        <v>454</v>
      </c>
    </row>
    <row r="24" spans="1:3" x14ac:dyDescent="0.25">
      <c r="A24" s="22" t="s">
        <v>352</v>
      </c>
      <c r="B24" s="69">
        <f>SUM(B20:B23)</f>
        <v>2286</v>
      </c>
      <c r="C24" s="64">
        <f>SUM(C20:C23)</f>
        <v>1026</v>
      </c>
    </row>
    <row r="25" spans="1:3" x14ac:dyDescent="0.25">
      <c r="A25" s="22" t="s">
        <v>353</v>
      </c>
      <c r="B25" s="68">
        <v>472</v>
      </c>
      <c r="C25" s="97">
        <f>B25*B17/1000000</f>
        <v>0.23599999999999999</v>
      </c>
    </row>
    <row r="26" spans="1:3" x14ac:dyDescent="0.25">
      <c r="A26" s="22" t="s">
        <v>268</v>
      </c>
      <c r="B26" s="68">
        <v>448</v>
      </c>
      <c r="C26" s="97">
        <f>B26*B18/1000000</f>
        <v>4.4799999999999996E-3</v>
      </c>
    </row>
    <row r="27" spans="1:3" x14ac:dyDescent="0.25">
      <c r="A27" s="61" t="s">
        <v>357</v>
      </c>
      <c r="B27" s="66">
        <v>103</v>
      </c>
      <c r="C27" s="63">
        <v>51</v>
      </c>
    </row>
    <row r="28" spans="1:3" x14ac:dyDescent="0.25">
      <c r="A28" s="61" t="s">
        <v>358</v>
      </c>
      <c r="B28" s="66">
        <v>103</v>
      </c>
      <c r="C28" s="63">
        <v>51</v>
      </c>
    </row>
    <row r="29" spans="1:3" x14ac:dyDescent="0.25">
      <c r="A29" s="61" t="s">
        <v>156</v>
      </c>
      <c r="B29" s="66">
        <v>308</v>
      </c>
      <c r="C29" s="63">
        <v>154</v>
      </c>
    </row>
    <row r="30" spans="1:3" x14ac:dyDescent="0.25">
      <c r="A30" s="22" t="s">
        <v>354</v>
      </c>
      <c r="B30" s="68">
        <f>B25+B26</f>
        <v>920</v>
      </c>
      <c r="C30" s="63"/>
    </row>
    <row r="31" spans="1:3" x14ac:dyDescent="0.25">
      <c r="A31" s="25" t="s">
        <v>355</v>
      </c>
      <c r="B31" s="70">
        <f>B24+B30</f>
        <v>3206</v>
      </c>
      <c r="C31" s="65">
        <f>C24+C27+C28+C29</f>
        <v>1282</v>
      </c>
    </row>
    <row r="33" spans="1:6" x14ac:dyDescent="0.25">
      <c r="A33" s="21" t="s">
        <v>366</v>
      </c>
      <c r="B33" s="17"/>
      <c r="C33" s="42"/>
    </row>
    <row r="34" spans="1:6" x14ac:dyDescent="0.25">
      <c r="A34" s="8" t="s">
        <v>364</v>
      </c>
      <c r="B34" s="19">
        <v>100</v>
      </c>
      <c r="C34" s="20">
        <v>1000</v>
      </c>
    </row>
    <row r="35" spans="1:6" x14ac:dyDescent="0.25">
      <c r="A35" s="4" t="s">
        <v>365</v>
      </c>
      <c r="B35" s="5">
        <v>10</v>
      </c>
      <c r="C35" s="7">
        <v>10</v>
      </c>
    </row>
    <row r="36" spans="1:6" x14ac:dyDescent="0.25">
      <c r="A36" s="21" t="s">
        <v>359</v>
      </c>
      <c r="B36" s="17" t="s">
        <v>360</v>
      </c>
      <c r="C36" s="42" t="s">
        <v>360</v>
      </c>
    </row>
    <row r="37" spans="1:6" x14ac:dyDescent="0.25">
      <c r="A37" s="4" t="s">
        <v>57</v>
      </c>
      <c r="B37" s="5">
        <v>15.7</v>
      </c>
      <c r="C37" s="7">
        <v>3.1</v>
      </c>
    </row>
    <row r="38" spans="1:6" x14ac:dyDescent="0.25">
      <c r="A38" s="4" t="s">
        <v>361</v>
      </c>
      <c r="B38" s="5">
        <v>5.6</v>
      </c>
      <c r="C38" s="7">
        <v>5.6</v>
      </c>
    </row>
    <row r="39" spans="1:6" x14ac:dyDescent="0.25">
      <c r="A39" s="3" t="s">
        <v>362</v>
      </c>
      <c r="B39" s="2">
        <v>9</v>
      </c>
      <c r="C39" s="6">
        <v>9</v>
      </c>
    </row>
    <row r="40" spans="1:6" x14ac:dyDescent="0.25">
      <c r="A40" s="3" t="s">
        <v>363</v>
      </c>
      <c r="B40" s="2">
        <f>B37+B38+B39</f>
        <v>30.299999999999997</v>
      </c>
      <c r="C40" s="6">
        <f>C37+C38+C39</f>
        <v>17.7</v>
      </c>
    </row>
    <row r="42" spans="1:6" x14ac:dyDescent="0.25">
      <c r="A42" s="118" t="s">
        <v>393</v>
      </c>
    </row>
    <row r="43" spans="1:6" x14ac:dyDescent="0.25">
      <c r="A43" t="s">
        <v>471</v>
      </c>
      <c r="B43" s="292" t="s">
        <v>472</v>
      </c>
      <c r="C43" s="292"/>
      <c r="D43" s="292"/>
      <c r="E43" s="292"/>
    </row>
    <row r="44" spans="1:6" x14ac:dyDescent="0.25">
      <c r="A44" t="s">
        <v>461</v>
      </c>
      <c r="B44" t="s">
        <v>468</v>
      </c>
      <c r="C44" t="s">
        <v>469</v>
      </c>
      <c r="D44" t="s">
        <v>462</v>
      </c>
      <c r="E44" t="s">
        <v>463</v>
      </c>
      <c r="F44" t="s">
        <v>464</v>
      </c>
    </row>
    <row r="45" spans="1:6" x14ac:dyDescent="0.25">
      <c r="A45" t="s">
        <v>459</v>
      </c>
      <c r="B45" s="41">
        <v>0.86</v>
      </c>
      <c r="C45" s="41">
        <v>0.86</v>
      </c>
      <c r="D45" s="41">
        <v>0.69</v>
      </c>
      <c r="E45" s="41">
        <v>0.82</v>
      </c>
      <c r="F45" s="41">
        <v>0.8</v>
      </c>
    </row>
    <row r="46" spans="1:6" x14ac:dyDescent="0.25">
      <c r="A46" t="s">
        <v>465</v>
      </c>
      <c r="B46" s="120" t="s">
        <v>470</v>
      </c>
      <c r="C46" s="120" t="s">
        <v>470</v>
      </c>
      <c r="D46" s="120" t="s">
        <v>470</v>
      </c>
      <c r="E46" s="120" t="s">
        <v>470</v>
      </c>
      <c r="F46" s="120" t="s">
        <v>473</v>
      </c>
    </row>
    <row r="47" spans="1:6" x14ac:dyDescent="0.25">
      <c r="A47" t="s">
        <v>460</v>
      </c>
      <c r="B47">
        <v>2000</v>
      </c>
      <c r="C47">
        <v>1200</v>
      </c>
      <c r="D47">
        <v>5201</v>
      </c>
      <c r="E47">
        <f>(599+739)/2</f>
        <v>669</v>
      </c>
      <c r="F47" s="45">
        <v>13870</v>
      </c>
    </row>
    <row r="48" spans="1:6" x14ac:dyDescent="0.25">
      <c r="A48" t="s">
        <v>466</v>
      </c>
      <c r="B48">
        <v>10</v>
      </c>
      <c r="C48">
        <v>10</v>
      </c>
      <c r="D48">
        <v>15</v>
      </c>
      <c r="E48">
        <v>12</v>
      </c>
      <c r="F48">
        <v>40</v>
      </c>
    </row>
    <row r="49" spans="1:6" x14ac:dyDescent="0.25">
      <c r="A49" t="s">
        <v>467</v>
      </c>
      <c r="B49">
        <v>5.77</v>
      </c>
      <c r="C49">
        <v>3.46</v>
      </c>
      <c r="D49">
        <v>15</v>
      </c>
      <c r="E49">
        <f>(2.13+1.73)/2</f>
        <v>1.93</v>
      </c>
      <c r="F49">
        <v>40</v>
      </c>
    </row>
  </sheetData>
  <mergeCells count="7">
    <mergeCell ref="B43:E43"/>
    <mergeCell ref="B18:C18"/>
    <mergeCell ref="B12:C12"/>
    <mergeCell ref="B13:C13"/>
    <mergeCell ref="D12:E12"/>
    <mergeCell ref="D13:E13"/>
    <mergeCell ref="B17:C17"/>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2"/>
  <sheetViews>
    <sheetView workbookViewId="0">
      <selection activeCell="I26" sqref="I26"/>
    </sheetView>
  </sheetViews>
  <sheetFormatPr defaultRowHeight="15" x14ac:dyDescent="0.25"/>
  <cols>
    <col min="1" max="1" width="36.7109375" customWidth="1"/>
    <col min="2" max="2" width="15.7109375" customWidth="1"/>
    <col min="3" max="3" width="19.85546875" customWidth="1"/>
    <col min="4" max="4" width="17.5703125" bestFit="1" customWidth="1"/>
    <col min="5" max="5" width="15.85546875" bestFit="1" customWidth="1"/>
    <col min="6" max="6" width="20" customWidth="1"/>
    <col min="7" max="7" width="17.5703125" bestFit="1" customWidth="1"/>
    <col min="8" max="8" width="11.140625" bestFit="1" customWidth="1"/>
    <col min="9" max="9" width="14.7109375" bestFit="1" customWidth="1"/>
    <col min="10" max="10" width="9.28515625" bestFit="1" customWidth="1"/>
    <col min="12" max="12" width="33.28515625" bestFit="1" customWidth="1"/>
    <col min="13" max="13" width="13.85546875" bestFit="1" customWidth="1"/>
    <col min="14" max="14" width="12.28515625" customWidth="1"/>
    <col min="15" max="15" width="8.5703125" bestFit="1" customWidth="1"/>
    <col min="16" max="16" width="15.7109375" bestFit="1" customWidth="1"/>
    <col min="17" max="17" width="22.7109375" bestFit="1" customWidth="1"/>
    <col min="18" max="18" width="12.28515625" bestFit="1" customWidth="1"/>
    <col min="19" max="19" width="7.5703125" bestFit="1" customWidth="1"/>
    <col min="20" max="20" width="14" bestFit="1" customWidth="1"/>
    <col min="21" max="21" width="9.140625" bestFit="1" customWidth="1"/>
  </cols>
  <sheetData>
    <row r="1" spans="1:21" x14ac:dyDescent="0.25">
      <c r="A1" t="s">
        <v>638</v>
      </c>
    </row>
    <row r="2" spans="1:21" x14ac:dyDescent="0.25">
      <c r="A2" s="8" t="s">
        <v>64</v>
      </c>
      <c r="B2" s="19" t="s">
        <v>36</v>
      </c>
      <c r="C2" s="19" t="s">
        <v>636</v>
      </c>
      <c r="D2" s="19"/>
      <c r="E2" s="19"/>
      <c r="F2" s="19"/>
      <c r="G2" s="19"/>
      <c r="H2" s="19"/>
      <c r="I2" s="19"/>
      <c r="J2" s="20"/>
      <c r="L2" s="8" t="s">
        <v>64</v>
      </c>
      <c r="M2" s="19" t="s">
        <v>35</v>
      </c>
      <c r="N2" s="19" t="s">
        <v>637</v>
      </c>
      <c r="O2" s="19"/>
      <c r="P2" s="19"/>
      <c r="Q2" s="19"/>
      <c r="R2" s="19"/>
      <c r="S2" s="19"/>
      <c r="T2" s="19"/>
      <c r="U2" s="20"/>
    </row>
    <row r="3" spans="1:21" x14ac:dyDescent="0.25">
      <c r="A3" s="3" t="s">
        <v>65</v>
      </c>
      <c r="B3" s="2">
        <v>646</v>
      </c>
      <c r="C3" s="156" t="s">
        <v>695</v>
      </c>
      <c r="D3" s="2"/>
      <c r="E3" s="2"/>
      <c r="F3" s="2"/>
      <c r="G3" s="2"/>
      <c r="H3" s="2"/>
      <c r="I3" s="2"/>
      <c r="J3" s="6"/>
      <c r="L3" s="3" t="s">
        <v>65</v>
      </c>
      <c r="M3" s="2">
        <v>727</v>
      </c>
      <c r="N3" s="156" t="s">
        <v>695</v>
      </c>
      <c r="O3" s="2"/>
      <c r="P3" s="2"/>
      <c r="Q3" s="2"/>
      <c r="R3" s="2"/>
      <c r="S3" s="2"/>
      <c r="T3" s="2"/>
      <c r="U3" s="6"/>
    </row>
    <row r="4" spans="1:21" x14ac:dyDescent="0.25">
      <c r="A4" s="21" t="s">
        <v>61</v>
      </c>
      <c r="B4" s="17"/>
      <c r="C4" s="17"/>
      <c r="D4" s="17"/>
      <c r="E4" s="2"/>
      <c r="F4" s="2"/>
      <c r="G4" s="2"/>
      <c r="H4" s="2"/>
      <c r="I4" s="2"/>
      <c r="J4" s="6"/>
      <c r="L4" s="3" t="s">
        <v>61</v>
      </c>
      <c r="M4" s="2"/>
      <c r="N4" s="2"/>
      <c r="O4" s="2"/>
      <c r="P4" s="2"/>
      <c r="Q4" s="2"/>
      <c r="R4" s="2"/>
      <c r="S4" s="2"/>
      <c r="T4" s="2"/>
      <c r="U4" s="6"/>
    </row>
    <row r="5" spans="1:21" x14ac:dyDescent="0.25">
      <c r="A5" s="4"/>
      <c r="B5" s="5"/>
      <c r="C5" s="5"/>
      <c r="D5" s="5"/>
      <c r="E5" s="5"/>
      <c r="F5" s="5"/>
      <c r="G5" s="297" t="s">
        <v>43</v>
      </c>
      <c r="H5" s="284"/>
      <c r="I5" s="297" t="s">
        <v>61</v>
      </c>
      <c r="J5" s="284"/>
      <c r="L5" s="4"/>
      <c r="M5" s="5"/>
      <c r="N5" s="5"/>
      <c r="O5" s="5"/>
      <c r="P5" s="5"/>
      <c r="Q5" s="5"/>
      <c r="R5" s="4" t="s">
        <v>43</v>
      </c>
      <c r="S5" s="7"/>
      <c r="T5" s="4" t="s">
        <v>61</v>
      </c>
      <c r="U5" s="7"/>
    </row>
    <row r="6" spans="1:21" x14ac:dyDescent="0.25">
      <c r="A6" s="3" t="s">
        <v>34</v>
      </c>
      <c r="B6" s="2" t="s">
        <v>55</v>
      </c>
      <c r="C6" s="2" t="s">
        <v>56</v>
      </c>
      <c r="D6" s="2" t="s">
        <v>57</v>
      </c>
      <c r="E6" s="2" t="s">
        <v>58</v>
      </c>
      <c r="F6" s="2" t="s">
        <v>42</v>
      </c>
      <c r="G6" s="3" t="s">
        <v>59</v>
      </c>
      <c r="H6" s="6" t="s">
        <v>60</v>
      </c>
      <c r="I6" s="3" t="s">
        <v>62</v>
      </c>
      <c r="J6" s="6" t="s">
        <v>63</v>
      </c>
      <c r="L6" s="3" t="s">
        <v>34</v>
      </c>
      <c r="M6" s="2" t="s">
        <v>55</v>
      </c>
      <c r="N6" s="2" t="s">
        <v>56</v>
      </c>
      <c r="O6" s="2" t="s">
        <v>57</v>
      </c>
      <c r="P6" s="2" t="s">
        <v>58</v>
      </c>
      <c r="Q6" s="2" t="s">
        <v>42</v>
      </c>
      <c r="R6" s="3" t="s">
        <v>59</v>
      </c>
      <c r="S6" s="6" t="s">
        <v>60</v>
      </c>
      <c r="T6" s="3" t="s">
        <v>62</v>
      </c>
      <c r="U6" s="6" t="s">
        <v>63</v>
      </c>
    </row>
    <row r="7" spans="1:21" x14ac:dyDescent="0.25">
      <c r="A7" s="4" t="s">
        <v>46</v>
      </c>
      <c r="B7" s="16">
        <v>43078</v>
      </c>
      <c r="C7" s="16">
        <v>9208</v>
      </c>
      <c r="D7" s="16">
        <v>28493</v>
      </c>
      <c r="E7" s="12">
        <f t="shared" ref="E7:E16" si="0">SUM(B7:D7)</f>
        <v>80779</v>
      </c>
      <c r="F7" s="13">
        <v>16156</v>
      </c>
      <c r="G7" s="14">
        <v>0</v>
      </c>
      <c r="H7" s="15">
        <v>18296</v>
      </c>
      <c r="I7" s="14">
        <f>E7+F7+H7</f>
        <v>115231</v>
      </c>
      <c r="J7" s="15">
        <f t="shared" ref="J7:J16" si="1">I7/$B$3</f>
        <v>178.37616099071207</v>
      </c>
      <c r="L7" s="4" t="s">
        <v>46</v>
      </c>
      <c r="M7" s="26">
        <v>36307</v>
      </c>
      <c r="N7" s="23">
        <v>8124</v>
      </c>
      <c r="O7" s="23">
        <v>21726</v>
      </c>
      <c r="P7" s="26">
        <f t="shared" ref="P7:P15" si="2">SUM(M7:O7)</f>
        <v>66157</v>
      </c>
      <c r="Q7" s="27">
        <v>13231</v>
      </c>
      <c r="R7" s="26">
        <v>0</v>
      </c>
      <c r="S7" s="27">
        <v>14788</v>
      </c>
      <c r="T7" s="26">
        <f>P7+Q7+S7</f>
        <v>94176</v>
      </c>
      <c r="U7" s="35">
        <f t="shared" ref="U7:U15" si="3">T7/$M$3</f>
        <v>129.54057771664375</v>
      </c>
    </row>
    <row r="8" spans="1:21" x14ac:dyDescent="0.25">
      <c r="A8" s="4" t="s">
        <v>47</v>
      </c>
      <c r="B8" s="16">
        <v>174914</v>
      </c>
      <c r="C8" s="16">
        <v>77111</v>
      </c>
      <c r="D8" s="16">
        <v>164208</v>
      </c>
      <c r="E8" s="14">
        <f t="shared" si="0"/>
        <v>416233</v>
      </c>
      <c r="F8" s="13">
        <v>83247</v>
      </c>
      <c r="G8" s="14">
        <v>67257</v>
      </c>
      <c r="H8" s="15">
        <v>113347</v>
      </c>
      <c r="I8" s="14">
        <f t="shared" ref="I8:I16" si="4">E8+F8+G8+H8</f>
        <v>680084</v>
      </c>
      <c r="J8" s="15">
        <f t="shared" si="1"/>
        <v>1052.7616099071208</v>
      </c>
      <c r="L8" s="4" t="s">
        <v>48</v>
      </c>
      <c r="M8" s="26">
        <v>74850</v>
      </c>
      <c r="N8" s="23">
        <v>1773</v>
      </c>
      <c r="O8" s="23">
        <v>5730</v>
      </c>
      <c r="P8" s="26">
        <f t="shared" si="2"/>
        <v>82353</v>
      </c>
      <c r="Q8" s="27">
        <v>16471</v>
      </c>
      <c r="R8" s="26">
        <v>0</v>
      </c>
      <c r="S8" s="27">
        <v>14937</v>
      </c>
      <c r="T8" s="26">
        <f t="shared" ref="T8:T15" si="5">P8+Q8+R8+S8</f>
        <v>113761</v>
      </c>
      <c r="U8" s="35">
        <f t="shared" si="3"/>
        <v>156.48005502063273</v>
      </c>
    </row>
    <row r="9" spans="1:21" x14ac:dyDescent="0.25">
      <c r="A9" s="4" t="s">
        <v>48</v>
      </c>
      <c r="B9" s="16">
        <v>74850</v>
      </c>
      <c r="C9" s="16">
        <v>1773</v>
      </c>
      <c r="D9" s="16">
        <v>5730</v>
      </c>
      <c r="E9" s="14">
        <f t="shared" si="0"/>
        <v>82353</v>
      </c>
      <c r="F9" s="13">
        <v>16471</v>
      </c>
      <c r="G9" s="14">
        <v>0</v>
      </c>
      <c r="H9" s="15">
        <v>14937</v>
      </c>
      <c r="I9" s="14">
        <f t="shared" si="4"/>
        <v>113761</v>
      </c>
      <c r="J9" s="15">
        <f t="shared" si="1"/>
        <v>176.10061919504645</v>
      </c>
      <c r="L9" s="4" t="s">
        <v>49</v>
      </c>
      <c r="M9" s="26">
        <v>64630</v>
      </c>
      <c r="N9" s="23">
        <v>2394</v>
      </c>
      <c r="O9" s="23">
        <v>16455</v>
      </c>
      <c r="P9" s="26">
        <f t="shared" si="2"/>
        <v>83479</v>
      </c>
      <c r="Q9" s="27">
        <v>16696</v>
      </c>
      <c r="R9" s="26">
        <v>0</v>
      </c>
      <c r="S9" s="27">
        <v>15115</v>
      </c>
      <c r="T9" s="26">
        <f t="shared" si="5"/>
        <v>115290</v>
      </c>
      <c r="U9" s="35">
        <f t="shared" si="3"/>
        <v>158.58321870701513</v>
      </c>
    </row>
    <row r="10" spans="1:21" x14ac:dyDescent="0.25">
      <c r="A10" s="4" t="s">
        <v>49</v>
      </c>
      <c r="B10" s="16">
        <v>56467</v>
      </c>
      <c r="C10" s="16">
        <v>2104</v>
      </c>
      <c r="D10" s="16">
        <v>14479</v>
      </c>
      <c r="E10" s="14">
        <f t="shared" si="0"/>
        <v>73050</v>
      </c>
      <c r="F10" s="13">
        <v>14610</v>
      </c>
      <c r="G10" s="14">
        <v>0</v>
      </c>
      <c r="H10" s="15">
        <v>13223</v>
      </c>
      <c r="I10" s="14">
        <f t="shared" si="4"/>
        <v>100883</v>
      </c>
      <c r="J10" s="15">
        <f t="shared" si="1"/>
        <v>156.16563467492261</v>
      </c>
      <c r="L10" s="4" t="s">
        <v>50</v>
      </c>
      <c r="M10" s="14">
        <v>53594</v>
      </c>
      <c r="N10" s="23">
        <v>1252</v>
      </c>
      <c r="O10" s="23">
        <v>14990</v>
      </c>
      <c r="P10" s="26">
        <f t="shared" si="2"/>
        <v>69836</v>
      </c>
      <c r="Q10" s="27">
        <v>13967</v>
      </c>
      <c r="R10" s="26">
        <v>0</v>
      </c>
      <c r="S10" s="27">
        <v>12770</v>
      </c>
      <c r="T10" s="26">
        <f t="shared" si="5"/>
        <v>96573</v>
      </c>
      <c r="U10" s="35">
        <f t="shared" si="3"/>
        <v>132.83768913342504</v>
      </c>
    </row>
    <row r="11" spans="1:21" x14ac:dyDescent="0.25">
      <c r="A11" s="4" t="s">
        <v>50</v>
      </c>
      <c r="B11" s="16">
        <v>45220</v>
      </c>
      <c r="C11" s="16">
        <v>1072</v>
      </c>
      <c r="D11" s="16">
        <v>12811</v>
      </c>
      <c r="E11" s="14">
        <f t="shared" si="0"/>
        <v>59103</v>
      </c>
      <c r="F11" s="13">
        <v>11821</v>
      </c>
      <c r="G11" s="14">
        <v>0</v>
      </c>
      <c r="H11" s="15">
        <v>10809</v>
      </c>
      <c r="I11" s="14">
        <f t="shared" si="4"/>
        <v>81733</v>
      </c>
      <c r="J11" s="15">
        <f t="shared" si="1"/>
        <v>126.52167182662539</v>
      </c>
      <c r="L11" s="4" t="s">
        <v>67</v>
      </c>
      <c r="M11" s="26">
        <v>18087</v>
      </c>
      <c r="N11" s="23">
        <v>2847</v>
      </c>
      <c r="O11" s="23">
        <v>7271</v>
      </c>
      <c r="P11" s="26">
        <f t="shared" si="2"/>
        <v>28205</v>
      </c>
      <c r="Q11" s="27">
        <v>5641</v>
      </c>
      <c r="R11" s="26">
        <v>0</v>
      </c>
      <c r="S11" s="27">
        <v>5162</v>
      </c>
      <c r="T11" s="26">
        <f t="shared" si="5"/>
        <v>39008</v>
      </c>
      <c r="U11" s="35">
        <f t="shared" si="3"/>
        <v>53.65612104539202</v>
      </c>
    </row>
    <row r="12" spans="1:21" x14ac:dyDescent="0.25">
      <c r="A12" s="4" t="s">
        <v>67</v>
      </c>
      <c r="B12" s="16">
        <v>24306</v>
      </c>
      <c r="C12" s="16">
        <v>3812</v>
      </c>
      <c r="D12" s="16">
        <v>9784</v>
      </c>
      <c r="E12" s="14">
        <f t="shared" si="0"/>
        <v>37902</v>
      </c>
      <c r="F12" s="13">
        <v>7580</v>
      </c>
      <c r="G12" s="14">
        <v>0</v>
      </c>
      <c r="H12" s="15">
        <v>6937</v>
      </c>
      <c r="I12" s="14">
        <f t="shared" si="4"/>
        <v>52419</v>
      </c>
      <c r="J12" s="15">
        <f t="shared" si="1"/>
        <v>81.143962848297207</v>
      </c>
      <c r="L12" s="4" t="s">
        <v>51</v>
      </c>
      <c r="M12" s="26">
        <v>17410</v>
      </c>
      <c r="N12" s="23">
        <v>2624</v>
      </c>
      <c r="O12" s="23">
        <v>9903</v>
      </c>
      <c r="P12" s="26">
        <f t="shared" si="2"/>
        <v>29937</v>
      </c>
      <c r="Q12" s="27">
        <v>5987</v>
      </c>
      <c r="R12" s="26">
        <v>0</v>
      </c>
      <c r="S12" s="27">
        <v>5409</v>
      </c>
      <c r="T12" s="26">
        <f t="shared" si="5"/>
        <v>41333</v>
      </c>
      <c r="U12" s="35">
        <f t="shared" si="3"/>
        <v>56.854195323246216</v>
      </c>
    </row>
    <row r="13" spans="1:21" x14ac:dyDescent="0.25">
      <c r="A13" s="4" t="s">
        <v>51</v>
      </c>
      <c r="B13" s="16">
        <v>24650</v>
      </c>
      <c r="C13" s="16">
        <v>5471</v>
      </c>
      <c r="D13" s="16">
        <v>18184</v>
      </c>
      <c r="E13" s="14">
        <f t="shared" si="0"/>
        <v>48305</v>
      </c>
      <c r="F13" s="13">
        <v>9661</v>
      </c>
      <c r="G13" s="14">
        <v>0</v>
      </c>
      <c r="H13" s="15">
        <v>8714</v>
      </c>
      <c r="I13" s="14">
        <f t="shared" si="4"/>
        <v>66680</v>
      </c>
      <c r="J13" s="15">
        <f t="shared" si="1"/>
        <v>103.21981424148606</v>
      </c>
      <c r="L13" s="4" t="s">
        <v>52</v>
      </c>
      <c r="M13" s="26">
        <v>9793</v>
      </c>
      <c r="N13" s="23">
        <v>448</v>
      </c>
      <c r="O13" s="23">
        <v>3928</v>
      </c>
      <c r="P13" s="26">
        <f t="shared" si="2"/>
        <v>14169</v>
      </c>
      <c r="Q13" s="27">
        <v>2834</v>
      </c>
      <c r="R13" s="26"/>
      <c r="S13" s="27">
        <v>2550</v>
      </c>
      <c r="T13" s="26">
        <f t="shared" si="5"/>
        <v>19553</v>
      </c>
      <c r="U13" s="35">
        <f t="shared" si="3"/>
        <v>26.895460797799174</v>
      </c>
    </row>
    <row r="14" spans="1:21" x14ac:dyDescent="0.25">
      <c r="A14" s="4" t="s">
        <v>52</v>
      </c>
      <c r="B14" s="16">
        <v>11347</v>
      </c>
      <c r="C14" s="16">
        <v>522</v>
      </c>
      <c r="D14" s="16">
        <v>4538</v>
      </c>
      <c r="E14" s="14">
        <f t="shared" si="0"/>
        <v>16407</v>
      </c>
      <c r="F14" s="13">
        <v>3281</v>
      </c>
      <c r="G14" s="14">
        <v>709</v>
      </c>
      <c r="H14" s="15">
        <v>3060</v>
      </c>
      <c r="I14" s="14">
        <f t="shared" si="4"/>
        <v>23457</v>
      </c>
      <c r="J14" s="15">
        <f t="shared" si="1"/>
        <v>36.311145510835914</v>
      </c>
      <c r="L14" s="4" t="s">
        <v>53</v>
      </c>
      <c r="M14" s="26">
        <v>1657</v>
      </c>
      <c r="N14" s="23">
        <v>2263</v>
      </c>
      <c r="O14" s="23">
        <v>15412</v>
      </c>
      <c r="P14" s="26">
        <f t="shared" si="2"/>
        <v>19332</v>
      </c>
      <c r="Q14" s="27">
        <v>3866</v>
      </c>
      <c r="R14" s="26">
        <v>0</v>
      </c>
      <c r="S14" s="27">
        <v>4640</v>
      </c>
      <c r="T14" s="26">
        <f t="shared" si="5"/>
        <v>27838</v>
      </c>
      <c r="U14" s="35">
        <f t="shared" si="3"/>
        <v>38.291609353507567</v>
      </c>
    </row>
    <row r="15" spans="1:21" x14ac:dyDescent="0.25">
      <c r="A15" s="4" t="s">
        <v>53</v>
      </c>
      <c r="B15" s="16">
        <v>1711</v>
      </c>
      <c r="C15" s="16">
        <v>2338</v>
      </c>
      <c r="D15" s="16">
        <v>15924</v>
      </c>
      <c r="E15" s="14">
        <f t="shared" si="0"/>
        <v>19973</v>
      </c>
      <c r="F15" s="13">
        <v>3995</v>
      </c>
      <c r="G15" s="14">
        <v>0</v>
      </c>
      <c r="H15" s="15">
        <v>4794</v>
      </c>
      <c r="I15" s="14">
        <f t="shared" si="4"/>
        <v>28762</v>
      </c>
      <c r="J15" s="15">
        <f t="shared" si="1"/>
        <v>44.523219814241486</v>
      </c>
      <c r="L15" s="3" t="s">
        <v>54</v>
      </c>
      <c r="M15" s="32">
        <v>0</v>
      </c>
      <c r="N15" s="33">
        <v>6581</v>
      </c>
      <c r="O15" s="33">
        <v>7506</v>
      </c>
      <c r="P15" s="32">
        <f t="shared" si="2"/>
        <v>14087</v>
      </c>
      <c r="Q15" s="34">
        <v>2817</v>
      </c>
      <c r="R15" s="32">
        <v>0</v>
      </c>
      <c r="S15" s="34">
        <v>2536</v>
      </c>
      <c r="T15" s="32">
        <f t="shared" si="5"/>
        <v>19440</v>
      </c>
      <c r="U15" s="40">
        <f t="shared" si="3"/>
        <v>26.74002751031637</v>
      </c>
    </row>
    <row r="16" spans="1:21" x14ac:dyDescent="0.25">
      <c r="A16" s="3" t="s">
        <v>54</v>
      </c>
      <c r="B16" s="28">
        <v>0</v>
      </c>
      <c r="C16" s="28">
        <v>6254</v>
      </c>
      <c r="D16" s="28">
        <v>7018</v>
      </c>
      <c r="E16" s="29">
        <f t="shared" si="0"/>
        <v>13272</v>
      </c>
      <c r="F16" s="30">
        <v>2654</v>
      </c>
      <c r="G16" s="29">
        <v>0</v>
      </c>
      <c r="H16" s="31">
        <v>2389</v>
      </c>
      <c r="I16" s="29">
        <f t="shared" si="4"/>
        <v>18315</v>
      </c>
      <c r="J16" s="31">
        <f t="shared" si="1"/>
        <v>28.351393188854487</v>
      </c>
      <c r="L16" s="4" t="s">
        <v>31</v>
      </c>
      <c r="M16" s="26">
        <f t="shared" ref="M16:U16" si="6">SUM(M7:M15)</f>
        <v>276328</v>
      </c>
      <c r="N16" s="23">
        <f t="shared" si="6"/>
        <v>28306</v>
      </c>
      <c r="O16" s="23">
        <f t="shared" si="6"/>
        <v>102921</v>
      </c>
      <c r="P16" s="26">
        <f t="shared" si="6"/>
        <v>407555</v>
      </c>
      <c r="Q16" s="27">
        <f t="shared" si="6"/>
        <v>81510</v>
      </c>
      <c r="R16" s="26">
        <f t="shared" si="6"/>
        <v>0</v>
      </c>
      <c r="S16" s="27">
        <f t="shared" si="6"/>
        <v>77907</v>
      </c>
      <c r="T16" s="26">
        <f t="shared" si="6"/>
        <v>566972</v>
      </c>
      <c r="U16" s="27">
        <f t="shared" si="6"/>
        <v>779.87895460797813</v>
      </c>
    </row>
    <row r="17" spans="1:21" x14ac:dyDescent="0.25">
      <c r="A17" s="4" t="s">
        <v>31</v>
      </c>
      <c r="B17" s="16">
        <f t="shared" ref="B17:J17" si="7">SUM(B7:B16)</f>
        <v>456543</v>
      </c>
      <c r="C17" s="16">
        <f t="shared" si="7"/>
        <v>109665</v>
      </c>
      <c r="D17" s="16">
        <f t="shared" si="7"/>
        <v>281169</v>
      </c>
      <c r="E17" s="16">
        <f t="shared" si="7"/>
        <v>847377</v>
      </c>
      <c r="F17" s="16">
        <f t="shared" si="7"/>
        <v>169476</v>
      </c>
      <c r="G17" s="16">
        <f t="shared" si="7"/>
        <v>67966</v>
      </c>
      <c r="H17" s="79">
        <f t="shared" si="7"/>
        <v>196506</v>
      </c>
      <c r="I17" s="16">
        <f t="shared" si="7"/>
        <v>1281325</v>
      </c>
      <c r="J17" s="15">
        <f t="shared" si="7"/>
        <v>1983.4752321981425</v>
      </c>
      <c r="L17" s="4"/>
      <c r="M17" s="5"/>
      <c r="N17" s="5"/>
      <c r="O17" s="5"/>
      <c r="P17" s="5"/>
      <c r="Q17" s="5"/>
      <c r="R17" s="5"/>
      <c r="S17" s="7"/>
      <c r="U17" s="7"/>
    </row>
    <row r="18" spans="1:21" x14ac:dyDescent="0.25">
      <c r="A18" s="4"/>
      <c r="B18" s="5"/>
      <c r="C18" s="5"/>
      <c r="D18" s="5"/>
      <c r="E18" s="5"/>
      <c r="F18" s="5"/>
      <c r="G18" s="5"/>
      <c r="H18" s="7"/>
      <c r="I18" s="5"/>
      <c r="J18" s="7"/>
      <c r="L18" s="3" t="s">
        <v>68</v>
      </c>
      <c r="M18" s="2"/>
      <c r="N18" s="2"/>
      <c r="O18" s="2"/>
      <c r="P18" s="2"/>
      <c r="Q18" s="2"/>
      <c r="R18" s="2"/>
      <c r="S18" s="6"/>
      <c r="T18" s="2" t="s">
        <v>62</v>
      </c>
      <c r="U18" s="6" t="s">
        <v>63</v>
      </c>
    </row>
    <row r="19" spans="1:21" x14ac:dyDescent="0.25">
      <c r="A19" s="3" t="s">
        <v>68</v>
      </c>
      <c r="B19" s="2"/>
      <c r="C19" s="2"/>
      <c r="D19" s="2"/>
      <c r="E19" s="2"/>
      <c r="F19" s="2"/>
      <c r="G19" s="2"/>
      <c r="H19" s="6"/>
      <c r="I19" s="2" t="s">
        <v>62</v>
      </c>
      <c r="J19" s="6" t="s">
        <v>63</v>
      </c>
      <c r="L19" s="4" t="s">
        <v>69</v>
      </c>
      <c r="M19" s="5"/>
      <c r="N19" s="5"/>
      <c r="O19" s="5"/>
      <c r="P19" s="5"/>
      <c r="Q19" s="5"/>
      <c r="R19" s="5"/>
      <c r="S19" s="7"/>
      <c r="T19" s="16">
        <f>20036</f>
        <v>20036</v>
      </c>
      <c r="U19" s="36">
        <f t="shared" ref="U19:U25" si="8">T19/$M$3</f>
        <v>27.559834938101787</v>
      </c>
    </row>
    <row r="20" spans="1:21" x14ac:dyDescent="0.25">
      <c r="A20" s="22" t="s">
        <v>69</v>
      </c>
      <c r="B20" s="5"/>
      <c r="C20" s="5"/>
      <c r="D20" s="5"/>
      <c r="E20" s="5"/>
      <c r="F20" s="5"/>
      <c r="G20" s="5"/>
      <c r="H20" s="7"/>
      <c r="I20" s="16">
        <v>39833</v>
      </c>
      <c r="J20" s="15">
        <f t="shared" ref="J20:J26" si="9">I20/$B$3</f>
        <v>61.660990712074302</v>
      </c>
      <c r="L20" s="4" t="s">
        <v>70</v>
      </c>
      <c r="M20" s="5"/>
      <c r="N20" s="5"/>
      <c r="O20" s="5"/>
      <c r="P20" s="23">
        <f>P16+Q16+S16</f>
        <v>566972</v>
      </c>
      <c r="Q20" s="5"/>
      <c r="R20" s="5"/>
      <c r="S20" s="7"/>
      <c r="T20" s="16">
        <v>3134</v>
      </c>
      <c r="U20" s="36">
        <f t="shared" si="8"/>
        <v>4.3108665749656119</v>
      </c>
    </row>
    <row r="21" spans="1:21" x14ac:dyDescent="0.25">
      <c r="A21" s="22" t="s">
        <v>70</v>
      </c>
      <c r="B21" s="5"/>
      <c r="C21" s="5"/>
      <c r="D21" s="5"/>
      <c r="E21" s="5"/>
      <c r="F21" s="5"/>
      <c r="G21" s="5"/>
      <c r="H21" s="7"/>
      <c r="I21" s="16">
        <v>8432</v>
      </c>
      <c r="J21" s="15">
        <f t="shared" si="9"/>
        <v>13.052631578947368</v>
      </c>
      <c r="L21" s="4" t="s">
        <v>71</v>
      </c>
      <c r="M21" s="5"/>
      <c r="N21" s="5"/>
      <c r="O21" s="5"/>
      <c r="P21" s="5"/>
      <c r="Q21" s="5"/>
      <c r="R21" s="5"/>
      <c r="S21" s="7"/>
      <c r="T21" s="16">
        <v>847</v>
      </c>
      <c r="U21" s="36">
        <f t="shared" si="8"/>
        <v>1.1650618982118295</v>
      </c>
    </row>
    <row r="22" spans="1:21" x14ac:dyDescent="0.25">
      <c r="A22" s="22" t="s">
        <v>71</v>
      </c>
      <c r="B22" s="5"/>
      <c r="C22" s="5"/>
      <c r="D22" s="5"/>
      <c r="E22" s="5"/>
      <c r="F22" s="5"/>
      <c r="G22" s="5"/>
      <c r="H22" s="7"/>
      <c r="I22" s="16">
        <v>847</v>
      </c>
      <c r="J22" s="15">
        <f t="shared" si="9"/>
        <v>1.3111455108359134</v>
      </c>
      <c r="L22" s="22" t="s">
        <v>72</v>
      </c>
      <c r="M22" s="9"/>
      <c r="N22" s="9"/>
      <c r="O22" s="9"/>
      <c r="P22" s="9"/>
      <c r="Q22" s="9"/>
      <c r="R22" s="9"/>
      <c r="S22" s="51"/>
      <c r="T22" s="13">
        <v>300</v>
      </c>
      <c r="U22" s="162">
        <f t="shared" si="8"/>
        <v>0.4126547455295736</v>
      </c>
    </row>
    <row r="23" spans="1:21" x14ac:dyDescent="0.25">
      <c r="A23" s="22" t="s">
        <v>72</v>
      </c>
      <c r="B23" s="9"/>
      <c r="C23" s="9"/>
      <c r="D23" s="9"/>
      <c r="E23" s="9"/>
      <c r="F23" s="9"/>
      <c r="G23" s="9"/>
      <c r="H23" s="51"/>
      <c r="I23" s="13">
        <v>300</v>
      </c>
      <c r="J23" s="39">
        <f t="shared" si="9"/>
        <v>0.46439628482972134</v>
      </c>
      <c r="L23" s="4" t="s">
        <v>73</v>
      </c>
      <c r="M23" s="5"/>
      <c r="N23" s="5"/>
      <c r="O23" s="5"/>
      <c r="P23" s="5"/>
      <c r="Q23" s="5"/>
      <c r="R23" s="5"/>
      <c r="S23" s="7"/>
      <c r="T23" s="13">
        <v>85046</v>
      </c>
      <c r="U23" s="36">
        <f t="shared" si="8"/>
        <v>116.98211829436039</v>
      </c>
    </row>
    <row r="24" spans="1:21" x14ac:dyDescent="0.25">
      <c r="A24" s="22" t="s">
        <v>73</v>
      </c>
      <c r="B24" s="5"/>
      <c r="C24" s="5"/>
      <c r="D24" s="5"/>
      <c r="E24" s="5"/>
      <c r="F24" s="5"/>
      <c r="G24" s="5"/>
      <c r="H24" s="7"/>
      <c r="I24" s="16">
        <v>192199</v>
      </c>
      <c r="J24" s="15">
        <f t="shared" si="9"/>
        <v>297.52167182662538</v>
      </c>
      <c r="L24" s="4" t="s">
        <v>74</v>
      </c>
      <c r="M24" s="5"/>
      <c r="N24" s="5"/>
      <c r="O24" s="5"/>
      <c r="P24" s="5"/>
      <c r="Q24" s="5"/>
      <c r="R24" s="5"/>
      <c r="S24" s="7"/>
      <c r="T24" s="13">
        <v>15308</v>
      </c>
      <c r="U24" s="36">
        <f t="shared" si="8"/>
        <v>21.056396148555709</v>
      </c>
    </row>
    <row r="25" spans="1:21" x14ac:dyDescent="0.25">
      <c r="A25" s="22" t="s">
        <v>74</v>
      </c>
      <c r="B25" s="5"/>
      <c r="C25" s="5"/>
      <c r="D25" s="5"/>
      <c r="E25" s="5"/>
      <c r="F25" s="5"/>
      <c r="G25" s="5"/>
      <c r="H25" s="7"/>
      <c r="I25" s="16">
        <v>34596</v>
      </c>
      <c r="J25" s="15">
        <f t="shared" si="9"/>
        <v>53.554179566563469</v>
      </c>
      <c r="L25" s="4" t="s">
        <v>75</v>
      </c>
      <c r="M25" s="5"/>
      <c r="N25" s="5"/>
      <c r="O25" s="5"/>
      <c r="P25" s="5"/>
      <c r="Q25" s="5"/>
      <c r="R25" s="5"/>
      <c r="S25" s="27"/>
      <c r="T25" s="16">
        <f>SUM(T16,T19:T24)</f>
        <v>691643</v>
      </c>
      <c r="U25" s="36">
        <f t="shared" si="8"/>
        <v>951.36588720770294</v>
      </c>
    </row>
    <row r="26" spans="1:21" x14ac:dyDescent="0.25">
      <c r="A26" s="22" t="s">
        <v>75</v>
      </c>
      <c r="B26" s="5"/>
      <c r="C26" s="5"/>
      <c r="D26" s="5"/>
      <c r="E26" s="5"/>
      <c r="F26" s="5"/>
      <c r="G26" s="5"/>
      <c r="H26" s="27"/>
      <c r="I26" s="16">
        <f>SUM(I17,I20:I25)</f>
        <v>1557532</v>
      </c>
      <c r="J26" s="15">
        <f t="shared" si="9"/>
        <v>2411.0402476780187</v>
      </c>
      <c r="L26" s="4" t="s">
        <v>76</v>
      </c>
      <c r="M26" s="5"/>
      <c r="N26" s="5"/>
      <c r="O26" s="5"/>
      <c r="P26" s="5"/>
      <c r="Q26" s="5"/>
      <c r="R26" s="5"/>
      <c r="S26" s="7"/>
      <c r="T26" s="9">
        <v>1.093</v>
      </c>
      <c r="U26" s="36"/>
    </row>
    <row r="27" spans="1:21" x14ac:dyDescent="0.25">
      <c r="A27" s="22" t="s">
        <v>76</v>
      </c>
      <c r="B27" s="5"/>
      <c r="C27" s="5"/>
      <c r="D27" s="5"/>
      <c r="E27" s="5"/>
      <c r="F27" s="5"/>
      <c r="G27" s="5"/>
      <c r="H27" s="7"/>
      <c r="I27" s="24">
        <v>1.093</v>
      </c>
      <c r="J27" s="15"/>
      <c r="L27" s="4" t="s">
        <v>77</v>
      </c>
      <c r="M27" s="5"/>
      <c r="N27" s="5"/>
      <c r="O27" s="5"/>
      <c r="P27" s="5"/>
      <c r="Q27" s="5"/>
      <c r="R27" s="5"/>
      <c r="S27" s="7"/>
      <c r="T27" s="37">
        <f>T25*T26</f>
        <v>755965.799</v>
      </c>
      <c r="U27" s="36">
        <f>T27/$M$3</f>
        <v>1039.8429147180193</v>
      </c>
    </row>
    <row r="28" spans="1:21" x14ac:dyDescent="0.25">
      <c r="A28" s="22" t="s">
        <v>77</v>
      </c>
      <c r="B28" s="5"/>
      <c r="C28" s="5"/>
      <c r="D28" s="5"/>
      <c r="E28" s="5"/>
      <c r="F28" s="5"/>
      <c r="G28" s="5"/>
      <c r="H28" s="7"/>
      <c r="I28" s="16">
        <f>I26*I27</f>
        <v>1702382.476</v>
      </c>
      <c r="J28" s="15">
        <f>I28/$B$3</f>
        <v>2635.2669907120744</v>
      </c>
      <c r="L28" s="4"/>
      <c r="M28" s="5"/>
      <c r="N28" s="5"/>
      <c r="O28" s="5"/>
      <c r="P28" s="5"/>
      <c r="Q28" s="5"/>
      <c r="R28" s="5"/>
      <c r="S28" s="7"/>
      <c r="T28" s="5"/>
      <c r="U28" s="7"/>
    </row>
    <row r="29" spans="1:21" x14ac:dyDescent="0.25">
      <c r="A29" s="4"/>
      <c r="B29" s="5"/>
      <c r="C29" s="5"/>
      <c r="D29" s="5"/>
      <c r="E29" s="5"/>
      <c r="F29" s="5"/>
      <c r="G29" s="5"/>
      <c r="H29" s="7"/>
      <c r="I29" s="5"/>
      <c r="J29" s="7"/>
      <c r="L29" s="3" t="s">
        <v>78</v>
      </c>
      <c r="M29" s="2"/>
      <c r="N29" s="2"/>
      <c r="O29" s="2"/>
      <c r="P29" s="2"/>
      <c r="Q29" s="2"/>
      <c r="R29" s="2"/>
      <c r="S29" s="6"/>
      <c r="T29" s="2" t="s">
        <v>79</v>
      </c>
      <c r="U29" s="6" t="s">
        <v>80</v>
      </c>
    </row>
    <row r="30" spans="1:21" x14ac:dyDescent="0.25">
      <c r="A30" s="3" t="s">
        <v>78</v>
      </c>
      <c r="B30" s="2"/>
      <c r="C30" s="2"/>
      <c r="D30" s="2"/>
      <c r="E30" s="2"/>
      <c r="F30" s="2"/>
      <c r="G30" s="2"/>
      <c r="H30" s="6"/>
      <c r="I30" s="2" t="s">
        <v>79</v>
      </c>
      <c r="J30" s="6" t="s">
        <v>80</v>
      </c>
      <c r="L30" s="91" t="s">
        <v>57</v>
      </c>
      <c r="M30" s="19"/>
      <c r="N30" s="19"/>
      <c r="O30" s="19"/>
      <c r="P30" s="19"/>
      <c r="Q30" s="19"/>
      <c r="R30" s="19"/>
      <c r="S30" s="20"/>
      <c r="T30" s="83">
        <f>2192190+4308976+1625292</f>
        <v>8126458</v>
      </c>
      <c r="U30" s="226">
        <f>3.017+5.931+2.237</f>
        <v>11.185</v>
      </c>
    </row>
    <row r="31" spans="1:21" x14ac:dyDescent="0.25">
      <c r="A31" s="22" t="s">
        <v>57</v>
      </c>
      <c r="H31" s="7"/>
      <c r="I31" s="45">
        <f>2776628+9738060+3128672</f>
        <v>15643360</v>
      </c>
      <c r="J31" s="226">
        <f>4.3+15.81+4.845</f>
        <v>24.954999999999998</v>
      </c>
      <c r="L31" t="s">
        <v>686</v>
      </c>
      <c r="S31" s="7"/>
      <c r="T31" s="47">
        <v>11339411</v>
      </c>
      <c r="U31" s="36">
        <v>15.606999999999999</v>
      </c>
    </row>
    <row r="32" spans="1:21" x14ac:dyDescent="0.25">
      <c r="A32" t="s">
        <v>686</v>
      </c>
      <c r="H32" s="7"/>
      <c r="I32" s="45">
        <v>25626472</v>
      </c>
      <c r="J32" s="36">
        <v>39.686</v>
      </c>
      <c r="L32" s="4" t="s">
        <v>685</v>
      </c>
      <c r="M32" s="5"/>
      <c r="N32" s="5"/>
      <c r="O32" s="5"/>
      <c r="P32" s="5"/>
      <c r="Q32" s="5"/>
      <c r="R32" s="5"/>
      <c r="S32" s="7"/>
      <c r="T32" s="227">
        <f>T30+T31</f>
        <v>19465869</v>
      </c>
      <c r="U32" s="224">
        <f>U30+U31</f>
        <v>26.792000000000002</v>
      </c>
    </row>
    <row r="33" spans="1:21" x14ac:dyDescent="0.25">
      <c r="A33" s="22" t="s">
        <v>685</v>
      </c>
      <c r="B33" s="5"/>
      <c r="C33" s="5"/>
      <c r="D33" s="5"/>
      <c r="E33" s="5"/>
      <c r="F33" s="5"/>
      <c r="G33" s="5"/>
      <c r="H33" s="7"/>
      <c r="I33" s="29">
        <v>41269832</v>
      </c>
      <c r="J33" s="224">
        <v>63.911000000000001</v>
      </c>
      <c r="L33" s="4" t="s">
        <v>82</v>
      </c>
      <c r="N33" s="5"/>
      <c r="O33" s="5"/>
      <c r="P33" s="5"/>
      <c r="Q33" s="5"/>
      <c r="S33" s="7"/>
      <c r="T33" s="11">
        <v>6463464</v>
      </c>
      <c r="U33" s="36">
        <v>1.1950000000000001</v>
      </c>
    </row>
    <row r="34" spans="1:21" x14ac:dyDescent="0.25">
      <c r="A34" s="22" t="s">
        <v>82</v>
      </c>
      <c r="B34" s="5"/>
      <c r="C34" s="5"/>
      <c r="D34" s="5"/>
      <c r="E34" s="5"/>
      <c r="F34" s="5"/>
      <c r="G34" s="5"/>
      <c r="H34" s="7"/>
      <c r="I34" s="16">
        <v>14607089</v>
      </c>
      <c r="J34" s="36">
        <v>3.0379999999999998</v>
      </c>
      <c r="L34" s="4" t="s">
        <v>37</v>
      </c>
      <c r="M34" s="5"/>
      <c r="N34" s="5"/>
      <c r="O34" s="5"/>
      <c r="P34" s="5"/>
      <c r="Q34" s="5"/>
      <c r="R34" s="5"/>
      <c r="S34" s="7"/>
      <c r="T34" s="11">
        <v>2758905</v>
      </c>
      <c r="U34" s="36">
        <v>0.51</v>
      </c>
    </row>
    <row r="35" spans="1:21" x14ac:dyDescent="0.25">
      <c r="A35" s="22" t="s">
        <v>37</v>
      </c>
      <c r="B35" s="5"/>
      <c r="C35" s="5"/>
      <c r="D35" s="5"/>
      <c r="E35" s="5"/>
      <c r="F35" s="5"/>
      <c r="G35" s="5"/>
      <c r="H35" s="7"/>
      <c r="I35" s="16">
        <v>12357234</v>
      </c>
      <c r="J35" s="36">
        <v>2.57</v>
      </c>
      <c r="L35" s="4" t="s">
        <v>38</v>
      </c>
      <c r="M35" s="5"/>
      <c r="N35" s="5"/>
      <c r="O35" s="5"/>
      <c r="P35" s="5"/>
      <c r="Q35" s="5"/>
      <c r="R35" s="5"/>
      <c r="S35" s="7"/>
      <c r="T35" s="10">
        <v>2401</v>
      </c>
      <c r="U35" s="36">
        <v>0.50997999999999999</v>
      </c>
    </row>
    <row r="36" spans="1:21" x14ac:dyDescent="0.25">
      <c r="A36" s="22" t="s">
        <v>38</v>
      </c>
      <c r="B36" s="5"/>
      <c r="C36" s="5"/>
      <c r="D36" s="5"/>
      <c r="E36" s="5"/>
      <c r="F36" s="5"/>
      <c r="G36" s="5"/>
      <c r="H36" s="7"/>
      <c r="I36" s="16">
        <v>1235596</v>
      </c>
      <c r="J36" s="36">
        <v>2.5999999999999999E-2</v>
      </c>
      <c r="L36" s="4" t="s">
        <v>81</v>
      </c>
      <c r="M36" s="5"/>
      <c r="N36" s="5"/>
      <c r="O36" s="5"/>
      <c r="P36" s="5"/>
      <c r="Q36" s="5"/>
      <c r="R36" s="5"/>
      <c r="S36" s="7"/>
      <c r="T36" s="10">
        <v>9224770</v>
      </c>
      <c r="U36" s="36">
        <v>1.7050000000000001</v>
      </c>
    </row>
    <row r="37" spans="1:21" x14ac:dyDescent="0.25">
      <c r="A37" s="22" t="s">
        <v>81</v>
      </c>
      <c r="B37" s="5"/>
      <c r="C37" s="5"/>
      <c r="D37" s="5"/>
      <c r="E37" s="5"/>
      <c r="F37" s="5"/>
      <c r="G37" s="5"/>
      <c r="H37" s="7"/>
      <c r="I37" s="16">
        <v>27087919</v>
      </c>
      <c r="J37" s="36">
        <v>5.63</v>
      </c>
      <c r="L37" s="3" t="s">
        <v>83</v>
      </c>
      <c r="M37" s="2"/>
      <c r="N37" s="2"/>
      <c r="O37" s="2"/>
      <c r="P37" s="2"/>
      <c r="Q37" s="2"/>
      <c r="R37" s="2"/>
      <c r="S37" s="6"/>
      <c r="T37" s="38">
        <v>152160153</v>
      </c>
      <c r="U37" s="224">
        <v>28.126000000000001</v>
      </c>
    </row>
    <row r="38" spans="1:21" x14ac:dyDescent="0.25">
      <c r="A38" s="25" t="s">
        <v>83</v>
      </c>
      <c r="B38" s="2"/>
      <c r="C38" s="2"/>
      <c r="D38" s="2"/>
      <c r="E38" s="2"/>
      <c r="F38" s="2"/>
      <c r="G38" s="2"/>
      <c r="H38" s="6"/>
      <c r="I38" s="28">
        <v>152160153</v>
      </c>
      <c r="J38" s="224">
        <v>31.646000000000001</v>
      </c>
      <c r="L38" s="5"/>
      <c r="M38" s="5"/>
      <c r="N38" s="5"/>
      <c r="O38" s="5"/>
      <c r="P38" s="5"/>
      <c r="Q38" s="5"/>
      <c r="R38" s="5"/>
      <c r="S38" s="5"/>
      <c r="T38" s="11"/>
      <c r="U38" s="5"/>
    </row>
    <row r="39" spans="1:21" s="164" customFormat="1" ht="15.75" thickBot="1" x14ac:dyDescent="0.3"/>
    <row r="40" spans="1:21" ht="15.75" thickTop="1" x14ac:dyDescent="0.25">
      <c r="A40" s="55" t="s">
        <v>372</v>
      </c>
    </row>
    <row r="42" spans="1:21" x14ac:dyDescent="0.25">
      <c r="A42" s="8" t="s">
        <v>64</v>
      </c>
      <c r="B42" s="19" t="s">
        <v>36</v>
      </c>
      <c r="C42" s="19" t="s">
        <v>66</v>
      </c>
      <c r="D42" s="19"/>
      <c r="E42" s="19"/>
      <c r="F42" s="19"/>
      <c r="G42" s="19"/>
      <c r="H42" s="19"/>
      <c r="I42" s="19"/>
      <c r="J42" s="20"/>
      <c r="L42" s="8" t="s">
        <v>64</v>
      </c>
      <c r="M42" s="19" t="s">
        <v>35</v>
      </c>
      <c r="N42" s="19" t="s">
        <v>84</v>
      </c>
      <c r="O42" s="19"/>
      <c r="P42" s="19"/>
      <c r="Q42" s="19"/>
      <c r="R42" s="19"/>
      <c r="S42" s="19"/>
      <c r="T42" s="19"/>
      <c r="U42" s="20"/>
    </row>
    <row r="43" spans="1:21" x14ac:dyDescent="0.25">
      <c r="A43" s="3" t="s">
        <v>65</v>
      </c>
      <c r="B43" s="2">
        <v>646</v>
      </c>
      <c r="C43" s="2"/>
      <c r="D43" s="2"/>
      <c r="E43" s="2"/>
      <c r="F43" s="2"/>
      <c r="G43" s="2"/>
      <c r="H43" s="2"/>
      <c r="I43" s="2"/>
      <c r="J43" s="6"/>
      <c r="L43" s="3" t="s">
        <v>65</v>
      </c>
      <c r="M43" s="2">
        <v>727</v>
      </c>
      <c r="N43" s="2"/>
      <c r="O43" s="2"/>
      <c r="P43" s="2"/>
      <c r="Q43" s="2"/>
      <c r="R43" s="2"/>
      <c r="S43" s="2"/>
      <c r="T43" s="2"/>
      <c r="U43" s="6"/>
    </row>
    <row r="44" spans="1:21" x14ac:dyDescent="0.25">
      <c r="A44" s="21" t="s">
        <v>61</v>
      </c>
      <c r="B44" s="17"/>
      <c r="C44" s="17"/>
      <c r="D44" s="17"/>
      <c r="E44" s="2"/>
      <c r="F44" s="2"/>
      <c r="G44" s="2"/>
      <c r="H44" s="2"/>
      <c r="I44" s="2"/>
      <c r="J44" s="6"/>
      <c r="L44" s="3" t="s">
        <v>61</v>
      </c>
      <c r="M44" s="2"/>
      <c r="N44" s="2"/>
      <c r="O44" s="2"/>
      <c r="P44" s="2"/>
      <c r="Q44" s="2"/>
      <c r="R44" s="2"/>
      <c r="S44" s="2"/>
      <c r="T44" s="2"/>
      <c r="U44" s="6"/>
    </row>
    <row r="45" spans="1:21" x14ac:dyDescent="0.25">
      <c r="A45" s="4"/>
      <c r="B45" s="5"/>
      <c r="C45" s="5"/>
      <c r="D45" s="5"/>
      <c r="E45" s="5"/>
      <c r="F45" s="5"/>
      <c r="G45" s="297" t="s">
        <v>43</v>
      </c>
      <c r="H45" s="284"/>
      <c r="I45" s="297" t="s">
        <v>61</v>
      </c>
      <c r="J45" s="284"/>
      <c r="L45" s="4"/>
      <c r="M45" s="5"/>
      <c r="N45" s="5"/>
      <c r="O45" s="5"/>
      <c r="P45" s="5"/>
      <c r="Q45" s="5"/>
      <c r="R45" s="4" t="s">
        <v>43</v>
      </c>
      <c r="S45" s="7"/>
      <c r="T45" s="4" t="s">
        <v>61</v>
      </c>
      <c r="U45" s="7"/>
    </row>
    <row r="46" spans="1:21" x14ac:dyDescent="0.25">
      <c r="A46" s="3" t="s">
        <v>34</v>
      </c>
      <c r="B46" s="2" t="s">
        <v>55</v>
      </c>
      <c r="C46" s="2" t="s">
        <v>56</v>
      </c>
      <c r="D46" s="2" t="s">
        <v>57</v>
      </c>
      <c r="E46" s="2" t="s">
        <v>58</v>
      </c>
      <c r="F46" s="2" t="s">
        <v>42</v>
      </c>
      <c r="G46" s="3" t="s">
        <v>59</v>
      </c>
      <c r="H46" s="6" t="s">
        <v>60</v>
      </c>
      <c r="I46" s="3" t="s">
        <v>62</v>
      </c>
      <c r="J46" s="6" t="s">
        <v>63</v>
      </c>
      <c r="L46" s="3" t="s">
        <v>34</v>
      </c>
      <c r="M46" s="2" t="s">
        <v>55</v>
      </c>
      <c r="N46" s="2" t="s">
        <v>56</v>
      </c>
      <c r="O46" s="2" t="s">
        <v>57</v>
      </c>
      <c r="P46" s="2" t="s">
        <v>58</v>
      </c>
      <c r="Q46" s="2" t="s">
        <v>42</v>
      </c>
      <c r="R46" s="3" t="s">
        <v>59</v>
      </c>
      <c r="S46" s="6" t="s">
        <v>60</v>
      </c>
      <c r="T46" s="3" t="s">
        <v>62</v>
      </c>
      <c r="U46" s="6" t="s">
        <v>63</v>
      </c>
    </row>
    <row r="47" spans="1:21" x14ac:dyDescent="0.25">
      <c r="A47" s="4" t="s">
        <v>46</v>
      </c>
      <c r="B47" s="12">
        <f t="shared" ref="B47:J47" si="10">B7*1.019*1.023</f>
        <v>44906.101085999995</v>
      </c>
      <c r="C47" s="16">
        <f t="shared" si="10"/>
        <v>9598.7598959999978</v>
      </c>
      <c r="D47" s="16">
        <f t="shared" si="10"/>
        <v>29702.157440999996</v>
      </c>
      <c r="E47" s="12">
        <f t="shared" si="10"/>
        <v>84207.018422999987</v>
      </c>
      <c r="F47" s="16">
        <f t="shared" si="10"/>
        <v>16841.612171999997</v>
      </c>
      <c r="G47" s="12">
        <f t="shared" si="10"/>
        <v>0</v>
      </c>
      <c r="H47" s="78">
        <f t="shared" si="10"/>
        <v>19072.427351999999</v>
      </c>
      <c r="I47" s="12">
        <f t="shared" si="10"/>
        <v>120121.05794699998</v>
      </c>
      <c r="J47" s="79">
        <f t="shared" si="10"/>
        <v>185.94591013467488</v>
      </c>
      <c r="L47" s="8" t="s">
        <v>46</v>
      </c>
      <c r="M47" s="84">
        <f t="shared" ref="M47:U47" si="11">M7*1.019*1.023</f>
        <v>37847.760158999998</v>
      </c>
      <c r="N47" s="84">
        <f t="shared" si="11"/>
        <v>8468.7581879999998</v>
      </c>
      <c r="O47" s="84">
        <f t="shared" si="11"/>
        <v>22647.986261999995</v>
      </c>
      <c r="P47" s="84">
        <f t="shared" si="11"/>
        <v>68964.504608999981</v>
      </c>
      <c r="Q47" s="84">
        <f t="shared" si="11"/>
        <v>13792.483946999999</v>
      </c>
      <c r="R47" s="84">
        <f t="shared" si="11"/>
        <v>0</v>
      </c>
      <c r="S47" s="84">
        <f t="shared" si="11"/>
        <v>15415.558355999996</v>
      </c>
      <c r="T47" s="84">
        <f t="shared" si="11"/>
        <v>98172.546911999991</v>
      </c>
      <c r="U47" s="85">
        <f t="shared" si="11"/>
        <v>135.03789121320494</v>
      </c>
    </row>
    <row r="48" spans="1:21" x14ac:dyDescent="0.25">
      <c r="A48" s="4" t="s">
        <v>47</v>
      </c>
      <c r="B48" s="14">
        <f t="shared" ref="B48:J48" si="12">B8*1.019*1.023</f>
        <v>182336.82541799996</v>
      </c>
      <c r="C48" s="16">
        <f t="shared" si="12"/>
        <v>80383.359506999986</v>
      </c>
      <c r="D48" s="16">
        <f t="shared" si="12"/>
        <v>171176.49489599999</v>
      </c>
      <c r="E48" s="14">
        <f t="shared" si="12"/>
        <v>433896.67982099991</v>
      </c>
      <c r="F48" s="16">
        <f t="shared" si="12"/>
        <v>86779.752938999998</v>
      </c>
      <c r="G48" s="14">
        <f t="shared" si="12"/>
        <v>70111.185308999979</v>
      </c>
      <c r="H48" s="16">
        <f t="shared" si="12"/>
        <v>118157.10663899998</v>
      </c>
      <c r="I48" s="14">
        <f t="shared" si="12"/>
        <v>708944.72470799985</v>
      </c>
      <c r="J48" s="15">
        <f t="shared" si="12"/>
        <v>1097.437654346749</v>
      </c>
      <c r="L48" s="4" t="s">
        <v>48</v>
      </c>
      <c r="M48" s="26">
        <f t="shared" ref="M48:U48" si="13">M8*1.019*1.023</f>
        <v>78026.409449999992</v>
      </c>
      <c r="N48" s="26">
        <f t="shared" si="13"/>
        <v>1848.2408009999997</v>
      </c>
      <c r="O48" s="26">
        <f t="shared" si="13"/>
        <v>5973.1640099999995</v>
      </c>
      <c r="P48" s="26">
        <f t="shared" si="13"/>
        <v>85847.814260999992</v>
      </c>
      <c r="Q48" s="26">
        <f t="shared" si="13"/>
        <v>17169.979826999996</v>
      </c>
      <c r="R48" s="26">
        <f t="shared" si="13"/>
        <v>0</v>
      </c>
      <c r="S48" s="26">
        <f t="shared" si="13"/>
        <v>15570.881468999996</v>
      </c>
      <c r="T48" s="26">
        <f t="shared" si="13"/>
        <v>118588.67555699998</v>
      </c>
      <c r="U48" s="86">
        <f t="shared" si="13"/>
        <v>163.12059911554331</v>
      </c>
    </row>
    <row r="49" spans="1:21" x14ac:dyDescent="0.25">
      <c r="A49" s="4" t="s">
        <v>48</v>
      </c>
      <c r="B49" s="14">
        <f t="shared" ref="B49:J49" si="14">B9*1.019*1.023</f>
        <v>78026.409449999992</v>
      </c>
      <c r="C49" s="16">
        <f t="shared" si="14"/>
        <v>1848.2408009999997</v>
      </c>
      <c r="D49" s="16">
        <f t="shared" si="14"/>
        <v>5973.1640099999995</v>
      </c>
      <c r="E49" s="14">
        <f t="shared" si="14"/>
        <v>85847.814260999992</v>
      </c>
      <c r="F49" s="16">
        <f t="shared" si="14"/>
        <v>17169.979826999996</v>
      </c>
      <c r="G49" s="14">
        <f t="shared" si="14"/>
        <v>0</v>
      </c>
      <c r="H49" s="16">
        <f t="shared" si="14"/>
        <v>15570.881468999996</v>
      </c>
      <c r="I49" s="14">
        <f t="shared" si="14"/>
        <v>118588.67555699998</v>
      </c>
      <c r="J49" s="15">
        <f t="shared" si="14"/>
        <v>183.5738011718266</v>
      </c>
      <c r="L49" s="4" t="s">
        <v>49</v>
      </c>
      <c r="M49" s="26">
        <f t="shared" ref="M49:U49" si="15">M9*1.019*1.023</f>
        <v>67372.703309999997</v>
      </c>
      <c r="N49" s="26">
        <f t="shared" si="15"/>
        <v>2495.5941779999998</v>
      </c>
      <c r="O49" s="26">
        <f t="shared" si="15"/>
        <v>17153.300834999995</v>
      </c>
      <c r="P49" s="26">
        <f t="shared" si="15"/>
        <v>87021.598322999984</v>
      </c>
      <c r="Q49" s="26">
        <f t="shared" si="15"/>
        <v>17404.528151999995</v>
      </c>
      <c r="R49" s="26">
        <f t="shared" si="15"/>
        <v>0</v>
      </c>
      <c r="S49" s="26">
        <f t="shared" si="15"/>
        <v>15756.435254999997</v>
      </c>
      <c r="T49" s="26">
        <f t="shared" si="15"/>
        <v>120182.56172999999</v>
      </c>
      <c r="U49" s="86">
        <f t="shared" si="15"/>
        <v>165.3130147592847</v>
      </c>
    </row>
    <row r="50" spans="1:21" x14ac:dyDescent="0.25">
      <c r="A50" s="4" t="s">
        <v>49</v>
      </c>
      <c r="B50" s="14">
        <f t="shared" ref="B50:J50" si="16">B10*1.019*1.023</f>
        <v>58863.290078999984</v>
      </c>
      <c r="C50" s="16">
        <f t="shared" si="16"/>
        <v>2193.2874479999996</v>
      </c>
      <c r="D50" s="16">
        <f t="shared" si="16"/>
        <v>15093.445322999998</v>
      </c>
      <c r="E50" s="14">
        <f t="shared" si="16"/>
        <v>76150.022849999994</v>
      </c>
      <c r="F50" s="16">
        <f t="shared" si="16"/>
        <v>15230.004569999997</v>
      </c>
      <c r="G50" s="14">
        <f t="shared" si="16"/>
        <v>0</v>
      </c>
      <c r="H50" s="16">
        <f t="shared" si="16"/>
        <v>13784.144450999998</v>
      </c>
      <c r="I50" s="14">
        <f t="shared" si="16"/>
        <v>105164.17187099998</v>
      </c>
      <c r="J50" s="15">
        <f t="shared" si="16"/>
        <v>162.79283571362228</v>
      </c>
      <c r="L50" s="4" t="s">
        <v>50</v>
      </c>
      <c r="M50" s="26">
        <f t="shared" ref="M50:U50" si="17">M10*1.019*1.023</f>
        <v>55868.368577999987</v>
      </c>
      <c r="N50" s="26">
        <f t="shared" si="17"/>
        <v>1305.1311239999998</v>
      </c>
      <c r="O50" s="26">
        <f t="shared" si="17"/>
        <v>15626.130629999998</v>
      </c>
      <c r="P50" s="26">
        <f t="shared" si="17"/>
        <v>72799.630331999986</v>
      </c>
      <c r="Q50" s="26">
        <f t="shared" si="17"/>
        <v>14559.717578999998</v>
      </c>
      <c r="R50" s="26">
        <f t="shared" si="17"/>
        <v>0</v>
      </c>
      <c r="S50" s="26">
        <f t="shared" si="17"/>
        <v>13311.920489999999</v>
      </c>
      <c r="T50" s="26">
        <f t="shared" si="17"/>
        <v>100671.26840099998</v>
      </c>
      <c r="U50" s="86">
        <f t="shared" si="17"/>
        <v>138.47492214718017</v>
      </c>
    </row>
    <row r="51" spans="1:21" x14ac:dyDescent="0.25">
      <c r="A51" s="4" t="s">
        <v>50</v>
      </c>
      <c r="B51" s="14">
        <f t="shared" ref="B51:J51" si="18">B11*1.019*1.023</f>
        <v>47139.001139999986</v>
      </c>
      <c r="C51" s="16">
        <f t="shared" si="18"/>
        <v>1117.4924639999999</v>
      </c>
      <c r="D51" s="16">
        <f t="shared" si="18"/>
        <v>13354.660406999998</v>
      </c>
      <c r="E51" s="14">
        <f t="shared" si="18"/>
        <v>61611.154010999991</v>
      </c>
      <c r="F51" s="16">
        <f t="shared" si="18"/>
        <v>12322.647776999996</v>
      </c>
      <c r="G51" s="14">
        <f t="shared" si="18"/>
        <v>0</v>
      </c>
      <c r="H51" s="16">
        <f t="shared" si="18"/>
        <v>11267.701532999998</v>
      </c>
      <c r="I51" s="14">
        <f t="shared" si="18"/>
        <v>85201.503320999982</v>
      </c>
      <c r="J51" s="15">
        <f t="shared" si="18"/>
        <v>131.89087201393187</v>
      </c>
      <c r="L51" s="4" t="s">
        <v>67</v>
      </c>
      <c r="M51" s="26">
        <f t="shared" ref="M51:U51" si="19">M11*1.019*1.023</f>
        <v>18854.558018999996</v>
      </c>
      <c r="N51" s="26">
        <f t="shared" si="19"/>
        <v>2967.8181389999995</v>
      </c>
      <c r="O51" s="26">
        <f t="shared" si="19"/>
        <v>7579.5594269999983</v>
      </c>
      <c r="P51" s="26">
        <f t="shared" si="19"/>
        <v>29401.935584999996</v>
      </c>
      <c r="Q51" s="26">
        <f t="shared" si="19"/>
        <v>5880.3871169999984</v>
      </c>
      <c r="R51" s="26">
        <f t="shared" si="19"/>
        <v>0</v>
      </c>
      <c r="S51" s="26">
        <f t="shared" si="19"/>
        <v>5381.0597939999989</v>
      </c>
      <c r="T51" s="26">
        <f t="shared" si="19"/>
        <v>40663.382495999991</v>
      </c>
      <c r="U51" s="86">
        <f t="shared" si="19"/>
        <v>55.93312585419531</v>
      </c>
    </row>
    <row r="52" spans="1:21" x14ac:dyDescent="0.25">
      <c r="A52" s="4" t="s">
        <v>67</v>
      </c>
      <c r="B52" s="14">
        <f t="shared" ref="B52:J52" si="20">B12*1.019*1.023</f>
        <v>25337.473721999995</v>
      </c>
      <c r="C52" s="16">
        <f t="shared" si="20"/>
        <v>3973.769843999999</v>
      </c>
      <c r="D52" s="16">
        <f t="shared" si="20"/>
        <v>10199.203607999998</v>
      </c>
      <c r="E52" s="14">
        <f t="shared" si="20"/>
        <v>39510.447173999994</v>
      </c>
      <c r="F52" s="16">
        <f t="shared" si="20"/>
        <v>7901.6724599999989</v>
      </c>
      <c r="G52" s="14">
        <f t="shared" si="20"/>
        <v>0</v>
      </c>
      <c r="H52" s="16">
        <f t="shared" si="20"/>
        <v>7231.385468999998</v>
      </c>
      <c r="I52" s="14">
        <f t="shared" si="20"/>
        <v>54643.505102999989</v>
      </c>
      <c r="J52" s="15">
        <f t="shared" si="20"/>
        <v>84.587469199690389</v>
      </c>
      <c r="L52" s="4" t="s">
        <v>51</v>
      </c>
      <c r="M52" s="26">
        <f t="shared" ref="M52:U52" si="21">M12*1.019*1.023</f>
        <v>18148.828169999997</v>
      </c>
      <c r="N52" s="26">
        <f t="shared" si="21"/>
        <v>2735.3546879999994</v>
      </c>
      <c r="O52" s="26">
        <f t="shared" si="21"/>
        <v>10323.253610999998</v>
      </c>
      <c r="P52" s="26">
        <f t="shared" si="21"/>
        <v>31207.436468999993</v>
      </c>
      <c r="Q52" s="26">
        <f t="shared" si="21"/>
        <v>6241.0703189999995</v>
      </c>
      <c r="R52" s="26">
        <f t="shared" si="21"/>
        <v>0</v>
      </c>
      <c r="S52" s="26">
        <f t="shared" si="21"/>
        <v>5638.5417329999991</v>
      </c>
      <c r="T52" s="26">
        <f t="shared" si="21"/>
        <v>43087.048520999997</v>
      </c>
      <c r="U52" s="86">
        <f t="shared" si="21"/>
        <v>59.266916810178799</v>
      </c>
    </row>
    <row r="53" spans="1:21" x14ac:dyDescent="0.25">
      <c r="A53" s="4" t="s">
        <v>51</v>
      </c>
      <c r="B53" s="14">
        <f t="shared" ref="B53:J53" si="22">B13*1.019*1.023</f>
        <v>25696.072049999995</v>
      </c>
      <c r="C53" s="16">
        <f t="shared" si="22"/>
        <v>5703.1728269999994</v>
      </c>
      <c r="D53" s="16">
        <f t="shared" si="22"/>
        <v>18955.674407999999</v>
      </c>
      <c r="E53" s="14">
        <f t="shared" si="22"/>
        <v>50354.919284999996</v>
      </c>
      <c r="F53" s="16">
        <f t="shared" si="22"/>
        <v>10070.983856999999</v>
      </c>
      <c r="G53" s="14">
        <f t="shared" si="22"/>
        <v>0</v>
      </c>
      <c r="H53" s="16">
        <f t="shared" si="22"/>
        <v>9083.7960179999973</v>
      </c>
      <c r="I53" s="14">
        <f t="shared" si="22"/>
        <v>69509.699159999989</v>
      </c>
      <c r="J53" s="15">
        <f t="shared" si="22"/>
        <v>107.60015349845199</v>
      </c>
      <c r="L53" s="4" t="s">
        <v>52</v>
      </c>
      <c r="M53" s="26">
        <f t="shared" ref="M53:U53" si="23">M13*1.019*1.023</f>
        <v>10208.585540999999</v>
      </c>
      <c r="N53" s="26">
        <f t="shared" si="23"/>
        <v>467.01177599999988</v>
      </c>
      <c r="O53" s="26">
        <f t="shared" si="23"/>
        <v>4094.6925359999991</v>
      </c>
      <c r="P53" s="26">
        <f t="shared" si="23"/>
        <v>14770.289852999998</v>
      </c>
      <c r="Q53" s="26">
        <f t="shared" si="23"/>
        <v>2954.2664579999991</v>
      </c>
      <c r="R53" s="26">
        <f t="shared" si="23"/>
        <v>0</v>
      </c>
      <c r="S53" s="26">
        <f t="shared" si="23"/>
        <v>2658.2143499999997</v>
      </c>
      <c r="T53" s="26">
        <f t="shared" si="23"/>
        <v>20382.770660999995</v>
      </c>
      <c r="U53" s="86">
        <f t="shared" si="23"/>
        <v>28.036823467675372</v>
      </c>
    </row>
    <row r="54" spans="1:21" x14ac:dyDescent="0.25">
      <c r="A54" s="4" t="s">
        <v>52</v>
      </c>
      <c r="B54" s="14">
        <f t="shared" ref="B54:J54" si="24">B14*1.019*1.023</f>
        <v>11828.532638999997</v>
      </c>
      <c r="C54" s="16">
        <f t="shared" si="24"/>
        <v>544.15211399999998</v>
      </c>
      <c r="D54" s="16">
        <f t="shared" si="24"/>
        <v>4730.5791059999992</v>
      </c>
      <c r="E54" s="14">
        <f t="shared" si="24"/>
        <v>17103.263858999999</v>
      </c>
      <c r="F54" s="16">
        <f t="shared" si="24"/>
        <v>3420.2357969999994</v>
      </c>
      <c r="G54" s="14">
        <f t="shared" si="24"/>
        <v>739.08783299999982</v>
      </c>
      <c r="H54" s="16">
        <f t="shared" si="24"/>
        <v>3189.8572199999994</v>
      </c>
      <c r="I54" s="14">
        <f t="shared" si="24"/>
        <v>24452.444708999996</v>
      </c>
      <c r="J54" s="15">
        <f t="shared" si="24"/>
        <v>37.852081592879244</v>
      </c>
      <c r="L54" s="4" t="s">
        <v>53</v>
      </c>
      <c r="M54" s="26">
        <f t="shared" ref="M54:U54" si="25">M14*1.019*1.023</f>
        <v>1727.3181089999998</v>
      </c>
      <c r="N54" s="26">
        <f t="shared" si="25"/>
        <v>2359.0349309999997</v>
      </c>
      <c r="O54" s="26">
        <f t="shared" si="25"/>
        <v>16066.039043999996</v>
      </c>
      <c r="P54" s="26">
        <f t="shared" si="25"/>
        <v>20152.392083999996</v>
      </c>
      <c r="Q54" s="26">
        <f t="shared" si="25"/>
        <v>4030.0614419999993</v>
      </c>
      <c r="R54" s="26">
        <f t="shared" si="25"/>
        <v>0</v>
      </c>
      <c r="S54" s="26">
        <f t="shared" si="25"/>
        <v>4836.9076799999993</v>
      </c>
      <c r="T54" s="26">
        <f t="shared" si="25"/>
        <v>29019.361205999998</v>
      </c>
      <c r="U54" s="86">
        <f t="shared" si="25"/>
        <v>39.916590379642358</v>
      </c>
    </row>
    <row r="55" spans="1:21" x14ac:dyDescent="0.25">
      <c r="A55" s="4" t="s">
        <v>53</v>
      </c>
      <c r="B55" s="14">
        <f t="shared" ref="B55:J55" si="26">B15*1.019*1.023</f>
        <v>1783.6097069999996</v>
      </c>
      <c r="C55" s="16">
        <f t="shared" si="26"/>
        <v>2437.2177059999995</v>
      </c>
      <c r="D55" s="16">
        <f t="shared" si="26"/>
        <v>16599.766787999997</v>
      </c>
      <c r="E55" s="14">
        <f t="shared" si="26"/>
        <v>20820.594200999996</v>
      </c>
      <c r="F55" s="16">
        <f t="shared" si="26"/>
        <v>4164.5358149999993</v>
      </c>
      <c r="G55" s="14">
        <f t="shared" si="26"/>
        <v>0</v>
      </c>
      <c r="H55" s="16">
        <f t="shared" si="26"/>
        <v>4997.4429779999991</v>
      </c>
      <c r="I55" s="14">
        <f t="shared" si="26"/>
        <v>29982.572993999991</v>
      </c>
      <c r="J55" s="15">
        <f t="shared" si="26"/>
        <v>46.412651693498439</v>
      </c>
      <c r="L55" s="3" t="s">
        <v>54</v>
      </c>
      <c r="M55" s="32">
        <f t="shared" ref="M55:U55" si="27">M15*1.019*1.023</f>
        <v>0</v>
      </c>
      <c r="N55" s="32">
        <f t="shared" si="27"/>
        <v>6860.277896999999</v>
      </c>
      <c r="O55" s="32">
        <f t="shared" si="27"/>
        <v>7824.5321219999987</v>
      </c>
      <c r="P55" s="32">
        <f t="shared" si="27"/>
        <v>14684.810018999997</v>
      </c>
      <c r="Q55" s="32">
        <f t="shared" si="27"/>
        <v>2936.5450289999994</v>
      </c>
      <c r="R55" s="32">
        <f t="shared" si="27"/>
        <v>0</v>
      </c>
      <c r="S55" s="32">
        <f t="shared" si="27"/>
        <v>2643.6202319999993</v>
      </c>
      <c r="T55" s="32">
        <f t="shared" si="27"/>
        <v>20264.975279999995</v>
      </c>
      <c r="U55" s="87">
        <f t="shared" si="27"/>
        <v>27.874794057771663</v>
      </c>
    </row>
    <row r="56" spans="1:21" x14ac:dyDescent="0.25">
      <c r="A56" s="3" t="s">
        <v>54</v>
      </c>
      <c r="B56" s="29">
        <f t="shared" ref="B56:J56" si="28">B16*1.019*1.023</f>
        <v>0</v>
      </c>
      <c r="C56" s="28">
        <f t="shared" si="28"/>
        <v>6519.4009979999983</v>
      </c>
      <c r="D56" s="28">
        <f t="shared" si="28"/>
        <v>7315.8228659999986</v>
      </c>
      <c r="E56" s="29">
        <f t="shared" si="28"/>
        <v>13835.223863999996</v>
      </c>
      <c r="F56" s="28">
        <f t="shared" si="28"/>
        <v>2766.6277979999995</v>
      </c>
      <c r="G56" s="29">
        <f t="shared" si="28"/>
        <v>0</v>
      </c>
      <c r="H56" s="28">
        <f t="shared" si="28"/>
        <v>2490.3819929999995</v>
      </c>
      <c r="I56" s="29">
        <f t="shared" si="28"/>
        <v>19092.233654999996</v>
      </c>
      <c r="J56" s="31">
        <f t="shared" si="28"/>
        <v>29.554541261609899</v>
      </c>
      <c r="L56" s="4" t="s">
        <v>31</v>
      </c>
      <c r="M56" s="26">
        <f t="shared" ref="M56:U56" si="29">M16*1.019*1.023</f>
        <v>288054.53133599996</v>
      </c>
      <c r="N56" s="26">
        <f t="shared" si="29"/>
        <v>29507.221721999995</v>
      </c>
      <c r="O56" s="26">
        <f t="shared" si="29"/>
        <v>107288.65847699999</v>
      </c>
      <c r="P56" s="26">
        <f t="shared" si="29"/>
        <v>424850.41153499996</v>
      </c>
      <c r="Q56" s="26">
        <f t="shared" si="29"/>
        <v>84969.039869999979</v>
      </c>
      <c r="R56" s="26">
        <f t="shared" si="29"/>
        <v>0</v>
      </c>
      <c r="S56" s="26">
        <f t="shared" si="29"/>
        <v>81213.139358999979</v>
      </c>
      <c r="T56" s="26">
        <f t="shared" si="29"/>
        <v>591032.59076399996</v>
      </c>
      <c r="U56" s="86">
        <f t="shared" si="29"/>
        <v>812.97467780467673</v>
      </c>
    </row>
    <row r="57" spans="1:21" x14ac:dyDescent="0.25">
      <c r="A57" s="8" t="s">
        <v>31</v>
      </c>
      <c r="B57" s="12">
        <f t="shared" ref="B57:J57" si="30">B17*1.019*1.023</f>
        <v>475917.31529099995</v>
      </c>
      <c r="C57" s="78">
        <f t="shared" si="30"/>
        <v>114318.85360499998</v>
      </c>
      <c r="D57" s="78">
        <f t="shared" si="30"/>
        <v>293100.96885299991</v>
      </c>
      <c r="E57" s="12">
        <f t="shared" si="30"/>
        <v>883337.13774899987</v>
      </c>
      <c r="F57" s="78">
        <f t="shared" si="30"/>
        <v>176668.05301199999</v>
      </c>
      <c r="G57" s="12">
        <f t="shared" si="30"/>
        <v>70850.273141999991</v>
      </c>
      <c r="H57" s="79">
        <f t="shared" si="30"/>
        <v>204845.12512199994</v>
      </c>
      <c r="I57" s="78">
        <f t="shared" si="30"/>
        <v>1335700.5890249996</v>
      </c>
      <c r="J57" s="79">
        <f t="shared" si="30"/>
        <v>2067.6479706269347</v>
      </c>
      <c r="L57" t="s">
        <v>41</v>
      </c>
      <c r="M57" s="18">
        <f>M47+N47+N55+M54+N54+M53+N53+T62</f>
        <v>68251.477700999996</v>
      </c>
      <c r="N57" s="5"/>
      <c r="O57" s="5"/>
      <c r="P57" s="5"/>
      <c r="Q57" s="5"/>
      <c r="R57" s="5"/>
      <c r="S57" s="7"/>
      <c r="T57" s="5"/>
      <c r="U57" s="7"/>
    </row>
    <row r="58" spans="1:21" x14ac:dyDescent="0.25">
      <c r="A58" s="4"/>
      <c r="B58" s="5"/>
      <c r="C58" s="5"/>
      <c r="D58" s="5"/>
      <c r="E58" s="5"/>
      <c r="F58" s="5"/>
      <c r="G58" s="4"/>
      <c r="H58" s="7"/>
      <c r="I58" s="5"/>
      <c r="J58" s="7"/>
      <c r="L58" s="3" t="s">
        <v>68</v>
      </c>
      <c r="M58" s="2"/>
      <c r="N58" s="2"/>
      <c r="O58" s="2"/>
      <c r="P58" s="2"/>
      <c r="Q58" s="2"/>
      <c r="R58" s="2"/>
      <c r="S58" s="6"/>
      <c r="T58" s="2" t="s">
        <v>62</v>
      </c>
      <c r="U58" s="6" t="s">
        <v>63</v>
      </c>
    </row>
    <row r="59" spans="1:21" x14ac:dyDescent="0.25">
      <c r="A59" s="3" t="s">
        <v>68</v>
      </c>
      <c r="B59" s="2"/>
      <c r="C59" s="2"/>
      <c r="D59" s="2"/>
      <c r="E59" s="2"/>
      <c r="F59" s="2"/>
      <c r="G59" s="3"/>
      <c r="H59" s="6"/>
      <c r="I59" s="2" t="s">
        <v>62</v>
      </c>
      <c r="J59" s="6" t="s">
        <v>63</v>
      </c>
      <c r="L59" s="8" t="s">
        <v>69</v>
      </c>
      <c r="M59" s="19"/>
      <c r="N59" s="19"/>
      <c r="O59" s="19"/>
      <c r="P59" s="19"/>
      <c r="Q59" s="19"/>
      <c r="R59" s="19"/>
      <c r="S59" s="20"/>
      <c r="T59" s="78">
        <f t="shared" ref="T59:U67" si="31">T19*1.019*1.023</f>
        <v>20886.267731999997</v>
      </c>
      <c r="U59" s="80">
        <f t="shared" si="31"/>
        <v>28.729391653370008</v>
      </c>
    </row>
    <row r="60" spans="1:21" x14ac:dyDescent="0.25">
      <c r="A60" s="22" t="s">
        <v>69</v>
      </c>
      <c r="B60" s="5"/>
      <c r="C60" s="5"/>
      <c r="D60" s="5"/>
      <c r="E60" s="5"/>
      <c r="F60" s="5"/>
      <c r="G60" s="5"/>
      <c r="H60" s="5"/>
      <c r="I60" s="12">
        <f t="shared" ref="I60:J68" si="32">I20*1.019*1.023</f>
        <v>41523.393020999996</v>
      </c>
      <c r="J60" s="80">
        <f t="shared" si="32"/>
        <v>64.277698174922591</v>
      </c>
      <c r="L60" s="4" t="s">
        <v>70</v>
      </c>
      <c r="M60" s="5"/>
      <c r="N60" s="5"/>
      <c r="O60" s="5"/>
      <c r="P60" s="5"/>
      <c r="Q60" s="5"/>
      <c r="R60" s="5"/>
      <c r="S60" s="7"/>
      <c r="T60" s="16">
        <f t="shared" si="31"/>
        <v>3266.9975579999996</v>
      </c>
      <c r="U60" s="81">
        <f t="shared" si="31"/>
        <v>4.4938068198074266</v>
      </c>
    </row>
    <row r="61" spans="1:21" x14ac:dyDescent="0.25">
      <c r="A61" s="22" t="s">
        <v>70</v>
      </c>
      <c r="B61" s="5"/>
      <c r="C61" s="5"/>
      <c r="D61" s="5"/>
      <c r="E61" s="5"/>
      <c r="F61" s="5"/>
      <c r="G61" s="5"/>
      <c r="H61" s="5"/>
      <c r="I61" s="14">
        <f t="shared" si="32"/>
        <v>8789.8287839999975</v>
      </c>
      <c r="J61" s="81">
        <f t="shared" si="32"/>
        <v>13.606546105263156</v>
      </c>
      <c r="L61" s="4" t="s">
        <v>71</v>
      </c>
      <c r="M61" s="5"/>
      <c r="N61" s="5"/>
      <c r="O61" s="5"/>
      <c r="P61" s="5"/>
      <c r="Q61" s="5"/>
      <c r="R61" s="5"/>
      <c r="S61" s="7"/>
      <c r="T61" s="16">
        <f t="shared" si="31"/>
        <v>882.94413899999984</v>
      </c>
      <c r="U61" s="81">
        <f t="shared" si="31"/>
        <v>1.2145036299862446</v>
      </c>
    </row>
    <row r="62" spans="1:21" x14ac:dyDescent="0.25">
      <c r="A62" s="22" t="s">
        <v>71</v>
      </c>
      <c r="B62" s="5"/>
      <c r="C62" s="5"/>
      <c r="D62" s="5"/>
      <c r="E62" s="5"/>
      <c r="F62" s="5"/>
      <c r="G62" s="5"/>
      <c r="H62" s="5"/>
      <c r="I62" s="14">
        <f t="shared" si="32"/>
        <v>882.94413899999984</v>
      </c>
      <c r="J62" s="81">
        <f t="shared" si="32"/>
        <v>1.3667865928792569</v>
      </c>
      <c r="L62" s="22" t="s">
        <v>72</v>
      </c>
      <c r="M62" s="9"/>
      <c r="N62" s="9"/>
      <c r="O62" s="9"/>
      <c r="P62" s="9"/>
      <c r="Q62" s="9"/>
      <c r="R62" s="9"/>
      <c r="S62" s="51"/>
      <c r="T62" s="16">
        <f t="shared" si="31"/>
        <v>312.73109999999997</v>
      </c>
      <c r="U62" s="81">
        <f t="shared" si="31"/>
        <v>0.43016657496561206</v>
      </c>
    </row>
    <row r="63" spans="1:21" x14ac:dyDescent="0.25">
      <c r="A63" s="22" t="s">
        <v>72</v>
      </c>
      <c r="B63" s="9"/>
      <c r="C63" s="9"/>
      <c r="D63" s="9"/>
      <c r="E63" s="9"/>
      <c r="F63" s="9"/>
      <c r="G63" s="9"/>
      <c r="H63" s="9"/>
      <c r="I63" s="14">
        <f t="shared" si="32"/>
        <v>312.73109999999997</v>
      </c>
      <c r="J63" s="81">
        <f t="shared" si="32"/>
        <v>0.48410386996904015</v>
      </c>
      <c r="L63" s="4" t="s">
        <v>73</v>
      </c>
      <c r="M63" s="5"/>
      <c r="N63" s="5"/>
      <c r="O63" s="5"/>
      <c r="P63" s="5"/>
      <c r="Q63" s="5"/>
      <c r="R63" s="5"/>
      <c r="S63" s="7"/>
      <c r="T63" s="16">
        <f t="shared" si="31"/>
        <v>88655.097101999985</v>
      </c>
      <c r="U63" s="81">
        <f t="shared" si="31"/>
        <v>121.94648844841815</v>
      </c>
    </row>
    <row r="64" spans="1:21" x14ac:dyDescent="0.25">
      <c r="A64" s="22" t="s">
        <v>73</v>
      </c>
      <c r="B64" s="5"/>
      <c r="C64" s="5"/>
      <c r="D64" s="5"/>
      <c r="E64" s="5"/>
      <c r="F64" s="5"/>
      <c r="G64" s="5"/>
      <c r="H64" s="5"/>
      <c r="I64" s="14">
        <f t="shared" si="32"/>
        <v>200355.34896299997</v>
      </c>
      <c r="J64" s="81">
        <f t="shared" si="32"/>
        <v>310.14759901393182</v>
      </c>
      <c r="L64" s="4" t="s">
        <v>74</v>
      </c>
      <c r="M64" s="5"/>
      <c r="N64" s="5"/>
      <c r="O64" s="5"/>
      <c r="P64" s="5"/>
      <c r="Q64" s="5"/>
      <c r="R64" s="5"/>
      <c r="S64" s="7"/>
      <c r="T64" s="16">
        <f t="shared" si="31"/>
        <v>15957.625595999998</v>
      </c>
      <c r="U64" s="81">
        <f t="shared" si="31"/>
        <v>21.949966431911964</v>
      </c>
    </row>
    <row r="65" spans="1:21" x14ac:dyDescent="0.25">
      <c r="A65" s="22" t="s">
        <v>74</v>
      </c>
      <c r="B65" s="5"/>
      <c r="C65" s="5"/>
      <c r="D65" s="5"/>
      <c r="E65" s="5"/>
      <c r="F65" s="5"/>
      <c r="G65" s="5"/>
      <c r="H65" s="5"/>
      <c r="I65" s="14">
        <f t="shared" si="32"/>
        <v>36064.150451999987</v>
      </c>
      <c r="J65" s="81">
        <f t="shared" si="32"/>
        <v>55.826858284829711</v>
      </c>
      <c r="L65" s="4" t="s">
        <v>75</v>
      </c>
      <c r="M65" s="5"/>
      <c r="N65" s="5"/>
      <c r="O65" s="5"/>
      <c r="P65" s="5"/>
      <c r="Q65" s="5"/>
      <c r="R65" s="5"/>
      <c r="S65" s="27"/>
      <c r="T65" s="16">
        <f t="shared" si="31"/>
        <v>720994.25399099989</v>
      </c>
      <c r="U65" s="81">
        <f t="shared" si="31"/>
        <v>991.73900136313603</v>
      </c>
    </row>
    <row r="66" spans="1:21" x14ac:dyDescent="0.25">
      <c r="A66" s="22" t="s">
        <v>75</v>
      </c>
      <c r="B66" s="5"/>
      <c r="C66" s="5"/>
      <c r="D66" s="5"/>
      <c r="E66" s="5"/>
      <c r="F66" s="5"/>
      <c r="G66" s="5"/>
      <c r="H66" s="23"/>
      <c r="I66" s="14">
        <f t="shared" si="32"/>
        <v>1623628.9854839996</v>
      </c>
      <c r="J66" s="81">
        <f t="shared" si="32"/>
        <v>2513.3575626687302</v>
      </c>
      <c r="L66" s="4" t="s">
        <v>76</v>
      </c>
      <c r="M66" s="5"/>
      <c r="N66" s="5"/>
      <c r="O66" s="5"/>
      <c r="P66" s="5"/>
      <c r="Q66" s="5"/>
      <c r="R66" s="5"/>
      <c r="S66" s="7"/>
      <c r="T66" s="16">
        <f t="shared" si="31"/>
        <v>1.1393836409999998</v>
      </c>
      <c r="U66" s="81">
        <f t="shared" si="31"/>
        <v>0</v>
      </c>
    </row>
    <row r="67" spans="1:21" x14ac:dyDescent="0.25">
      <c r="A67" s="22" t="s">
        <v>76</v>
      </c>
      <c r="B67" s="5"/>
      <c r="C67" s="5"/>
      <c r="D67" s="5"/>
      <c r="E67" s="5"/>
      <c r="F67" s="5"/>
      <c r="G67" s="5"/>
      <c r="H67" s="5"/>
      <c r="I67" s="14">
        <f t="shared" si="32"/>
        <v>1.1393836409999998</v>
      </c>
      <c r="J67" s="81">
        <f t="shared" si="32"/>
        <v>0</v>
      </c>
      <c r="L67" s="4" t="s">
        <v>77</v>
      </c>
      <c r="M67" s="5"/>
      <c r="N67" s="5"/>
      <c r="O67" s="5"/>
      <c r="P67" s="5"/>
      <c r="Q67" s="5"/>
      <c r="R67" s="5"/>
      <c r="S67" s="7"/>
      <c r="T67" s="16">
        <f t="shared" si="31"/>
        <v>788046.71961216291</v>
      </c>
      <c r="U67" s="81">
        <f t="shared" si="31"/>
        <v>1083.9707284899077</v>
      </c>
    </row>
    <row r="68" spans="1:21" x14ac:dyDescent="0.25">
      <c r="A68" s="22" t="s">
        <v>77</v>
      </c>
      <c r="B68" s="5"/>
      <c r="C68" s="5"/>
      <c r="D68" s="5"/>
      <c r="E68" s="5"/>
      <c r="F68" s="5"/>
      <c r="G68" s="5"/>
      <c r="H68" s="5"/>
      <c r="I68" s="14">
        <f t="shared" si="32"/>
        <v>1774626.4811340116</v>
      </c>
      <c r="J68" s="81">
        <f t="shared" si="32"/>
        <v>2747.0998159969222</v>
      </c>
      <c r="L68" s="4"/>
      <c r="M68" s="5"/>
      <c r="N68" s="5"/>
      <c r="O68" s="5"/>
      <c r="P68" s="5"/>
      <c r="Q68" s="5"/>
      <c r="R68" s="5"/>
      <c r="S68" s="7"/>
      <c r="T68" s="5"/>
      <c r="U68" s="7"/>
    </row>
    <row r="69" spans="1:21" x14ac:dyDescent="0.25">
      <c r="A69" s="4"/>
      <c r="B69" s="5"/>
      <c r="C69" s="5"/>
      <c r="D69" s="5"/>
      <c r="E69" s="5"/>
      <c r="F69" s="5"/>
      <c r="G69" s="5"/>
      <c r="H69" s="5"/>
      <c r="I69" s="4"/>
      <c r="J69" s="7"/>
      <c r="L69" s="3" t="s">
        <v>78</v>
      </c>
      <c r="M69" s="2"/>
      <c r="N69" s="2"/>
      <c r="O69" s="2"/>
      <c r="P69" s="2"/>
      <c r="Q69" s="2"/>
      <c r="R69" s="2"/>
      <c r="S69" s="6"/>
      <c r="T69" s="2" t="s">
        <v>79</v>
      </c>
      <c r="U69" s="6" t="s">
        <v>80</v>
      </c>
    </row>
    <row r="70" spans="1:21" x14ac:dyDescent="0.25">
      <c r="A70" s="3" t="s">
        <v>78</v>
      </c>
      <c r="B70" s="2"/>
      <c r="C70" s="2"/>
      <c r="D70" s="2"/>
      <c r="E70" s="2"/>
      <c r="F70" s="2"/>
      <c r="G70" s="2"/>
      <c r="H70" s="2"/>
      <c r="I70" s="3" t="s">
        <v>79</v>
      </c>
      <c r="J70" s="6" t="s">
        <v>80</v>
      </c>
      <c r="L70" s="91" t="s">
        <v>57</v>
      </c>
      <c r="M70" s="19"/>
      <c r="N70" s="19"/>
      <c r="O70" s="19"/>
      <c r="P70" s="19"/>
      <c r="Q70" s="19"/>
      <c r="R70" s="19"/>
      <c r="S70" s="20"/>
      <c r="T70" s="83">
        <f>T30*1.019*1.023</f>
        <v>8471320.4981459994</v>
      </c>
      <c r="U70" s="80">
        <f>U30*1.019*1.023</f>
        <v>11.659657845</v>
      </c>
    </row>
    <row r="71" spans="1:21" x14ac:dyDescent="0.25">
      <c r="A71" s="22" t="s">
        <v>57</v>
      </c>
      <c r="I71" s="14">
        <f t="shared" ref="I71:J71" si="33">I31*1.019*1.023</f>
        <v>16307217.268319996</v>
      </c>
      <c r="J71" s="81">
        <f t="shared" si="33"/>
        <v>26.014015334999993</v>
      </c>
      <c r="L71" t="s">
        <v>686</v>
      </c>
      <c r="S71" s="7"/>
      <c r="T71" s="11">
        <f t="shared" ref="T71:U76" si="34">T31*1.019*1.023</f>
        <v>11820621.584606998</v>
      </c>
      <c r="U71" s="81">
        <f>U31*1.019*1.023</f>
        <v>16.269314258999998</v>
      </c>
    </row>
    <row r="72" spans="1:21" x14ac:dyDescent="0.25">
      <c r="A72" t="s">
        <v>686</v>
      </c>
      <c r="I72" s="14">
        <f t="shared" ref="I72:J72" si="35">I32*1.019*1.023</f>
        <v>26713982.592263997</v>
      </c>
      <c r="J72" s="81">
        <f t="shared" si="35"/>
        <v>41.370154781999993</v>
      </c>
      <c r="L72" s="4" t="s">
        <v>685</v>
      </c>
      <c r="M72" s="5"/>
      <c r="N72" s="5"/>
      <c r="O72" s="5"/>
      <c r="P72" s="5"/>
      <c r="Q72" s="5"/>
      <c r="R72" s="5"/>
      <c r="S72" s="7"/>
      <c r="T72" s="228">
        <f t="shared" si="34"/>
        <v>20291942.082752999</v>
      </c>
      <c r="U72" s="82">
        <f>U32*1.019*1.023</f>
        <v>27.928972103999996</v>
      </c>
    </row>
    <row r="73" spans="1:21" x14ac:dyDescent="0.25">
      <c r="A73" s="22" t="s">
        <v>685</v>
      </c>
      <c r="B73" s="5"/>
      <c r="C73" s="5"/>
      <c r="D73" s="5"/>
      <c r="E73" s="5"/>
      <c r="F73" s="5"/>
      <c r="G73" s="5"/>
      <c r="H73" s="5"/>
      <c r="I73" s="29">
        <f t="shared" ref="I73:J78" si="36">I33*1.019*1.023</f>
        <v>43021199.860583991</v>
      </c>
      <c r="J73" s="82">
        <f t="shared" si="36"/>
        <v>66.623191106999997</v>
      </c>
      <c r="L73" s="4" t="s">
        <v>82</v>
      </c>
      <c r="M73" s="5"/>
      <c r="N73" s="5"/>
      <c r="O73" s="5"/>
      <c r="P73" s="5"/>
      <c r="Q73" s="5"/>
      <c r="R73" s="5"/>
      <c r="S73" s="7"/>
      <c r="T73" s="11">
        <f t="shared" si="34"/>
        <v>6737754.021767999</v>
      </c>
      <c r="U73" s="81">
        <f t="shared" si="34"/>
        <v>1.245712215</v>
      </c>
    </row>
    <row r="74" spans="1:21" x14ac:dyDescent="0.25">
      <c r="A74" s="22" t="s">
        <v>82</v>
      </c>
      <c r="B74" s="5"/>
      <c r="C74" s="5"/>
      <c r="D74" s="5"/>
      <c r="E74" s="5"/>
      <c r="F74" s="5"/>
      <c r="G74" s="5"/>
      <c r="H74" s="5"/>
      <c r="I74" s="14">
        <f t="shared" si="36"/>
        <v>15226970.035892997</v>
      </c>
      <c r="J74" s="81">
        <f t="shared" si="36"/>
        <v>3.1669236059999992</v>
      </c>
      <c r="L74" s="4" t="s">
        <v>37</v>
      </c>
      <c r="M74" s="5"/>
      <c r="N74" s="5"/>
      <c r="O74" s="5"/>
      <c r="P74" s="5"/>
      <c r="Q74" s="5"/>
      <c r="R74" s="5"/>
      <c r="S74" s="7"/>
      <c r="T74" s="11">
        <f t="shared" si="34"/>
        <v>2875984.6514849998</v>
      </c>
      <c r="U74" s="81">
        <f t="shared" si="34"/>
        <v>0.53164286999999999</v>
      </c>
    </row>
    <row r="75" spans="1:21" x14ac:dyDescent="0.25">
      <c r="A75" s="22" t="s">
        <v>37</v>
      </c>
      <c r="B75" s="5"/>
      <c r="C75" s="5"/>
      <c r="D75" s="5"/>
      <c r="E75" s="5"/>
      <c r="F75" s="5"/>
      <c r="G75" s="5"/>
      <c r="H75" s="5"/>
      <c r="I75" s="14">
        <f t="shared" si="36"/>
        <v>12881637.939257998</v>
      </c>
      <c r="J75" s="81">
        <f t="shared" si="36"/>
        <v>2.6790630899999992</v>
      </c>
      <c r="L75" s="4" t="s">
        <v>38</v>
      </c>
      <c r="S75" s="7"/>
      <c r="T75" s="11">
        <f t="shared" si="34"/>
        <v>2502.8912369999994</v>
      </c>
      <c r="U75" s="81">
        <f t="shared" si="34"/>
        <v>0.53162202125999991</v>
      </c>
    </row>
    <row r="76" spans="1:21" x14ac:dyDescent="0.25">
      <c r="A76" s="22" t="s">
        <v>38</v>
      </c>
      <c r="B76" s="5"/>
      <c r="C76" s="5"/>
      <c r="D76" s="5"/>
      <c r="E76" s="5"/>
      <c r="F76" s="5"/>
      <c r="G76" s="5"/>
      <c r="H76" s="5"/>
      <c r="I76" s="14">
        <f t="shared" si="36"/>
        <v>1288030.9874519997</v>
      </c>
      <c r="J76" s="81">
        <f t="shared" si="36"/>
        <v>2.7103361999999995E-2</v>
      </c>
      <c r="L76" s="4" t="s">
        <v>81</v>
      </c>
      <c r="M76" s="5"/>
      <c r="N76" s="5"/>
      <c r="O76" s="5"/>
      <c r="P76" s="5"/>
      <c r="Q76" s="5"/>
      <c r="R76" s="5"/>
      <c r="S76" s="7"/>
      <c r="T76" s="11">
        <f>T36*1.019*1.023</f>
        <v>9616241.5644899979</v>
      </c>
      <c r="U76" s="81">
        <f t="shared" si="34"/>
        <v>1.7773550849999999</v>
      </c>
    </row>
    <row r="77" spans="1:21" x14ac:dyDescent="0.25">
      <c r="A77" s="22" t="s">
        <v>81</v>
      </c>
      <c r="B77" s="5"/>
      <c r="C77" s="5"/>
      <c r="D77" s="5"/>
      <c r="E77" s="5"/>
      <c r="F77" s="5"/>
      <c r="G77" s="5"/>
      <c r="H77" s="5"/>
      <c r="I77" s="14">
        <f t="shared" si="36"/>
        <v>28237449.018602997</v>
      </c>
      <c r="J77" s="81">
        <f t="shared" si="36"/>
        <v>5.8689203099999991</v>
      </c>
      <c r="L77" s="3" t="s">
        <v>83</v>
      </c>
      <c r="M77" s="2"/>
      <c r="N77" s="2"/>
      <c r="O77" s="2"/>
      <c r="P77" s="2"/>
      <c r="Q77" s="2"/>
      <c r="R77" s="2"/>
      <c r="S77" s="6"/>
      <c r="T77" s="38">
        <f>T37*1.019*1.023</f>
        <v>158617373.41286096</v>
      </c>
      <c r="U77" s="82">
        <f>U37*1.019*1.023</f>
        <v>29.319583061999996</v>
      </c>
    </row>
    <row r="78" spans="1:21" x14ac:dyDescent="0.25">
      <c r="A78" s="25" t="s">
        <v>83</v>
      </c>
      <c r="B78" s="2"/>
      <c r="C78" s="2"/>
      <c r="D78" s="2"/>
      <c r="E78" s="2"/>
      <c r="F78" s="2"/>
      <c r="G78" s="2"/>
      <c r="H78" s="2"/>
      <c r="I78" s="29">
        <f t="shared" si="36"/>
        <v>158617373.41286096</v>
      </c>
      <c r="J78" s="82">
        <f t="shared" si="36"/>
        <v>32.988961301999993</v>
      </c>
      <c r="L78" s="5"/>
      <c r="M78" s="5"/>
      <c r="N78" s="5"/>
      <c r="O78" s="5"/>
      <c r="P78" s="5"/>
      <c r="Q78" s="5"/>
      <c r="R78" s="5"/>
      <c r="S78" s="5"/>
      <c r="T78" s="11"/>
      <c r="U78" s="223"/>
    </row>
    <row r="79" spans="1:21" x14ac:dyDescent="0.25">
      <c r="L79" s="5"/>
      <c r="M79" s="5"/>
      <c r="N79" s="5"/>
      <c r="O79" s="5"/>
      <c r="P79" s="5"/>
      <c r="Q79" s="5"/>
      <c r="R79" s="5"/>
      <c r="S79" s="5"/>
      <c r="T79" s="11"/>
      <c r="U79" s="223"/>
    </row>
    <row r="80" spans="1:21" s="164" customFormat="1" ht="15.75" thickBot="1" x14ac:dyDescent="0.3"/>
    <row r="81" spans="1:4" ht="15.75" thickTop="1" x14ac:dyDescent="0.25"/>
    <row r="82" spans="1:4" x14ac:dyDescent="0.25">
      <c r="A82" s="222" t="s">
        <v>415</v>
      </c>
      <c r="B82" s="222" t="s">
        <v>576</v>
      </c>
      <c r="D82" s="222" t="s">
        <v>611</v>
      </c>
    </row>
    <row r="83" spans="1:4" x14ac:dyDescent="0.25">
      <c r="A83" t="s">
        <v>503</v>
      </c>
      <c r="B83" t="s">
        <v>504</v>
      </c>
      <c r="D83" t="s">
        <v>504</v>
      </c>
    </row>
    <row r="84" spans="1:4" x14ac:dyDescent="0.25">
      <c r="A84" t="s">
        <v>505</v>
      </c>
      <c r="B84" t="s">
        <v>506</v>
      </c>
      <c r="D84" t="s">
        <v>506</v>
      </c>
    </row>
    <row r="85" spans="1:4" ht="28.15" customHeight="1" x14ac:dyDescent="0.25">
      <c r="A85" s="121" t="s">
        <v>507</v>
      </c>
      <c r="B85" t="s">
        <v>509</v>
      </c>
      <c r="D85" t="s">
        <v>509</v>
      </c>
    </row>
    <row r="86" spans="1:4" x14ac:dyDescent="0.25">
      <c r="A86" t="s">
        <v>510</v>
      </c>
      <c r="B86" t="s">
        <v>511</v>
      </c>
      <c r="D86" t="s">
        <v>511</v>
      </c>
    </row>
    <row r="87" spans="1:4" x14ac:dyDescent="0.25">
      <c r="A87" t="s">
        <v>508</v>
      </c>
      <c r="B87" t="s">
        <v>512</v>
      </c>
      <c r="D87" t="s">
        <v>512</v>
      </c>
    </row>
    <row r="88" spans="1:4" x14ac:dyDescent="0.25">
      <c r="A88" t="s">
        <v>513</v>
      </c>
      <c r="B88" t="s">
        <v>514</v>
      </c>
      <c r="D88" t="s">
        <v>514</v>
      </c>
    </row>
    <row r="89" spans="1:4" x14ac:dyDescent="0.25">
      <c r="A89" t="s">
        <v>515</v>
      </c>
      <c r="B89" t="s">
        <v>516</v>
      </c>
      <c r="D89" t="s">
        <v>517</v>
      </c>
    </row>
    <row r="90" spans="1:4" x14ac:dyDescent="0.25">
      <c r="A90" t="s">
        <v>518</v>
      </c>
      <c r="B90" t="s">
        <v>519</v>
      </c>
      <c r="D90" t="s">
        <v>519</v>
      </c>
    </row>
    <row r="91" spans="1:4" x14ac:dyDescent="0.25">
      <c r="A91" t="s">
        <v>520</v>
      </c>
      <c r="B91" t="s">
        <v>521</v>
      </c>
      <c r="D91" t="s">
        <v>521</v>
      </c>
    </row>
    <row r="92" spans="1:4" x14ac:dyDescent="0.25">
      <c r="A92" t="s">
        <v>522</v>
      </c>
      <c r="B92">
        <v>85.4</v>
      </c>
      <c r="D92">
        <v>86.7</v>
      </c>
    </row>
    <row r="93" spans="1:4" x14ac:dyDescent="0.25">
      <c r="A93" t="s">
        <v>523</v>
      </c>
      <c r="B93">
        <v>10</v>
      </c>
      <c r="D93">
        <v>10</v>
      </c>
    </row>
    <row r="94" spans="1:4" x14ac:dyDescent="0.25">
      <c r="A94" t="s">
        <v>524</v>
      </c>
      <c r="B94" t="s">
        <v>388</v>
      </c>
      <c r="D94" t="s">
        <v>388</v>
      </c>
    </row>
    <row r="95" spans="1:4" x14ac:dyDescent="0.25">
      <c r="A95" t="s">
        <v>525</v>
      </c>
      <c r="B95" t="s">
        <v>388</v>
      </c>
      <c r="D95" t="s">
        <v>388</v>
      </c>
    </row>
    <row r="96" spans="1:4" x14ac:dyDescent="0.25">
      <c r="A96" t="s">
        <v>526</v>
      </c>
      <c r="B96" t="s">
        <v>527</v>
      </c>
      <c r="D96" t="s">
        <v>528</v>
      </c>
    </row>
    <row r="97" spans="1:4" x14ac:dyDescent="0.25">
      <c r="A97" t="s">
        <v>529</v>
      </c>
      <c r="B97" t="s">
        <v>527</v>
      </c>
      <c r="D97" s="41">
        <v>0.9</v>
      </c>
    </row>
    <row r="98" spans="1:4" x14ac:dyDescent="0.25">
      <c r="A98" t="s">
        <v>530</v>
      </c>
      <c r="B98" t="s">
        <v>527</v>
      </c>
      <c r="D98" t="s">
        <v>531</v>
      </c>
    </row>
    <row r="100" spans="1:4" x14ac:dyDescent="0.25">
      <c r="A100" s="118" t="s">
        <v>532</v>
      </c>
      <c r="B100" s="118" t="s">
        <v>576</v>
      </c>
      <c r="D100" s="118" t="s">
        <v>611</v>
      </c>
    </row>
    <row r="101" spans="1:4" x14ac:dyDescent="0.25">
      <c r="A101" t="s">
        <v>533</v>
      </c>
      <c r="B101" s="54">
        <v>0.53600000000000003</v>
      </c>
      <c r="D101" s="77">
        <v>0.47699999999999998</v>
      </c>
    </row>
    <row r="102" spans="1:4" x14ac:dyDescent="0.25">
      <c r="A102" t="s">
        <v>534</v>
      </c>
      <c r="B102" t="s">
        <v>535</v>
      </c>
      <c r="D102" t="s">
        <v>604</v>
      </c>
    </row>
    <row r="103" spans="1:4" x14ac:dyDescent="0.25">
      <c r="A103" t="s">
        <v>539</v>
      </c>
      <c r="B103" s="54">
        <v>0.35199999999999998</v>
      </c>
      <c r="D103" s="77">
        <v>0.35199999999999998</v>
      </c>
    </row>
    <row r="104" spans="1:4" x14ac:dyDescent="0.25">
      <c r="A104" t="s">
        <v>536</v>
      </c>
      <c r="B104" s="54">
        <v>0.59399999999999997</v>
      </c>
      <c r="D104" s="77">
        <v>0.52800000000000002</v>
      </c>
    </row>
    <row r="105" spans="1:4" x14ac:dyDescent="0.25">
      <c r="A105" t="s">
        <v>537</v>
      </c>
      <c r="B105" t="s">
        <v>538</v>
      </c>
      <c r="D105" t="s">
        <v>605</v>
      </c>
    </row>
    <row r="106" spans="1:4" x14ac:dyDescent="0.25">
      <c r="A106" t="s">
        <v>540</v>
      </c>
      <c r="B106" s="54">
        <v>0.39</v>
      </c>
      <c r="D106" s="54">
        <v>0.39</v>
      </c>
    </row>
    <row r="107" spans="1:4" x14ac:dyDescent="0.25">
      <c r="A107" t="s">
        <v>541</v>
      </c>
      <c r="B107" s="54">
        <v>0.39700000000000002</v>
      </c>
      <c r="D107" s="54">
        <v>0.46800000000000003</v>
      </c>
    </row>
    <row r="108" spans="1:4" x14ac:dyDescent="0.25">
      <c r="A108" t="s">
        <v>542</v>
      </c>
      <c r="B108" t="s">
        <v>543</v>
      </c>
      <c r="D108" t="s">
        <v>606</v>
      </c>
    </row>
    <row r="109" spans="1:4" x14ac:dyDescent="0.25">
      <c r="A109" t="s">
        <v>544</v>
      </c>
      <c r="B109" t="s">
        <v>545</v>
      </c>
      <c r="D109" t="s">
        <v>607</v>
      </c>
    </row>
    <row r="110" spans="1:4" x14ac:dyDescent="0.25">
      <c r="A110" t="s">
        <v>546</v>
      </c>
      <c r="B110" t="s">
        <v>547</v>
      </c>
      <c r="D110" t="s">
        <v>608</v>
      </c>
    </row>
    <row r="111" spans="1:4" x14ac:dyDescent="0.25">
      <c r="A111" t="s">
        <v>548</v>
      </c>
      <c r="B111" t="s">
        <v>549</v>
      </c>
      <c r="D111" t="s">
        <v>549</v>
      </c>
    </row>
    <row r="112" spans="1:4" x14ac:dyDescent="0.25">
      <c r="A112" t="s">
        <v>550</v>
      </c>
      <c r="B112" s="48">
        <v>1354905</v>
      </c>
      <c r="D112" s="48">
        <v>1354905</v>
      </c>
    </row>
    <row r="113" spans="1:4" x14ac:dyDescent="0.25">
      <c r="A113" t="s">
        <v>551</v>
      </c>
      <c r="B113" s="48">
        <v>1222936</v>
      </c>
      <c r="D113" s="48">
        <v>1222936</v>
      </c>
    </row>
    <row r="114" spans="1:4" ht="29.45" customHeight="1" x14ac:dyDescent="0.25">
      <c r="A114" s="121" t="s">
        <v>553</v>
      </c>
      <c r="B114" t="s">
        <v>552</v>
      </c>
      <c r="D114" t="s">
        <v>609</v>
      </c>
    </row>
    <row r="115" spans="1:4" ht="28.15" customHeight="1" x14ac:dyDescent="0.25">
      <c r="A115" s="121" t="s">
        <v>554</v>
      </c>
      <c r="B115" t="s">
        <v>555</v>
      </c>
      <c r="D115" t="s">
        <v>610</v>
      </c>
    </row>
    <row r="117" spans="1:4" x14ac:dyDescent="0.25">
      <c r="A117" s="118" t="s">
        <v>556</v>
      </c>
      <c r="B117" s="118" t="s">
        <v>576</v>
      </c>
      <c r="D117" s="118" t="s">
        <v>611</v>
      </c>
    </row>
    <row r="118" spans="1:4" x14ac:dyDescent="0.25">
      <c r="A118" t="s">
        <v>558</v>
      </c>
      <c r="B118">
        <v>477</v>
      </c>
      <c r="D118">
        <v>477</v>
      </c>
    </row>
    <row r="119" spans="1:4" x14ac:dyDescent="0.25">
      <c r="A119" t="s">
        <v>559</v>
      </c>
      <c r="B119">
        <v>263</v>
      </c>
      <c r="D119">
        <v>213</v>
      </c>
    </row>
    <row r="120" spans="1:4" x14ac:dyDescent="0.25">
      <c r="A120" t="s">
        <v>560</v>
      </c>
      <c r="B120">
        <v>740</v>
      </c>
      <c r="D120">
        <v>690</v>
      </c>
    </row>
    <row r="121" spans="1:4" x14ac:dyDescent="0.25">
      <c r="A121" s="118" t="s">
        <v>557</v>
      </c>
      <c r="D121" s="45"/>
    </row>
    <row r="122" spans="1:4" x14ac:dyDescent="0.25">
      <c r="A122" t="s">
        <v>561</v>
      </c>
      <c r="B122" s="48">
        <v>2810</v>
      </c>
      <c r="D122" s="45">
        <v>4580</v>
      </c>
    </row>
    <row r="123" spans="1:4" x14ac:dyDescent="0.25">
      <c r="A123" t="s">
        <v>562</v>
      </c>
      <c r="B123" s="48">
        <v>1020</v>
      </c>
      <c r="D123" s="45">
        <v>1020</v>
      </c>
    </row>
    <row r="124" spans="1:4" x14ac:dyDescent="0.25">
      <c r="A124" t="s">
        <v>563</v>
      </c>
      <c r="B124">
        <v>150</v>
      </c>
      <c r="D124" s="45">
        <v>170</v>
      </c>
    </row>
    <row r="125" spans="1:4" x14ac:dyDescent="0.25">
      <c r="A125" t="s">
        <v>564</v>
      </c>
      <c r="B125" s="48">
        <v>1460</v>
      </c>
      <c r="D125" s="45">
        <v>2370</v>
      </c>
    </row>
    <row r="126" spans="1:4" x14ac:dyDescent="0.25">
      <c r="A126" t="s">
        <v>565</v>
      </c>
      <c r="B126">
        <v>0</v>
      </c>
      <c r="D126" s="45">
        <v>10600</v>
      </c>
    </row>
    <row r="127" spans="1:4" x14ac:dyDescent="0.25">
      <c r="A127" t="s">
        <v>566</v>
      </c>
      <c r="B127">
        <v>0</v>
      </c>
      <c r="D127" s="45">
        <v>17090</v>
      </c>
    </row>
    <row r="128" spans="1:4" x14ac:dyDescent="0.25">
      <c r="A128" t="s">
        <v>567</v>
      </c>
      <c r="B128" s="48">
        <v>4830</v>
      </c>
      <c r="D128" s="45">
        <v>4830</v>
      </c>
    </row>
    <row r="129" spans="1:7" x14ac:dyDescent="0.25">
      <c r="A129" t="s">
        <v>568</v>
      </c>
      <c r="B129">
        <v>260</v>
      </c>
      <c r="D129" s="45">
        <v>430</v>
      </c>
    </row>
    <row r="130" spans="1:7" x14ac:dyDescent="0.25">
      <c r="A130" t="s">
        <v>569</v>
      </c>
      <c r="B130">
        <v>570</v>
      </c>
      <c r="D130" s="45">
        <v>570</v>
      </c>
    </row>
    <row r="131" spans="1:7" x14ac:dyDescent="0.25">
      <c r="A131" t="s">
        <v>570</v>
      </c>
      <c r="B131">
        <v>2</v>
      </c>
      <c r="D131" s="45">
        <v>2</v>
      </c>
    </row>
    <row r="132" spans="1:7" x14ac:dyDescent="0.25">
      <c r="A132" t="s">
        <v>571</v>
      </c>
      <c r="B132">
        <v>200</v>
      </c>
      <c r="D132" s="45">
        <v>200</v>
      </c>
    </row>
    <row r="133" spans="1:7" x14ac:dyDescent="0.25">
      <c r="A133" t="s">
        <v>572</v>
      </c>
      <c r="B133" s="48">
        <v>2250</v>
      </c>
      <c r="D133" s="45">
        <v>2200</v>
      </c>
    </row>
    <row r="134" spans="1:7" x14ac:dyDescent="0.25">
      <c r="A134" t="s">
        <v>573</v>
      </c>
      <c r="B134">
        <v>14</v>
      </c>
      <c r="D134" s="45">
        <v>44</v>
      </c>
    </row>
    <row r="135" spans="1:7" x14ac:dyDescent="0.25">
      <c r="A135" t="s">
        <v>574</v>
      </c>
      <c r="B135">
        <v>727</v>
      </c>
      <c r="D135" s="45">
        <v>646</v>
      </c>
    </row>
    <row r="137" spans="1:7" x14ac:dyDescent="0.25">
      <c r="A137" s="118" t="s">
        <v>575</v>
      </c>
      <c r="B137" s="298" t="s">
        <v>576</v>
      </c>
      <c r="C137" s="298"/>
      <c r="D137" s="298"/>
      <c r="E137" s="299" t="s">
        <v>611</v>
      </c>
      <c r="F137" s="300"/>
      <c r="G137" s="300"/>
    </row>
    <row r="138" spans="1:7" x14ac:dyDescent="0.25">
      <c r="B138" t="s">
        <v>577</v>
      </c>
      <c r="C138" t="s">
        <v>578</v>
      </c>
      <c r="D138" t="s">
        <v>579</v>
      </c>
      <c r="E138" s="4" t="s">
        <v>577</v>
      </c>
      <c r="F138" t="s">
        <v>578</v>
      </c>
      <c r="G138" t="s">
        <v>579</v>
      </c>
    </row>
    <row r="139" spans="1:7" x14ac:dyDescent="0.25">
      <c r="A139" t="s">
        <v>580</v>
      </c>
      <c r="B139" t="s">
        <v>581</v>
      </c>
      <c r="C139" t="s">
        <v>582</v>
      </c>
      <c r="D139" t="s">
        <v>583</v>
      </c>
      <c r="E139" s="4" t="s">
        <v>593</v>
      </c>
      <c r="F139" t="s">
        <v>614</v>
      </c>
      <c r="G139" t="s">
        <v>593</v>
      </c>
    </row>
    <row r="140" spans="1:7" x14ac:dyDescent="0.25">
      <c r="A140" t="s">
        <v>584</v>
      </c>
      <c r="B140" t="s">
        <v>585</v>
      </c>
      <c r="C140" t="s">
        <v>586</v>
      </c>
      <c r="D140" t="s">
        <v>587</v>
      </c>
      <c r="E140" s="4" t="s">
        <v>612</v>
      </c>
      <c r="F140" t="s">
        <v>615</v>
      </c>
      <c r="G140" t="s">
        <v>587</v>
      </c>
    </row>
    <row r="141" spans="1:7" x14ac:dyDescent="0.25">
      <c r="A141" t="s">
        <v>588</v>
      </c>
      <c r="B141" t="s">
        <v>589</v>
      </c>
      <c r="C141" t="s">
        <v>590</v>
      </c>
      <c r="D141" t="s">
        <v>591</v>
      </c>
      <c r="E141" s="4" t="s">
        <v>593</v>
      </c>
      <c r="F141" t="s">
        <v>614</v>
      </c>
      <c r="G141" t="s">
        <v>593</v>
      </c>
    </row>
    <row r="142" spans="1:7" x14ac:dyDescent="0.25">
      <c r="A142" t="s">
        <v>592</v>
      </c>
      <c r="B142" t="s">
        <v>594</v>
      </c>
      <c r="C142" t="s">
        <v>593</v>
      </c>
      <c r="D142" t="s">
        <v>595</v>
      </c>
      <c r="E142" s="4" t="s">
        <v>595</v>
      </c>
      <c r="F142" t="s">
        <v>593</v>
      </c>
      <c r="G142" t="s">
        <v>595</v>
      </c>
    </row>
    <row r="143" spans="1:7" x14ac:dyDescent="0.25">
      <c r="A143" t="s">
        <v>596</v>
      </c>
      <c r="B143" t="s">
        <v>589</v>
      </c>
      <c r="C143" t="s">
        <v>590</v>
      </c>
      <c r="D143" t="s">
        <v>591</v>
      </c>
      <c r="E143" s="4" t="s">
        <v>593</v>
      </c>
      <c r="F143" t="s">
        <v>614</v>
      </c>
      <c r="G143" t="s">
        <v>593</v>
      </c>
    </row>
    <row r="144" spans="1:7" x14ac:dyDescent="0.25">
      <c r="A144" t="s">
        <v>449</v>
      </c>
      <c r="B144" t="s">
        <v>599</v>
      </c>
      <c r="C144" t="s">
        <v>598</v>
      </c>
      <c r="D144" t="s">
        <v>597</v>
      </c>
      <c r="E144" s="4" t="s">
        <v>613</v>
      </c>
      <c r="F144" t="s">
        <v>616</v>
      </c>
      <c r="G144" t="s">
        <v>617</v>
      </c>
    </row>
    <row r="145" spans="1:7" x14ac:dyDescent="0.25">
      <c r="A145" t="s">
        <v>600</v>
      </c>
      <c r="B145" t="s">
        <v>601</v>
      </c>
      <c r="C145" t="s">
        <v>602</v>
      </c>
      <c r="D145" t="s">
        <v>603</v>
      </c>
      <c r="E145" s="4" t="s">
        <v>601</v>
      </c>
      <c r="F145" t="s">
        <v>601</v>
      </c>
      <c r="G145" t="s">
        <v>618</v>
      </c>
    </row>
    <row r="148" spans="1:7" x14ac:dyDescent="0.25">
      <c r="A148" s="118" t="s">
        <v>44</v>
      </c>
    </row>
    <row r="149" spans="1:7" x14ac:dyDescent="0.25">
      <c r="A149" t="s">
        <v>715</v>
      </c>
    </row>
    <row r="150" spans="1:7" x14ac:dyDescent="0.25">
      <c r="A150" t="s">
        <v>45</v>
      </c>
    </row>
    <row r="151" spans="1:7" x14ac:dyDescent="0.25">
      <c r="A151" s="118" t="s">
        <v>716</v>
      </c>
    </row>
    <row r="152" spans="1:7" x14ac:dyDescent="0.25">
      <c r="A152" t="s">
        <v>619</v>
      </c>
    </row>
  </sheetData>
  <mergeCells count="6">
    <mergeCell ref="G5:H5"/>
    <mergeCell ref="I5:J5"/>
    <mergeCell ref="G45:H45"/>
    <mergeCell ref="I45:J45"/>
    <mergeCell ref="B137:D137"/>
    <mergeCell ref="E137:G1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C19" sqref="C19"/>
    </sheetView>
  </sheetViews>
  <sheetFormatPr defaultRowHeight="15" x14ac:dyDescent="0.25"/>
  <cols>
    <col min="1" max="1" width="31.7109375" bestFit="1" customWidth="1"/>
    <col min="2" max="2" width="27.28515625" customWidth="1"/>
    <col min="4" max="4" width="31.85546875" bestFit="1" customWidth="1"/>
    <col min="5" max="5" width="33.42578125" bestFit="1" customWidth="1"/>
    <col min="6" max="6" width="9.28515625" bestFit="1" customWidth="1"/>
  </cols>
  <sheetData>
    <row r="1" spans="1:8" x14ac:dyDescent="0.25">
      <c r="A1" s="1" t="s">
        <v>257</v>
      </c>
      <c r="B1" s="2" t="s">
        <v>297</v>
      </c>
      <c r="D1" s="166" t="s">
        <v>714</v>
      </c>
      <c r="E1" s="20"/>
    </row>
    <row r="2" spans="1:8" x14ac:dyDescent="0.25">
      <c r="A2" t="s">
        <v>283</v>
      </c>
      <c r="B2" s="45">
        <v>6861</v>
      </c>
      <c r="D2" s="4" t="s">
        <v>116</v>
      </c>
      <c r="E2" s="7" t="s">
        <v>291</v>
      </c>
      <c r="G2" t="s">
        <v>626</v>
      </c>
    </row>
    <row r="3" spans="1:8" x14ac:dyDescent="0.25">
      <c r="A3" t="s">
        <v>298</v>
      </c>
      <c r="B3" s="45">
        <v>11974</v>
      </c>
      <c r="D3" s="4" t="s">
        <v>426</v>
      </c>
      <c r="E3" s="7" t="s">
        <v>427</v>
      </c>
      <c r="G3" t="s">
        <v>270</v>
      </c>
    </row>
    <row r="4" spans="1:8" x14ac:dyDescent="0.25">
      <c r="A4" t="s">
        <v>299</v>
      </c>
      <c r="B4" s="45">
        <v>5521</v>
      </c>
      <c r="D4" s="4" t="s">
        <v>425</v>
      </c>
      <c r="E4" s="7" t="s">
        <v>428</v>
      </c>
      <c r="G4" s="157" t="s">
        <v>635</v>
      </c>
      <c r="H4" s="157"/>
    </row>
    <row r="5" spans="1:8" x14ac:dyDescent="0.25">
      <c r="A5" t="s">
        <v>262</v>
      </c>
      <c r="B5" s="45">
        <v>17495</v>
      </c>
      <c r="D5" s="173" t="s">
        <v>429</v>
      </c>
      <c r="E5" s="7"/>
    </row>
    <row r="6" spans="1:8" x14ac:dyDescent="0.25">
      <c r="A6" t="s">
        <v>266</v>
      </c>
      <c r="B6" s="45">
        <v>6668</v>
      </c>
      <c r="D6" s="4" t="s">
        <v>430</v>
      </c>
      <c r="E6" s="7" t="s">
        <v>431</v>
      </c>
    </row>
    <row r="7" spans="1:8" x14ac:dyDescent="0.25">
      <c r="A7" t="s">
        <v>242</v>
      </c>
      <c r="B7" s="45">
        <v>180</v>
      </c>
      <c r="D7" s="4" t="s">
        <v>432</v>
      </c>
      <c r="E7" s="7" t="s">
        <v>433</v>
      </c>
    </row>
    <row r="8" spans="1:8" x14ac:dyDescent="0.25">
      <c r="A8" t="s">
        <v>243</v>
      </c>
      <c r="B8" s="45">
        <v>1923</v>
      </c>
      <c r="D8" s="4" t="s">
        <v>648</v>
      </c>
      <c r="E8" s="7" t="s">
        <v>649</v>
      </c>
    </row>
    <row r="9" spans="1:8" x14ac:dyDescent="0.25">
      <c r="A9" s="2" t="s">
        <v>241</v>
      </c>
      <c r="B9" s="28">
        <f>B2+B5+B6+B7+B8</f>
        <v>33127</v>
      </c>
      <c r="D9" s="4" t="s">
        <v>292</v>
      </c>
      <c r="E9" s="7" t="s">
        <v>293</v>
      </c>
    </row>
    <row r="10" spans="1:8" x14ac:dyDescent="0.25">
      <c r="A10" t="s">
        <v>245</v>
      </c>
      <c r="B10" s="45">
        <v>1586</v>
      </c>
      <c r="C10" s="18"/>
      <c r="D10" s="166" t="s">
        <v>273</v>
      </c>
      <c r="E10" s="20"/>
    </row>
    <row r="11" spans="1:8" x14ac:dyDescent="0.25">
      <c r="A11" t="s">
        <v>72</v>
      </c>
      <c r="B11" s="45">
        <v>300</v>
      </c>
      <c r="D11" s="4" t="s">
        <v>274</v>
      </c>
      <c r="E11" s="168">
        <v>0.1</v>
      </c>
    </row>
    <row r="12" spans="1:8" x14ac:dyDescent="0.25">
      <c r="A12" t="s">
        <v>300</v>
      </c>
      <c r="B12" s="45"/>
      <c r="D12" s="4" t="s">
        <v>269</v>
      </c>
      <c r="E12" s="168">
        <v>0.08</v>
      </c>
    </row>
    <row r="13" spans="1:8" x14ac:dyDescent="0.25">
      <c r="A13" t="s">
        <v>246</v>
      </c>
      <c r="B13" s="45">
        <v>720</v>
      </c>
      <c r="D13" s="4" t="s">
        <v>245</v>
      </c>
      <c r="E13" s="167">
        <v>7.4999999999999997E-2</v>
      </c>
    </row>
    <row r="14" spans="1:8" x14ac:dyDescent="0.25">
      <c r="A14" t="s">
        <v>301</v>
      </c>
      <c r="B14" s="45">
        <v>125</v>
      </c>
      <c r="D14" s="4" t="s">
        <v>276</v>
      </c>
      <c r="E14" s="7">
        <v>10</v>
      </c>
    </row>
    <row r="15" spans="1:8" x14ac:dyDescent="0.25">
      <c r="A15" t="s">
        <v>287</v>
      </c>
      <c r="B15" s="45">
        <v>14705</v>
      </c>
      <c r="D15" s="4" t="s">
        <v>277</v>
      </c>
      <c r="E15" s="7">
        <v>30000</v>
      </c>
    </row>
    <row r="16" spans="1:8" x14ac:dyDescent="0.25">
      <c r="A16" t="s">
        <v>269</v>
      </c>
      <c r="B16" s="45">
        <v>2869</v>
      </c>
      <c r="D16" s="4" t="s">
        <v>280</v>
      </c>
      <c r="E16" s="7">
        <v>720000</v>
      </c>
    </row>
    <row r="17" spans="1:6" x14ac:dyDescent="0.25">
      <c r="A17" s="2" t="s">
        <v>144</v>
      </c>
      <c r="B17" s="28">
        <f>B9+B10+B11+B13+B16+B14</f>
        <v>38727</v>
      </c>
      <c r="C17" s="18"/>
      <c r="D17" s="4" t="s">
        <v>304</v>
      </c>
      <c r="E17" s="7">
        <v>1</v>
      </c>
    </row>
    <row r="18" spans="1:6" x14ac:dyDescent="0.25">
      <c r="D18" s="4" t="s">
        <v>281</v>
      </c>
      <c r="E18" s="7">
        <v>0</v>
      </c>
    </row>
    <row r="19" spans="1:6" x14ac:dyDescent="0.25">
      <c r="A19" s="1" t="s">
        <v>290</v>
      </c>
      <c r="B19" s="28"/>
      <c r="D19" s="4" t="s">
        <v>294</v>
      </c>
      <c r="E19" s="7">
        <v>100000</v>
      </c>
    </row>
    <row r="20" spans="1:6" x14ac:dyDescent="0.25">
      <c r="A20" t="s">
        <v>232</v>
      </c>
      <c r="B20" s="53">
        <v>35.159999999999997</v>
      </c>
      <c r="D20" s="4" t="s">
        <v>295</v>
      </c>
      <c r="E20" s="7">
        <v>0.5</v>
      </c>
    </row>
    <row r="21" spans="1:6" x14ac:dyDescent="0.25">
      <c r="A21" t="s">
        <v>288</v>
      </c>
      <c r="B21" s="53">
        <v>5.69</v>
      </c>
      <c r="D21" s="4" t="s">
        <v>296</v>
      </c>
      <c r="E21" s="7">
        <v>75000</v>
      </c>
    </row>
    <row r="22" spans="1:6" x14ac:dyDescent="0.25">
      <c r="D22" s="4"/>
      <c r="E22" s="7"/>
    </row>
    <row r="23" spans="1:6" x14ac:dyDescent="0.25">
      <c r="D23" s="173" t="s">
        <v>445</v>
      </c>
      <c r="E23" s="174" t="s">
        <v>450</v>
      </c>
    </row>
    <row r="24" spans="1:6" x14ac:dyDescent="0.25">
      <c r="D24" s="4" t="s">
        <v>651</v>
      </c>
      <c r="E24" s="7">
        <v>0.02</v>
      </c>
    </row>
    <row r="25" spans="1:6" x14ac:dyDescent="0.25">
      <c r="D25" s="4" t="s">
        <v>447</v>
      </c>
      <c r="E25" s="7">
        <v>0</v>
      </c>
    </row>
    <row r="26" spans="1:6" x14ac:dyDescent="0.25">
      <c r="D26" s="4" t="s">
        <v>448</v>
      </c>
      <c r="E26" s="7">
        <v>0.03</v>
      </c>
    </row>
    <row r="27" spans="1:6" x14ac:dyDescent="0.25">
      <c r="D27" s="3" t="s">
        <v>650</v>
      </c>
      <c r="E27" s="6">
        <v>117</v>
      </c>
      <c r="F27" s="5"/>
    </row>
    <row r="28" spans="1:6" s="164" customFormat="1" ht="15.75" thickBot="1" x14ac:dyDescent="0.3"/>
    <row r="29" spans="1:6" ht="15.75" thickTop="1" x14ac:dyDescent="0.25">
      <c r="A29" s="161" t="s">
        <v>377</v>
      </c>
      <c r="B29" s="5"/>
    </row>
    <row r="30" spans="1:6" x14ac:dyDescent="0.25">
      <c r="C30" s="5"/>
    </row>
    <row r="31" spans="1:6" x14ac:dyDescent="0.25">
      <c r="A31" s="2" t="s">
        <v>257</v>
      </c>
      <c r="B31" s="2" t="s">
        <v>297</v>
      </c>
      <c r="C31" s="5"/>
    </row>
    <row r="32" spans="1:6" x14ac:dyDescent="0.25">
      <c r="A32" t="s">
        <v>283</v>
      </c>
      <c r="B32" s="45">
        <f t="shared" ref="B32:B41" si="0">1.0197*B2</f>
        <v>6996.1617000000006</v>
      </c>
    </row>
    <row r="33" spans="1:2" x14ac:dyDescent="0.25">
      <c r="A33" t="s">
        <v>298</v>
      </c>
      <c r="B33" s="45">
        <f t="shared" si="0"/>
        <v>12209.8878</v>
      </c>
    </row>
    <row r="34" spans="1:2" x14ac:dyDescent="0.25">
      <c r="A34" t="s">
        <v>299</v>
      </c>
      <c r="B34" s="45">
        <f t="shared" si="0"/>
        <v>5629.7637000000004</v>
      </c>
    </row>
    <row r="35" spans="1:2" x14ac:dyDescent="0.25">
      <c r="A35" t="s">
        <v>262</v>
      </c>
      <c r="B35" s="45">
        <f t="shared" si="0"/>
        <v>17839.6515</v>
      </c>
    </row>
    <row r="36" spans="1:2" x14ac:dyDescent="0.25">
      <c r="A36" t="s">
        <v>266</v>
      </c>
      <c r="B36" s="45">
        <f t="shared" si="0"/>
        <v>6799.3596000000007</v>
      </c>
    </row>
    <row r="37" spans="1:2" x14ac:dyDescent="0.25">
      <c r="A37" t="s">
        <v>242</v>
      </c>
      <c r="B37" s="45">
        <f t="shared" si="0"/>
        <v>183.54600000000002</v>
      </c>
    </row>
    <row r="38" spans="1:2" x14ac:dyDescent="0.25">
      <c r="A38" t="s">
        <v>243</v>
      </c>
      <c r="B38" s="45">
        <f t="shared" si="0"/>
        <v>1960.8831</v>
      </c>
    </row>
    <row r="39" spans="1:2" x14ac:dyDescent="0.25">
      <c r="A39" s="2" t="s">
        <v>241</v>
      </c>
      <c r="B39" s="28">
        <f t="shared" si="0"/>
        <v>33779.601900000001</v>
      </c>
    </row>
    <row r="40" spans="1:2" x14ac:dyDescent="0.25">
      <c r="A40" t="s">
        <v>245</v>
      </c>
      <c r="B40" s="45">
        <f t="shared" si="0"/>
        <v>1617.2442000000001</v>
      </c>
    </row>
    <row r="41" spans="1:2" x14ac:dyDescent="0.25">
      <c r="A41" t="s">
        <v>72</v>
      </c>
      <c r="B41" s="45">
        <f t="shared" si="0"/>
        <v>305.91000000000003</v>
      </c>
    </row>
    <row r="42" spans="1:2" x14ac:dyDescent="0.25">
      <c r="A42" t="s">
        <v>300</v>
      </c>
      <c r="B42" s="45"/>
    </row>
    <row r="43" spans="1:2" x14ac:dyDescent="0.25">
      <c r="A43" t="s">
        <v>246</v>
      </c>
      <c r="B43" s="45">
        <f>1.0197*B13</f>
        <v>734.18400000000008</v>
      </c>
    </row>
    <row r="44" spans="1:2" x14ac:dyDescent="0.25">
      <c r="A44" t="s">
        <v>301</v>
      </c>
      <c r="B44" s="45">
        <f>1.0197*B14</f>
        <v>127.46250000000001</v>
      </c>
    </row>
    <row r="45" spans="1:2" x14ac:dyDescent="0.25">
      <c r="A45" t="s">
        <v>287</v>
      </c>
      <c r="B45" s="45">
        <f>1.0197*B15</f>
        <v>14994.6885</v>
      </c>
    </row>
    <row r="46" spans="1:2" x14ac:dyDescent="0.25">
      <c r="A46" t="s">
        <v>269</v>
      </c>
      <c r="B46" s="45">
        <f>1.0197*B16</f>
        <v>2925.5192999999999</v>
      </c>
    </row>
    <row r="47" spans="1:2" x14ac:dyDescent="0.25">
      <c r="A47" s="2" t="s">
        <v>144</v>
      </c>
      <c r="B47" s="28">
        <f>1.0197*B17</f>
        <v>39489.921900000001</v>
      </c>
    </row>
    <row r="49" spans="1:10" x14ac:dyDescent="0.25">
      <c r="A49" s="1" t="s">
        <v>290</v>
      </c>
      <c r="B49" s="28"/>
    </row>
    <row r="50" spans="1:10" x14ac:dyDescent="0.25">
      <c r="A50" t="s">
        <v>232</v>
      </c>
      <c r="B50" s="45">
        <f>1.0197*B20</f>
        <v>35.852651999999999</v>
      </c>
      <c r="D50" s="5"/>
      <c r="E50" s="5"/>
      <c r="F50" s="5"/>
      <c r="G50" s="5"/>
      <c r="H50" s="5"/>
      <c r="I50" s="5"/>
      <c r="J50" s="5"/>
    </row>
    <row r="51" spans="1:10" s="5" customFormat="1" x14ac:dyDescent="0.25">
      <c r="A51" t="s">
        <v>288</v>
      </c>
      <c r="B51" s="45">
        <f>1.0197*B21</f>
        <v>5.8020930000000011</v>
      </c>
      <c r="C51"/>
    </row>
    <row r="52" spans="1:10" s="5" customFormat="1" x14ac:dyDescent="0.25">
      <c r="C52"/>
      <c r="D52"/>
      <c r="E52"/>
      <c r="F52"/>
      <c r="G52"/>
      <c r="H52"/>
      <c r="I52"/>
      <c r="J52"/>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32374263CF3D41AA39029A5DD8767E" ma:contentTypeVersion="2" ma:contentTypeDescription="Create a new document." ma:contentTypeScope="" ma:versionID="0433bcd2ec190c0e1cf9439abd4b7b40">
  <xsd:schema xmlns:xsd="http://www.w3.org/2001/XMLSchema" xmlns:xs="http://www.w3.org/2001/XMLSchema" xmlns:p="http://schemas.microsoft.com/office/2006/metadata/properties" xmlns:ns2="8349dfd3-ed97-4bfd-8460-3dff5853967a" targetNamespace="http://schemas.microsoft.com/office/2006/metadata/properties" ma:root="true" ma:fieldsID="8af9e54decfdce5aeb987d581f5b789f" ns2:_="">
    <xsd:import namespace="8349dfd3-ed97-4bfd-8460-3dff5853967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9dfd3-ed97-4bfd-8460-3dff58539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B5DB05-0682-4B5F-89CC-3B140A795B6E}"/>
</file>

<file path=customXml/itemProps2.xml><?xml version="1.0" encoding="utf-8"?>
<ds:datastoreItem xmlns:ds="http://schemas.openxmlformats.org/officeDocument/2006/customXml" ds:itemID="{11407603-2A37-4024-923E-0510B458EAB8}"/>
</file>

<file path=customXml/itemProps3.xml><?xml version="1.0" encoding="utf-8"?>
<ds:datastoreItem xmlns:ds="http://schemas.openxmlformats.org/officeDocument/2006/customXml" ds:itemID="{AB483EE8-3333-4B39-A531-A8FB051AFC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Readme</vt:lpstr>
      <vt:lpstr>Metadata</vt:lpstr>
      <vt:lpstr>Offshore wind</vt:lpstr>
      <vt:lpstr>Onshore wind</vt:lpstr>
      <vt:lpstr>Solar +</vt:lpstr>
      <vt:lpstr>Batteries</vt:lpstr>
      <vt:lpstr>Pumped Storage Hydro</vt:lpstr>
      <vt:lpstr>CCCT</vt:lpstr>
      <vt:lpstr>Recip Peaker</vt:lpstr>
      <vt:lpstr>frame peaker</vt:lpstr>
      <vt:lpstr>Biomass</vt:lpstr>
      <vt:lpstr>Small Modular Nuclear</vt:lpstr>
      <vt:lpstr>CC matrix</vt:lpstr>
      <vt:lpstr>alt matrix</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 Douglass</dc:creator>
  <cp:lastModifiedBy>Tobin, Tyler</cp:lastModifiedBy>
  <dcterms:created xsi:type="dcterms:W3CDTF">2022-01-13T01:21:20Z</dcterms:created>
  <dcterms:modified xsi:type="dcterms:W3CDTF">2022-03-15T17:34:43Z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0x010100B132374263CF3D41AA39029A5DD8767E</vt:lpwstr>
  </property>
</Properties>
</file>