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chartsheets/sheet1.xml" ContentType="application/vnd.openxmlformats-officedocument.spreadsheetml.chart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spestfile01v01\REACQ\ResourcePlanning\2023 IRP\CBIs\23PR_Methodology_Development\"/>
    </mc:Choice>
  </mc:AlternateContent>
  <bookViews>
    <workbookView xWindow="0" yWindow="1200" windowWidth="19200" windowHeight="6380" tabRatio="848"/>
  </bookViews>
  <sheets>
    <sheet name="ReadMe" sheetId="1" r:id="rId1"/>
    <sheet name="CBI_Calculator" sheetId="6" r:id="rId2"/>
    <sheet name="DecisionTool_Chart" sheetId="21" r:id="rId3"/>
    <sheet name="Data_Input_Tabs=&gt;" sheetId="18" r:id="rId4"/>
    <sheet name="Emissions_All" sheetId="3" r:id="rId5"/>
    <sheet name="Cumulative_Capacity" sheetId="14" r:id="rId6"/>
    <sheet name="PortfolioCost" sheetId="5" r:id="rId7"/>
    <sheet name="DR_Participation" sheetId="12" r:id="rId8"/>
    <sheet name="Jobs_Per_MW" sheetId="10" r:id="rId9"/>
    <sheet name="Updated_Automatically=&gt;" sheetId="19" r:id="rId10"/>
    <sheet name="Jobs_Creation" sheetId="13" r:id="rId11"/>
    <sheet name="DR_Peak_Capacity" sheetId="15" r:id="rId12"/>
    <sheet name="DER_Participation" sheetId="23" r:id="rId13"/>
    <sheet name="EE_Added" sheetId="16" r:id="rId14"/>
    <sheet name="DER_Storage_Participation" sheetId="17" r:id="rId15"/>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15" i="10" l="1"/>
  <c r="K15" i="10" s="1"/>
  <c r="C28" i="17"/>
  <c r="D28" i="17"/>
  <c r="E28" i="17"/>
  <c r="F28" i="17"/>
  <c r="G28" i="17"/>
  <c r="H28" i="17"/>
  <c r="I28" i="17"/>
  <c r="J28" i="17"/>
  <c r="K28" i="17"/>
  <c r="L28" i="17"/>
  <c r="M28" i="17"/>
  <c r="N28" i="17"/>
  <c r="O28" i="17"/>
  <c r="P28" i="17"/>
  <c r="Q28" i="17"/>
  <c r="R28" i="17"/>
  <c r="S28" i="17"/>
  <c r="T28" i="17"/>
  <c r="U28" i="17"/>
  <c r="V28" i="17"/>
  <c r="W28" i="17"/>
  <c r="B28" i="17"/>
  <c r="O26" i="10" l="1"/>
  <c r="O42" i="10"/>
  <c r="O30" i="10"/>
  <c r="O38" i="10"/>
  <c r="O27" i="10"/>
  <c r="O43" i="10"/>
  <c r="O28" i="10"/>
  <c r="O44" i="10"/>
  <c r="O29" i="10"/>
  <c r="AV44" i="23"/>
  <c r="B48" i="23" s="1"/>
  <c r="AQ44" i="23"/>
  <c r="R44" i="23"/>
  <c r="S44" i="23"/>
  <c r="T44" i="23"/>
  <c r="U44" i="23"/>
  <c r="V44" i="23"/>
  <c r="W44" i="23"/>
  <c r="X44" i="23"/>
  <c r="Y44" i="23"/>
  <c r="Z44" i="23"/>
  <c r="AA44" i="23"/>
  <c r="AB44" i="23"/>
  <c r="AC44" i="23"/>
  <c r="AD44" i="23"/>
  <c r="AE44" i="23"/>
  <c r="AF44" i="23"/>
  <c r="AG44" i="23"/>
  <c r="AH44" i="23"/>
  <c r="AI44" i="23"/>
  <c r="AJ44" i="23"/>
  <c r="AK44" i="23"/>
  <c r="AL44" i="23"/>
  <c r="AM44" i="23"/>
  <c r="AN44" i="23"/>
  <c r="AO44" i="23"/>
  <c r="AP44" i="23"/>
  <c r="AR44" i="23"/>
  <c r="AS44" i="23"/>
  <c r="AT44" i="23"/>
  <c r="AU44" i="23"/>
  <c r="AW44" i="23"/>
  <c r="AX44" i="23"/>
  <c r="AY44" i="23"/>
  <c r="AZ44" i="23"/>
  <c r="BA44" i="23"/>
  <c r="BB44" i="23"/>
  <c r="BC44" i="23"/>
  <c r="BD44" i="23"/>
  <c r="BE44" i="23"/>
  <c r="BF44" i="23"/>
  <c r="BG44" i="23"/>
  <c r="BH44" i="23"/>
  <c r="BI44" i="23"/>
  <c r="BJ44" i="23"/>
  <c r="BK44" i="23"/>
  <c r="BL44" i="23"/>
  <c r="C49" i="23" s="1"/>
  <c r="BM44" i="23"/>
  <c r="BN44" i="23"/>
  <c r="BO44" i="23"/>
  <c r="BP44" i="23"/>
  <c r="BQ44" i="23"/>
  <c r="BR44" i="23"/>
  <c r="BS44" i="23"/>
  <c r="BT44" i="23"/>
  <c r="BU44" i="23"/>
  <c r="BV44" i="23"/>
  <c r="BW44" i="23"/>
  <c r="BX44" i="23"/>
  <c r="BY44" i="23"/>
  <c r="BZ44" i="23"/>
  <c r="CA44" i="23"/>
  <c r="CB44" i="23"/>
  <c r="D50" i="23" s="1"/>
  <c r="CC44" i="23"/>
  <c r="CD44" i="23"/>
  <c r="CE44" i="23"/>
  <c r="CF44" i="23"/>
  <c r="CG44" i="23"/>
  <c r="CH44" i="23"/>
  <c r="CI44" i="23"/>
  <c r="Q44" i="23"/>
  <c r="P44" i="23"/>
  <c r="O44" i="23"/>
  <c r="N44" i="23"/>
  <c r="M44" i="23"/>
  <c r="B47" i="23" s="1"/>
  <c r="I44" i="23"/>
  <c r="J44" i="23"/>
  <c r="K44" i="23"/>
  <c r="L44" i="23"/>
  <c r="F47" i="23" s="1"/>
  <c r="H44" i="23"/>
  <c r="G44" i="12"/>
  <c r="F44" i="12"/>
  <c r="G41" i="12"/>
  <c r="G42" i="12"/>
  <c r="F42" i="12"/>
  <c r="F41" i="12"/>
  <c r="F38" i="12"/>
  <c r="G38" i="12"/>
  <c r="G37" i="12"/>
  <c r="F37" i="12"/>
  <c r="G29" i="12"/>
  <c r="G30" i="12"/>
  <c r="F30" i="12"/>
  <c r="F29" i="12"/>
  <c r="D3" i="6"/>
  <c r="G3" i="6" s="1"/>
  <c r="C47" i="23" l="1"/>
  <c r="F50" i="23"/>
  <c r="C48" i="23"/>
  <c r="B50" i="23"/>
  <c r="F49" i="23"/>
  <c r="D47" i="23"/>
  <c r="C50" i="23"/>
  <c r="B49" i="23"/>
  <c r="F48" i="23"/>
  <c r="D49" i="23"/>
  <c r="K28" i="23"/>
  <c r="Q27" i="23"/>
  <c r="O26" i="23"/>
  <c r="R28" i="23"/>
  <c r="J28" i="23"/>
  <c r="B28" i="23"/>
  <c r="P27" i="23"/>
  <c r="H27" i="23"/>
  <c r="V26" i="23"/>
  <c r="N26" i="23"/>
  <c r="F26" i="23"/>
  <c r="Q28" i="23"/>
  <c r="I28" i="23"/>
  <c r="W27" i="23"/>
  <c r="O27" i="23"/>
  <c r="G27" i="23"/>
  <c r="U26" i="23"/>
  <c r="M26" i="23"/>
  <c r="E26" i="23"/>
  <c r="P28" i="23"/>
  <c r="H28" i="23"/>
  <c r="V27" i="23"/>
  <c r="N27" i="23"/>
  <c r="F27" i="23"/>
  <c r="T26" i="23"/>
  <c r="L26" i="23"/>
  <c r="D26" i="23"/>
  <c r="W28" i="23"/>
  <c r="G28" i="23"/>
  <c r="U27" i="23"/>
  <c r="M27" i="23"/>
  <c r="S26" i="23"/>
  <c r="K26" i="23"/>
  <c r="O28" i="23"/>
  <c r="E27" i="23"/>
  <c r="C26" i="23"/>
  <c r="V28" i="23"/>
  <c r="N28" i="23"/>
  <c r="F28" i="23"/>
  <c r="T27" i="23"/>
  <c r="L27" i="23"/>
  <c r="D27" i="23"/>
  <c r="R26" i="23"/>
  <c r="J26" i="23"/>
  <c r="B26" i="23"/>
  <c r="U28" i="23"/>
  <c r="M28" i="23"/>
  <c r="E28" i="23"/>
  <c r="S27" i="23"/>
  <c r="K27" i="23"/>
  <c r="C27" i="23"/>
  <c r="Q26" i="23"/>
  <c r="I26" i="23"/>
  <c r="T28" i="23"/>
  <c r="L28" i="23"/>
  <c r="D28" i="23"/>
  <c r="R27" i="23"/>
  <c r="J27" i="23"/>
  <c r="B27" i="23"/>
  <c r="P26" i="23"/>
  <c r="H26" i="23"/>
  <c r="S28" i="23"/>
  <c r="C28" i="23"/>
  <c r="I27" i="23"/>
  <c r="W26" i="23"/>
  <c r="G26" i="23"/>
  <c r="F31" i="12"/>
  <c r="B28" i="15"/>
  <c r="W29" i="23" l="1"/>
  <c r="T29" i="23"/>
  <c r="J29" i="23"/>
  <c r="Q29" i="23"/>
  <c r="K29" i="23"/>
  <c r="U29" i="23"/>
  <c r="V29" i="23"/>
  <c r="S29" i="23"/>
  <c r="H29" i="23"/>
  <c r="I29" i="23"/>
  <c r="C29" i="23"/>
  <c r="B29" i="23"/>
  <c r="R29" i="23"/>
  <c r="D29" i="23"/>
  <c r="E29" i="23"/>
  <c r="F29" i="23"/>
  <c r="O29" i="23"/>
  <c r="P29" i="23"/>
  <c r="G29" i="23"/>
  <c r="L29" i="23"/>
  <c r="M29" i="23"/>
  <c r="N29" i="23"/>
  <c r="AB13" i="6"/>
  <c r="C2" i="23" l="1" a="1"/>
  <c r="C28" i="16"/>
  <c r="D28" i="16"/>
  <c r="E28" i="16"/>
  <c r="F28" i="16"/>
  <c r="G28" i="16"/>
  <c r="H28" i="16"/>
  <c r="I28" i="16"/>
  <c r="J28" i="16"/>
  <c r="J30" i="16" s="1"/>
  <c r="K28" i="16"/>
  <c r="L28" i="16"/>
  <c r="M28" i="16"/>
  <c r="N28" i="16"/>
  <c r="N30" i="16" s="1"/>
  <c r="O28" i="16"/>
  <c r="P28" i="16"/>
  <c r="Q28" i="16"/>
  <c r="R28" i="16"/>
  <c r="R30" i="16" s="1"/>
  <c r="S28" i="16"/>
  <c r="T28" i="16"/>
  <c r="U28" i="16"/>
  <c r="V28" i="16"/>
  <c r="V30" i="16" s="1"/>
  <c r="W28" i="16"/>
  <c r="C29" i="16"/>
  <c r="D29" i="16"/>
  <c r="D30" i="16" s="1"/>
  <c r="E29" i="16"/>
  <c r="F29" i="16"/>
  <c r="G29" i="16"/>
  <c r="G30" i="16" s="1"/>
  <c r="H29" i="16"/>
  <c r="I29" i="16"/>
  <c r="J29" i="16"/>
  <c r="K29" i="16"/>
  <c r="L29" i="16"/>
  <c r="L30" i="16" s="1"/>
  <c r="M29" i="16"/>
  <c r="N29" i="16"/>
  <c r="O29" i="16"/>
  <c r="P29" i="16"/>
  <c r="P30" i="16" s="1"/>
  <c r="Q29" i="16"/>
  <c r="R29" i="16"/>
  <c r="S29" i="16"/>
  <c r="T29" i="16"/>
  <c r="U29" i="16"/>
  <c r="V29" i="16"/>
  <c r="W29" i="16"/>
  <c r="B29" i="16"/>
  <c r="B28" i="16"/>
  <c r="V28" i="15"/>
  <c r="N28" i="15"/>
  <c r="D28" i="15"/>
  <c r="C28" i="15"/>
  <c r="E28" i="15"/>
  <c r="F28" i="15"/>
  <c r="G28" i="15"/>
  <c r="H28" i="15"/>
  <c r="I28" i="15"/>
  <c r="J28" i="15"/>
  <c r="K28" i="15"/>
  <c r="L28" i="15"/>
  <c r="M28" i="15"/>
  <c r="O28" i="15"/>
  <c r="P28" i="15"/>
  <c r="Q28" i="15"/>
  <c r="R28" i="15"/>
  <c r="S28" i="15"/>
  <c r="T28" i="15"/>
  <c r="U28" i="15"/>
  <c r="W28" i="15"/>
  <c r="B30" i="16" l="1"/>
  <c r="Q30" i="16"/>
  <c r="H30" i="16"/>
  <c r="F30" i="16"/>
  <c r="O30" i="16"/>
  <c r="C21" i="23"/>
  <c r="AI25" i="6" s="1"/>
  <c r="C20" i="23"/>
  <c r="AI24" i="6" s="1"/>
  <c r="C12" i="23"/>
  <c r="AI16" i="6" s="1"/>
  <c r="C4" i="23"/>
  <c r="AI8" i="6" s="1"/>
  <c r="C19" i="23"/>
  <c r="AI23" i="6" s="1"/>
  <c r="C11" i="23"/>
  <c r="AI15" i="6" s="1"/>
  <c r="C3" i="23"/>
  <c r="AI7" i="6" s="1"/>
  <c r="C18" i="23"/>
  <c r="AI22" i="6" s="1"/>
  <c r="C10" i="23"/>
  <c r="AI14" i="6" s="1"/>
  <c r="C2" i="23"/>
  <c r="AI6" i="6" s="1"/>
  <c r="C17" i="23"/>
  <c r="AI21" i="6" s="1"/>
  <c r="C9" i="23"/>
  <c r="AI13" i="6" s="1"/>
  <c r="C16" i="23"/>
  <c r="AI20" i="6" s="1"/>
  <c r="C8" i="23"/>
  <c r="AI12" i="6" s="1"/>
  <c r="C23" i="23"/>
  <c r="AI27" i="6" s="1"/>
  <c r="C15" i="23"/>
  <c r="AI19" i="6" s="1"/>
  <c r="C7" i="23"/>
  <c r="AI11" i="6" s="1"/>
  <c r="C22" i="23"/>
  <c r="AI26" i="6" s="1"/>
  <c r="C14" i="23"/>
  <c r="AI18" i="6" s="1"/>
  <c r="C6" i="23"/>
  <c r="AI10" i="6" s="1"/>
  <c r="C13" i="23"/>
  <c r="AI17" i="6" s="1"/>
  <c r="C5" i="23"/>
  <c r="AI9" i="6" s="1"/>
  <c r="W30" i="16"/>
  <c r="T30" i="16"/>
  <c r="C2" i="15" a="1"/>
  <c r="C2" i="15" s="1"/>
  <c r="AH6" i="6" s="1"/>
  <c r="I30" i="16"/>
  <c r="C30" i="16"/>
  <c r="S30" i="16"/>
  <c r="K30" i="16"/>
  <c r="E30" i="16"/>
  <c r="M30" i="16"/>
  <c r="U30" i="16"/>
  <c r="C3" i="15" l="1"/>
  <c r="AH7" i="6" s="1"/>
  <c r="C7" i="15"/>
  <c r="AH11" i="6" s="1"/>
  <c r="C16" i="15"/>
  <c r="AH20" i="6" s="1"/>
  <c r="C18" i="15"/>
  <c r="AH22" i="6" s="1"/>
  <c r="C13" i="15"/>
  <c r="AH17" i="6" s="1"/>
  <c r="C15" i="15"/>
  <c r="AH19" i="6" s="1"/>
  <c r="C12" i="15"/>
  <c r="AH16" i="6" s="1"/>
  <c r="C22" i="15"/>
  <c r="AH26" i="6" s="1"/>
  <c r="C20" i="15"/>
  <c r="AH24" i="6" s="1"/>
  <c r="C5" i="15"/>
  <c r="AH9" i="6" s="1"/>
  <c r="C23" i="15"/>
  <c r="AH27" i="6" s="1"/>
  <c r="C17" i="15"/>
  <c r="AH21" i="6" s="1"/>
  <c r="C11" i="15"/>
  <c r="AH15" i="6" s="1"/>
  <c r="C8" i="15"/>
  <c r="AH12" i="6" s="1"/>
  <c r="C19" i="15"/>
  <c r="AH23" i="6" s="1"/>
  <c r="C9" i="15"/>
  <c r="AH13" i="6" s="1"/>
  <c r="C21" i="15"/>
  <c r="AH25" i="6" s="1"/>
  <c r="C6" i="15"/>
  <c r="AH10" i="6" s="1"/>
  <c r="C10" i="15"/>
  <c r="AH14" i="6" s="1"/>
  <c r="C4" i="15"/>
  <c r="AH8" i="6" s="1"/>
  <c r="C14" i="15"/>
  <c r="AH18" i="6" s="1"/>
  <c r="C2" i="16" a="1"/>
  <c r="C3" i="16" s="1"/>
  <c r="AJ7" i="6" s="1"/>
  <c r="V27" i="6" l="1"/>
  <c r="J27" i="6" s="1"/>
  <c r="V25" i="6"/>
  <c r="J25" i="6" s="1"/>
  <c r="V10" i="6"/>
  <c r="J10" i="6" s="1"/>
  <c r="V22" i="6"/>
  <c r="J22" i="6" s="1"/>
  <c r="V24" i="6"/>
  <c r="J24" i="6" s="1"/>
  <c r="V9" i="6"/>
  <c r="J9" i="6" s="1"/>
  <c r="V20" i="6"/>
  <c r="J20" i="6" s="1"/>
  <c r="V26" i="6"/>
  <c r="J26" i="6" s="1"/>
  <c r="V11" i="6"/>
  <c r="J11" i="6" s="1"/>
  <c r="V18" i="6"/>
  <c r="J18" i="6" s="1"/>
  <c r="V12" i="6"/>
  <c r="J12" i="6" s="1"/>
  <c r="V15" i="6"/>
  <c r="J15" i="6" s="1"/>
  <c r="V16" i="6"/>
  <c r="J16" i="6" s="1"/>
  <c r="V19" i="6"/>
  <c r="J19" i="6" s="1"/>
  <c r="V13" i="6"/>
  <c r="J13" i="6" s="1"/>
  <c r="V17" i="6"/>
  <c r="J17" i="6" s="1"/>
  <c r="V7" i="6"/>
  <c r="J7" i="6" s="1"/>
  <c r="V8" i="6"/>
  <c r="J8" i="6" s="1"/>
  <c r="V14" i="6"/>
  <c r="J14" i="6" s="1"/>
  <c r="V23" i="6"/>
  <c r="J23" i="6" s="1"/>
  <c r="V21" i="6"/>
  <c r="J21" i="6" s="1"/>
  <c r="V6" i="6"/>
  <c r="C6" i="16"/>
  <c r="AJ10" i="6" s="1"/>
  <c r="C13" i="16"/>
  <c r="AJ17" i="6" s="1"/>
  <c r="C20" i="16"/>
  <c r="AJ24" i="6" s="1"/>
  <c r="C15" i="16"/>
  <c r="AJ19" i="6" s="1"/>
  <c r="C14" i="16"/>
  <c r="AJ18" i="6" s="1"/>
  <c r="C23" i="16"/>
  <c r="AJ27" i="6" s="1"/>
  <c r="C8" i="16"/>
  <c r="AJ12" i="6" s="1"/>
  <c r="C5" i="16"/>
  <c r="AJ9" i="6" s="1"/>
  <c r="C16" i="16"/>
  <c r="AJ20" i="6" s="1"/>
  <c r="C11" i="16"/>
  <c r="AJ15" i="6" s="1"/>
  <c r="C12" i="16"/>
  <c r="AJ16" i="6" s="1"/>
  <c r="C7" i="16"/>
  <c r="AJ11" i="6" s="1"/>
  <c r="C21" i="16"/>
  <c r="AJ25" i="6" s="1"/>
  <c r="C19" i="16"/>
  <c r="AJ23" i="6" s="1"/>
  <c r="C2" i="16"/>
  <c r="AJ6" i="6" s="1"/>
  <c r="C10" i="16"/>
  <c r="AJ14" i="6" s="1"/>
  <c r="C22" i="16"/>
  <c r="AJ26" i="6" s="1"/>
  <c r="C4" i="16"/>
  <c r="AJ8" i="6" s="1"/>
  <c r="C9" i="16"/>
  <c r="AJ13" i="6" s="1"/>
  <c r="C18" i="16"/>
  <c r="AJ22" i="6" s="1"/>
  <c r="C17" i="16"/>
  <c r="AJ21" i="6" s="1"/>
  <c r="X13" i="6" l="1"/>
  <c r="X16" i="6"/>
  <c r="X24" i="6"/>
  <c r="L24" i="6" s="1"/>
  <c r="X26" i="6"/>
  <c r="L26" i="6" s="1"/>
  <c r="X20" i="6"/>
  <c r="L20" i="6" s="1"/>
  <c r="X10" i="6"/>
  <c r="L10" i="6" s="1"/>
  <c r="X9" i="6"/>
  <c r="L9" i="6" s="1"/>
  <c r="X12" i="6"/>
  <c r="L12" i="6" s="1"/>
  <c r="X23" i="6"/>
  <c r="L23" i="6" s="1"/>
  <c r="X27" i="6"/>
  <c r="L27" i="6" s="1"/>
  <c r="X14" i="6"/>
  <c r="L14" i="6" s="1"/>
  <c r="X21" i="6"/>
  <c r="L21" i="6" s="1"/>
  <c r="X25" i="6"/>
  <c r="L25" i="6" s="1"/>
  <c r="X18" i="6"/>
  <c r="L18" i="6" s="1"/>
  <c r="X6" i="6"/>
  <c r="X22" i="6"/>
  <c r="L22" i="6" s="1"/>
  <c r="X11" i="6"/>
  <c r="L11" i="6" s="1"/>
  <c r="X19" i="6"/>
  <c r="L19" i="6" s="1"/>
  <c r="X8" i="6"/>
  <c r="L8" i="6" s="1"/>
  <c r="X15" i="6"/>
  <c r="L15" i="6" s="1"/>
  <c r="X17" i="6"/>
  <c r="L17" i="6" s="1"/>
  <c r="X7" i="6"/>
  <c r="L7" i="6" s="1"/>
  <c r="L16" i="6"/>
  <c r="L13" i="6"/>
  <c r="B61" i="13"/>
  <c r="AB8" i="6"/>
  <c r="AE8" i="6"/>
  <c r="AC8" i="6"/>
  <c r="AB7" i="6"/>
  <c r="AC7" i="6"/>
  <c r="AD7" i="6"/>
  <c r="AE7" i="6"/>
  <c r="AB9" i="6"/>
  <c r="AC9" i="6"/>
  <c r="AD9" i="6"/>
  <c r="AE9" i="6"/>
  <c r="AB10" i="6"/>
  <c r="AC10" i="6"/>
  <c r="AD10" i="6"/>
  <c r="AE10" i="6"/>
  <c r="AB11" i="6"/>
  <c r="AC11" i="6"/>
  <c r="AD11" i="6"/>
  <c r="AE11" i="6"/>
  <c r="AB12" i="6"/>
  <c r="AC12" i="6"/>
  <c r="AD12" i="6"/>
  <c r="AE12" i="6"/>
  <c r="AC13" i="6"/>
  <c r="AD13" i="6"/>
  <c r="AE13" i="6"/>
  <c r="AB14" i="6"/>
  <c r="AC14" i="6"/>
  <c r="AD14" i="6"/>
  <c r="AE14" i="6"/>
  <c r="AB15" i="6"/>
  <c r="AC15" i="6"/>
  <c r="AD15" i="6"/>
  <c r="AE15" i="6"/>
  <c r="AB16" i="6"/>
  <c r="AC16" i="6"/>
  <c r="AD16" i="6"/>
  <c r="AE16" i="6"/>
  <c r="AB17" i="6"/>
  <c r="AC17" i="6"/>
  <c r="AD17" i="6"/>
  <c r="AE17" i="6"/>
  <c r="AB19" i="6"/>
  <c r="AC19" i="6"/>
  <c r="AD19" i="6"/>
  <c r="AE19" i="6"/>
  <c r="AB20" i="6"/>
  <c r="AC20" i="6"/>
  <c r="AD20" i="6"/>
  <c r="AE20" i="6"/>
  <c r="AB21" i="6"/>
  <c r="AC21" i="6"/>
  <c r="AD21" i="6"/>
  <c r="AE21" i="6"/>
  <c r="AB22" i="6"/>
  <c r="AC22" i="6"/>
  <c r="AD22" i="6"/>
  <c r="AE22" i="6"/>
  <c r="AB23" i="6"/>
  <c r="AC23" i="6"/>
  <c r="AD23" i="6"/>
  <c r="AE23" i="6"/>
  <c r="AB24" i="6"/>
  <c r="AC24" i="6"/>
  <c r="AD24" i="6"/>
  <c r="AE24" i="6"/>
  <c r="AB25" i="6"/>
  <c r="AC25" i="6"/>
  <c r="AD25" i="6"/>
  <c r="AE25" i="6"/>
  <c r="AB27" i="6"/>
  <c r="AC27" i="6"/>
  <c r="AD27" i="6"/>
  <c r="AE27" i="6"/>
  <c r="AG26" i="6"/>
  <c r="AG11" i="6"/>
  <c r="AG12" i="6"/>
  <c r="AG13" i="6"/>
  <c r="AG18" i="6"/>
  <c r="AG8" i="6"/>
  <c r="D3" i="5"/>
  <c r="AG7" i="6" s="1"/>
  <c r="D4" i="5"/>
  <c r="D5" i="5"/>
  <c r="AG9" i="6" s="1"/>
  <c r="D6" i="5"/>
  <c r="AG10" i="6" s="1"/>
  <c r="D7" i="5"/>
  <c r="D8" i="5"/>
  <c r="D9" i="5"/>
  <c r="D10" i="5"/>
  <c r="AG14" i="6" s="1"/>
  <c r="D11" i="5"/>
  <c r="AG15" i="6" s="1"/>
  <c r="D12" i="5"/>
  <c r="AG16" i="6" s="1"/>
  <c r="D13" i="5"/>
  <c r="AG17" i="6" s="1"/>
  <c r="D14" i="5"/>
  <c r="D15" i="5"/>
  <c r="AG19" i="6" s="1"/>
  <c r="D16" i="5"/>
  <c r="AG20" i="6" s="1"/>
  <c r="D17" i="5"/>
  <c r="AG21" i="6" s="1"/>
  <c r="D18" i="5"/>
  <c r="AG22" i="6" s="1"/>
  <c r="D19" i="5"/>
  <c r="AG23" i="6" s="1"/>
  <c r="D20" i="5"/>
  <c r="AG24" i="6" s="1"/>
  <c r="D21" i="5"/>
  <c r="AG25" i="6" s="1"/>
  <c r="D22" i="5"/>
  <c r="D23" i="5"/>
  <c r="AG27" i="6" s="1"/>
  <c r="D2" i="5"/>
  <c r="AD8" i="6" l="1"/>
  <c r="H3" i="6"/>
  <c r="J3" i="6" l="1"/>
  <c r="K3" i="6"/>
  <c r="M3" i="6"/>
  <c r="I3" i="6"/>
  <c r="N3" i="6"/>
  <c r="L3" i="6"/>
  <c r="G31" i="12" l="1"/>
  <c r="J21" i="10" l="1"/>
  <c r="J16" i="10" l="1"/>
  <c r="AC26" i="6" l="1"/>
  <c r="AD18" i="6"/>
  <c r="AE18" i="6"/>
  <c r="AC18" i="6"/>
  <c r="AB26" i="6" l="1"/>
  <c r="AD6" i="6"/>
  <c r="AD26" i="6"/>
  <c r="AE6" i="6"/>
  <c r="AC6" i="6"/>
  <c r="Q26" i="6" s="1"/>
  <c r="AB18" i="6"/>
  <c r="AB6" i="6"/>
  <c r="AE26" i="6"/>
  <c r="S6" i="6" l="1"/>
  <c r="S16" i="6"/>
  <c r="S22" i="6"/>
  <c r="S14" i="6"/>
  <c r="S20" i="6"/>
  <c r="S8" i="6"/>
  <c r="S17" i="6"/>
  <c r="S19" i="6"/>
  <c r="S10" i="6"/>
  <c r="S15" i="6"/>
  <c r="S25" i="6"/>
  <c r="S11" i="6"/>
  <c r="S13" i="6"/>
  <c r="S23" i="6"/>
  <c r="S7" i="6"/>
  <c r="S9" i="6"/>
  <c r="S21" i="6"/>
  <c r="S12" i="6"/>
  <c r="S27" i="6"/>
  <c r="S24" i="6"/>
  <c r="R26" i="6"/>
  <c r="R6" i="6"/>
  <c r="R23" i="6"/>
  <c r="R27" i="6"/>
  <c r="R21" i="6"/>
  <c r="R24" i="6"/>
  <c r="R25" i="6"/>
  <c r="R12" i="6"/>
  <c r="R19" i="6"/>
  <c r="R22" i="6"/>
  <c r="R10" i="6"/>
  <c r="R16" i="6"/>
  <c r="R20" i="6"/>
  <c r="R7" i="6"/>
  <c r="R14" i="6"/>
  <c r="R17" i="6"/>
  <c r="R11" i="6"/>
  <c r="R15" i="6"/>
  <c r="R9" i="6"/>
  <c r="R13" i="6"/>
  <c r="R8" i="6"/>
  <c r="P26" i="6"/>
  <c r="G26" i="6" s="1"/>
  <c r="S26" i="6"/>
  <c r="Q18" i="6"/>
  <c r="P6" i="6"/>
  <c r="G6" i="6" s="1"/>
  <c r="P13" i="6"/>
  <c r="G13" i="6" s="1"/>
  <c r="P9" i="6"/>
  <c r="G9" i="6" s="1"/>
  <c r="P24" i="6"/>
  <c r="G24" i="6" s="1"/>
  <c r="P12" i="6"/>
  <c r="P21" i="6"/>
  <c r="G21" i="6" s="1"/>
  <c r="P11" i="6"/>
  <c r="G11" i="6" s="1"/>
  <c r="P8" i="6"/>
  <c r="P15" i="6"/>
  <c r="G15" i="6" s="1"/>
  <c r="P10" i="6"/>
  <c r="G10" i="6" s="1"/>
  <c r="P19" i="6"/>
  <c r="G19" i="6" s="1"/>
  <c r="P20" i="6"/>
  <c r="G20" i="6" s="1"/>
  <c r="P7" i="6"/>
  <c r="P16" i="6"/>
  <c r="G16" i="6" s="1"/>
  <c r="P27" i="6"/>
  <c r="G27" i="6" s="1"/>
  <c r="P14" i="6"/>
  <c r="G14" i="6" s="1"/>
  <c r="P23" i="6"/>
  <c r="G23" i="6" s="1"/>
  <c r="P17" i="6"/>
  <c r="G17" i="6" s="1"/>
  <c r="P22" i="6"/>
  <c r="G22" i="6" s="1"/>
  <c r="P25" i="6"/>
  <c r="G25" i="6" s="1"/>
  <c r="P18" i="6"/>
  <c r="G18" i="6" s="1"/>
  <c r="S18" i="6"/>
  <c r="Q6" i="6"/>
  <c r="Q27" i="6"/>
  <c r="Q9" i="6"/>
  <c r="Q24" i="6"/>
  <c r="Q22" i="6"/>
  <c r="Q25" i="6"/>
  <c r="Q20" i="6"/>
  <c r="Q23" i="6"/>
  <c r="Q17" i="6"/>
  <c r="Q21" i="6"/>
  <c r="Q14" i="6"/>
  <c r="Q11" i="6"/>
  <c r="Q15" i="6"/>
  <c r="Q12" i="6"/>
  <c r="Q19" i="6"/>
  <c r="Q7" i="6"/>
  <c r="Q13" i="6"/>
  <c r="Q10" i="6"/>
  <c r="Q16" i="6"/>
  <c r="Q8" i="6"/>
  <c r="R18" i="6"/>
  <c r="G8" i="6"/>
  <c r="G7" i="6"/>
  <c r="G12" i="6"/>
  <c r="G43" i="12"/>
  <c r="F43" i="12"/>
  <c r="G40" i="12"/>
  <c r="F40" i="12"/>
  <c r="G39" i="12"/>
  <c r="F39" i="12"/>
  <c r="G36" i="12"/>
  <c r="F36" i="12"/>
  <c r="G35" i="12"/>
  <c r="F35" i="12"/>
  <c r="G34" i="12"/>
  <c r="F34" i="12"/>
  <c r="G33" i="12"/>
  <c r="F33" i="12"/>
  <c r="G32" i="12"/>
  <c r="F32" i="12"/>
  <c r="H45" i="12" l="1"/>
  <c r="J45" i="12"/>
  <c r="R45" i="12"/>
  <c r="Z45" i="12"/>
  <c r="W45" i="12"/>
  <c r="Y45" i="12"/>
  <c r="K45" i="12"/>
  <c r="S45" i="12"/>
  <c r="AA45" i="12"/>
  <c r="AC45" i="12"/>
  <c r="L45" i="12"/>
  <c r="T45" i="12"/>
  <c r="AB45" i="12"/>
  <c r="M45" i="12"/>
  <c r="U45" i="12"/>
  <c r="O45" i="12"/>
  <c r="N45" i="12"/>
  <c r="V45" i="12"/>
  <c r="P45" i="12"/>
  <c r="X45" i="12"/>
  <c r="I45" i="12"/>
  <c r="Q45" i="12"/>
  <c r="H27" i="6"/>
  <c r="H22" i="6"/>
  <c r="H7" i="6"/>
  <c r="H17" i="6"/>
  <c r="H19" i="6"/>
  <c r="H18" i="6"/>
  <c r="H20" i="6"/>
  <c r="H9" i="6"/>
  <c r="H14" i="6"/>
  <c r="H25" i="6"/>
  <c r="H23" i="6"/>
  <c r="H11" i="6"/>
  <c r="H24" i="6"/>
  <c r="H8" i="6"/>
  <c r="H15" i="6"/>
  <c r="H10" i="6"/>
  <c r="H12" i="6"/>
  <c r="H13" i="6"/>
  <c r="H26" i="6"/>
  <c r="H21" i="6"/>
  <c r="H16" i="6"/>
  <c r="F45" i="12"/>
  <c r="G45" i="12"/>
  <c r="C2" i="12" l="1" a="1"/>
  <c r="B39" i="13"/>
  <c r="B40" i="13"/>
  <c r="B41" i="13"/>
  <c r="B42" i="13"/>
  <c r="B43" i="13"/>
  <c r="B51" i="13"/>
  <c r="B55" i="13"/>
  <c r="B56" i="13"/>
  <c r="B57" i="13"/>
  <c r="J28" i="10"/>
  <c r="J26" i="10"/>
  <c r="K26" i="10" s="1"/>
  <c r="J25" i="10"/>
  <c r="K25" i="10" s="1"/>
  <c r="J24" i="10"/>
  <c r="K24" i="10" s="1"/>
  <c r="J23" i="10"/>
  <c r="K23" i="10" s="1"/>
  <c r="J22" i="10"/>
  <c r="K22" i="10" s="1"/>
  <c r="J20" i="10"/>
  <c r="J19" i="10"/>
  <c r="K19" i="10" s="1"/>
  <c r="J18" i="10"/>
  <c r="J17" i="10"/>
  <c r="K16" i="10"/>
  <c r="J27" i="10"/>
  <c r="K27" i="10" s="1"/>
  <c r="G20" i="10"/>
  <c r="K20" i="10" s="1"/>
  <c r="G18" i="10"/>
  <c r="K18" i="10" s="1"/>
  <c r="O40" i="10" l="1"/>
  <c r="B53" i="13" s="1"/>
  <c r="O24" i="10"/>
  <c r="O25" i="10"/>
  <c r="O41" i="10"/>
  <c r="O18" i="10"/>
  <c r="O37" i="10"/>
  <c r="B50" i="13" s="1"/>
  <c r="O19" i="10"/>
  <c r="B32" i="13" s="1"/>
  <c r="O21" i="10"/>
  <c r="B34" i="13" s="1"/>
  <c r="I34" i="13" s="1"/>
  <c r="O20" i="10"/>
  <c r="O22" i="10"/>
  <c r="O23" i="10"/>
  <c r="B36" i="13" s="1"/>
  <c r="O39" i="10"/>
  <c r="B52" i="13" s="1"/>
  <c r="O32" i="10"/>
  <c r="B45" i="13" s="1"/>
  <c r="O34" i="10"/>
  <c r="O36" i="10"/>
  <c r="B49" i="13" s="1"/>
  <c r="O31" i="10"/>
  <c r="B44" i="13" s="1"/>
  <c r="O33" i="10"/>
  <c r="O16" i="10"/>
  <c r="O15" i="10"/>
  <c r="B28" i="13" s="1"/>
  <c r="O17" i="10"/>
  <c r="O35" i="10"/>
  <c r="B48" i="13" s="1"/>
  <c r="K28" i="10"/>
  <c r="B46" i="13"/>
  <c r="B47" i="13"/>
  <c r="I43" i="13"/>
  <c r="T43" i="13"/>
  <c r="X43" i="13"/>
  <c r="Q43" i="13"/>
  <c r="M43" i="13"/>
  <c r="C43" i="13"/>
  <c r="J43" i="13"/>
  <c r="U43" i="13"/>
  <c r="D43" i="13"/>
  <c r="R43" i="13"/>
  <c r="F43" i="13"/>
  <c r="G43" i="13"/>
  <c r="K43" i="13"/>
  <c r="N43" i="13"/>
  <c r="O43" i="13"/>
  <c r="L43" i="13"/>
  <c r="P43" i="13"/>
  <c r="S43" i="13"/>
  <c r="E43" i="13"/>
  <c r="V43" i="13"/>
  <c r="H43" i="13"/>
  <c r="W43" i="13"/>
  <c r="B35" i="13"/>
  <c r="I41" i="13"/>
  <c r="D41" i="13"/>
  <c r="Q41" i="13"/>
  <c r="F41" i="13"/>
  <c r="G41" i="13"/>
  <c r="J41" i="13"/>
  <c r="N41" i="13"/>
  <c r="O41" i="13"/>
  <c r="R41" i="13"/>
  <c r="V41" i="13"/>
  <c r="W41" i="13"/>
  <c r="K41" i="13"/>
  <c r="U41" i="13"/>
  <c r="X41" i="13"/>
  <c r="T41" i="13"/>
  <c r="E41" i="13"/>
  <c r="S41" i="13"/>
  <c r="H41" i="13"/>
  <c r="L41" i="13"/>
  <c r="M41" i="13"/>
  <c r="C41" i="13"/>
  <c r="P41" i="13"/>
  <c r="B33" i="13"/>
  <c r="W57" i="13"/>
  <c r="L57" i="13"/>
  <c r="P57" i="13"/>
  <c r="H57" i="13"/>
  <c r="T57" i="13"/>
  <c r="E57" i="13"/>
  <c r="I57" i="13"/>
  <c r="F57" i="13"/>
  <c r="U57" i="13"/>
  <c r="Q57" i="13"/>
  <c r="N57" i="13"/>
  <c r="M57" i="13"/>
  <c r="J57" i="13"/>
  <c r="V57" i="13"/>
  <c r="O57" i="13"/>
  <c r="S57" i="13"/>
  <c r="D57" i="13"/>
  <c r="G57" i="13"/>
  <c r="R57" i="13"/>
  <c r="K57" i="13"/>
  <c r="X57" i="13"/>
  <c r="C57" i="13"/>
  <c r="R40" i="13"/>
  <c r="F40" i="13"/>
  <c r="Q40" i="13"/>
  <c r="K40" i="13"/>
  <c r="N40" i="13"/>
  <c r="X40" i="13"/>
  <c r="S40" i="13"/>
  <c r="V40" i="13"/>
  <c r="H40" i="13"/>
  <c r="L40" i="13"/>
  <c r="E40" i="13"/>
  <c r="P40" i="13"/>
  <c r="T40" i="13"/>
  <c r="G40" i="13"/>
  <c r="C40" i="13"/>
  <c r="J40" i="13"/>
  <c r="D40" i="13"/>
  <c r="I40" i="13"/>
  <c r="O40" i="13"/>
  <c r="W40" i="13"/>
  <c r="M40" i="13"/>
  <c r="U40" i="13"/>
  <c r="J56" i="13"/>
  <c r="F56" i="13"/>
  <c r="D56" i="13"/>
  <c r="R56" i="13"/>
  <c r="N56" i="13"/>
  <c r="E56" i="13"/>
  <c r="K56" i="13"/>
  <c r="V56" i="13"/>
  <c r="H56" i="13"/>
  <c r="S56" i="13"/>
  <c r="G56" i="13"/>
  <c r="P56" i="13"/>
  <c r="L56" i="13"/>
  <c r="O56" i="13"/>
  <c r="X56" i="13"/>
  <c r="U56" i="13"/>
  <c r="Q56" i="13"/>
  <c r="W56" i="13"/>
  <c r="I56" i="13"/>
  <c r="T56" i="13"/>
  <c r="C56" i="13"/>
  <c r="M56" i="13"/>
  <c r="F39" i="13"/>
  <c r="P39" i="13"/>
  <c r="C39" i="13"/>
  <c r="N39" i="13"/>
  <c r="X39" i="13"/>
  <c r="D39" i="13"/>
  <c r="V39" i="13"/>
  <c r="I39" i="13"/>
  <c r="K39" i="13"/>
  <c r="G39" i="13"/>
  <c r="Q39" i="13"/>
  <c r="S39" i="13"/>
  <c r="O39" i="13"/>
  <c r="J39" i="13"/>
  <c r="U39" i="13"/>
  <c r="H39" i="13"/>
  <c r="T39" i="13"/>
  <c r="R39" i="13"/>
  <c r="E39" i="13"/>
  <c r="L39" i="13"/>
  <c r="W39" i="13"/>
  <c r="M39" i="13"/>
  <c r="B31" i="13"/>
  <c r="N42" i="13"/>
  <c r="I42" i="13"/>
  <c r="V42" i="13"/>
  <c r="Q42" i="13"/>
  <c r="L42" i="13"/>
  <c r="G42" i="13"/>
  <c r="K42" i="13"/>
  <c r="T42" i="13"/>
  <c r="O42" i="13"/>
  <c r="S42" i="13"/>
  <c r="E42" i="13"/>
  <c r="W42" i="13"/>
  <c r="D42" i="13"/>
  <c r="F42" i="13"/>
  <c r="X42" i="13"/>
  <c r="R42" i="13"/>
  <c r="C42" i="13"/>
  <c r="J42" i="13"/>
  <c r="M42" i="13"/>
  <c r="H42" i="13"/>
  <c r="U42" i="13"/>
  <c r="P42" i="13"/>
  <c r="O55" i="13"/>
  <c r="R55" i="13"/>
  <c r="W55" i="13"/>
  <c r="L55" i="13"/>
  <c r="M55" i="13"/>
  <c r="H55" i="13"/>
  <c r="T55" i="13"/>
  <c r="U55" i="13"/>
  <c r="P55" i="13"/>
  <c r="K55" i="13"/>
  <c r="F55" i="13"/>
  <c r="X55" i="13"/>
  <c r="S55" i="13"/>
  <c r="G55" i="13"/>
  <c r="J55" i="13"/>
  <c r="E55" i="13"/>
  <c r="N55" i="13"/>
  <c r="V55" i="13"/>
  <c r="I55" i="13"/>
  <c r="Q55" i="13"/>
  <c r="C55" i="13"/>
  <c r="D55" i="13"/>
  <c r="B38" i="13"/>
  <c r="B30" i="13"/>
  <c r="B54" i="13"/>
  <c r="B37" i="13"/>
  <c r="B29" i="13"/>
  <c r="J51" i="13"/>
  <c r="U51" i="13"/>
  <c r="C51" i="13"/>
  <c r="R51" i="13"/>
  <c r="F51" i="13"/>
  <c r="D51" i="13"/>
  <c r="K51" i="13"/>
  <c r="N51" i="13"/>
  <c r="G51" i="13"/>
  <c r="S51" i="13"/>
  <c r="V51" i="13"/>
  <c r="O51" i="13"/>
  <c r="E51" i="13"/>
  <c r="H51" i="13"/>
  <c r="Q51" i="13"/>
  <c r="M51" i="13"/>
  <c r="W51" i="13"/>
  <c r="P51" i="13"/>
  <c r="X51" i="13"/>
  <c r="L51" i="13"/>
  <c r="T51" i="13"/>
  <c r="I51" i="13"/>
  <c r="K17" i="10"/>
  <c r="C15" i="12"/>
  <c r="AK19" i="6" s="1"/>
  <c r="C14" i="12"/>
  <c r="AK18" i="6" s="1"/>
  <c r="C18" i="12"/>
  <c r="AK22" i="6" s="1"/>
  <c r="C16" i="12"/>
  <c r="AK20" i="6" s="1"/>
  <c r="C3" i="12"/>
  <c r="AK7" i="6" s="1"/>
  <c r="C9" i="12"/>
  <c r="AK13" i="6" s="1"/>
  <c r="C17" i="12"/>
  <c r="AK21" i="6" s="1"/>
  <c r="C4" i="12"/>
  <c r="AK8" i="6" s="1"/>
  <c r="Y8" i="6" s="1"/>
  <c r="M8" i="6" s="1"/>
  <c r="C22" i="12"/>
  <c r="AK26" i="6" s="1"/>
  <c r="C21" i="12"/>
  <c r="AK25" i="6" s="1"/>
  <c r="C8" i="12"/>
  <c r="AK12" i="6" s="1"/>
  <c r="C7" i="12"/>
  <c r="AK11" i="6" s="1"/>
  <c r="C12" i="12"/>
  <c r="AK16" i="6" s="1"/>
  <c r="C20" i="12"/>
  <c r="AK24" i="6" s="1"/>
  <c r="C11" i="12"/>
  <c r="AK15" i="6" s="1"/>
  <c r="C13" i="12"/>
  <c r="AK17" i="6" s="1"/>
  <c r="C23" i="12"/>
  <c r="AK27" i="6" s="1"/>
  <c r="C6" i="12"/>
  <c r="AK10" i="6" s="1"/>
  <c r="C10" i="12"/>
  <c r="AK14" i="6" s="1"/>
  <c r="C2" i="12"/>
  <c r="AK6" i="6" s="1"/>
  <c r="C19" i="12"/>
  <c r="AK23" i="6" s="1"/>
  <c r="C5" i="12"/>
  <c r="AK9" i="6" s="1"/>
  <c r="V36" i="13" l="1"/>
  <c r="L36" i="13"/>
  <c r="K36" i="13"/>
  <c r="Q36" i="13"/>
  <c r="W36" i="13"/>
  <c r="H36" i="13"/>
  <c r="U36" i="13"/>
  <c r="R36" i="13"/>
  <c r="P36" i="13"/>
  <c r="G36" i="13"/>
  <c r="T36" i="13"/>
  <c r="D36" i="13"/>
  <c r="F36" i="13"/>
  <c r="N36" i="13"/>
  <c r="C36" i="13"/>
  <c r="X36" i="13"/>
  <c r="I36" i="13"/>
  <c r="O36" i="13"/>
  <c r="S36" i="13"/>
  <c r="M36" i="13"/>
  <c r="J36" i="13"/>
  <c r="E36" i="13"/>
  <c r="H48" i="13"/>
  <c r="O48" i="13"/>
  <c r="W48" i="13"/>
  <c r="L48" i="13"/>
  <c r="R48" i="13"/>
  <c r="E48" i="13"/>
  <c r="F48" i="13"/>
  <c r="K48" i="13"/>
  <c r="X48" i="13"/>
  <c r="Q48" i="13"/>
  <c r="N48" i="13"/>
  <c r="T48" i="13"/>
  <c r="I48" i="13"/>
  <c r="S48" i="13"/>
  <c r="P48" i="13"/>
  <c r="G48" i="13"/>
  <c r="J48" i="13"/>
  <c r="C48" i="13"/>
  <c r="U48" i="13"/>
  <c r="V48" i="13"/>
  <c r="M48" i="13"/>
  <c r="D48" i="13"/>
  <c r="W53" i="13"/>
  <c r="F53" i="13"/>
  <c r="S53" i="13"/>
  <c r="Q53" i="13"/>
  <c r="N53" i="13"/>
  <c r="G53" i="13"/>
  <c r="M53" i="13"/>
  <c r="V53" i="13"/>
  <c r="R53" i="13"/>
  <c r="H53" i="13"/>
  <c r="X53" i="13"/>
  <c r="L53" i="13"/>
  <c r="I53" i="13"/>
  <c r="J53" i="13"/>
  <c r="O53" i="13"/>
  <c r="U53" i="13"/>
  <c r="D53" i="13"/>
  <c r="C53" i="13"/>
  <c r="P53" i="13"/>
  <c r="K53" i="13"/>
  <c r="T53" i="13"/>
  <c r="E53" i="13"/>
  <c r="O45" i="10"/>
  <c r="B58" i="13" s="1"/>
  <c r="L58" i="13" s="1"/>
  <c r="O46" i="10"/>
  <c r="B59" i="13" s="1"/>
  <c r="O47" i="10"/>
  <c r="B60" i="13" s="1"/>
  <c r="C60" i="13" s="1"/>
  <c r="M34" i="13"/>
  <c r="L34" i="13"/>
  <c r="N34" i="13"/>
  <c r="D34" i="13"/>
  <c r="T34" i="13"/>
  <c r="F34" i="13"/>
  <c r="G34" i="13"/>
  <c r="W34" i="13"/>
  <c r="R34" i="13"/>
  <c r="C34" i="13"/>
  <c r="H34" i="13"/>
  <c r="S34" i="13"/>
  <c r="K34" i="13"/>
  <c r="X34" i="13"/>
  <c r="E34" i="13"/>
  <c r="Q34" i="13"/>
  <c r="P34" i="13"/>
  <c r="O34" i="13"/>
  <c r="V34" i="13"/>
  <c r="U34" i="13"/>
  <c r="J34" i="13"/>
  <c r="K28" i="13"/>
  <c r="Q28" i="13"/>
  <c r="L28" i="13"/>
  <c r="D28" i="13"/>
  <c r="F28" i="13"/>
  <c r="U28" i="13"/>
  <c r="T28" i="13"/>
  <c r="X28" i="13"/>
  <c r="W28" i="13"/>
  <c r="S28" i="13"/>
  <c r="R28" i="13"/>
  <c r="P28" i="13"/>
  <c r="C28" i="13"/>
  <c r="N28" i="13"/>
  <c r="G28" i="13"/>
  <c r="V28" i="13"/>
  <c r="H28" i="13"/>
  <c r="I28" i="13"/>
  <c r="O28" i="13"/>
  <c r="E28" i="13"/>
  <c r="M28" i="13"/>
  <c r="J28" i="13"/>
  <c r="E35" i="13"/>
  <c r="H35" i="13"/>
  <c r="L35" i="13"/>
  <c r="P35" i="13"/>
  <c r="I35" i="13"/>
  <c r="T35" i="13"/>
  <c r="X35" i="13"/>
  <c r="Q35" i="13"/>
  <c r="M35" i="13"/>
  <c r="G35" i="13"/>
  <c r="J35" i="13"/>
  <c r="U35" i="13"/>
  <c r="C35" i="13"/>
  <c r="S35" i="13"/>
  <c r="V35" i="13"/>
  <c r="D35" i="13"/>
  <c r="R35" i="13"/>
  <c r="K35" i="13"/>
  <c r="O35" i="13"/>
  <c r="W35" i="13"/>
  <c r="F35" i="13"/>
  <c r="N35" i="13"/>
  <c r="V47" i="13"/>
  <c r="I47" i="13"/>
  <c r="C47" i="13"/>
  <c r="G47" i="13"/>
  <c r="Q47" i="13"/>
  <c r="K47" i="13"/>
  <c r="O47" i="13"/>
  <c r="J47" i="13"/>
  <c r="W47" i="13"/>
  <c r="R47" i="13"/>
  <c r="M47" i="13"/>
  <c r="E47" i="13"/>
  <c r="L47" i="13"/>
  <c r="N47" i="13"/>
  <c r="X47" i="13"/>
  <c r="S47" i="13"/>
  <c r="U47" i="13"/>
  <c r="F47" i="13"/>
  <c r="H47" i="13"/>
  <c r="T47" i="13"/>
  <c r="P47" i="13"/>
  <c r="D47" i="13"/>
  <c r="E30" i="13"/>
  <c r="T30" i="13"/>
  <c r="C30" i="13"/>
  <c r="I30" i="13"/>
  <c r="M30" i="13"/>
  <c r="F30" i="13"/>
  <c r="Q30" i="13"/>
  <c r="J30" i="13"/>
  <c r="G30" i="13"/>
  <c r="R30" i="13"/>
  <c r="O30" i="13"/>
  <c r="X30" i="13"/>
  <c r="N30" i="13"/>
  <c r="K30" i="13"/>
  <c r="S30" i="13"/>
  <c r="H30" i="13"/>
  <c r="P30" i="13"/>
  <c r="L30" i="13"/>
  <c r="U30" i="13"/>
  <c r="V30" i="13"/>
  <c r="W30" i="13"/>
  <c r="D30" i="13"/>
  <c r="P33" i="13"/>
  <c r="L33" i="13"/>
  <c r="M33" i="13"/>
  <c r="X33" i="13"/>
  <c r="T33" i="13"/>
  <c r="U33" i="13"/>
  <c r="I33" i="13"/>
  <c r="D33" i="13"/>
  <c r="Q33" i="13"/>
  <c r="F33" i="13"/>
  <c r="G33" i="13"/>
  <c r="J33" i="13"/>
  <c r="N33" i="13"/>
  <c r="H33" i="13"/>
  <c r="S33" i="13"/>
  <c r="C33" i="13"/>
  <c r="O33" i="13"/>
  <c r="W33" i="13"/>
  <c r="R33" i="13"/>
  <c r="K33" i="13"/>
  <c r="V33" i="13"/>
  <c r="E33" i="13"/>
  <c r="N45" i="13"/>
  <c r="D45" i="13"/>
  <c r="K45" i="13"/>
  <c r="V45" i="13"/>
  <c r="J45" i="13"/>
  <c r="S45" i="13"/>
  <c r="G45" i="13"/>
  <c r="R45" i="13"/>
  <c r="L45" i="13"/>
  <c r="O45" i="13"/>
  <c r="I45" i="13"/>
  <c r="T45" i="13"/>
  <c r="W45" i="13"/>
  <c r="Q45" i="13"/>
  <c r="U45" i="13"/>
  <c r="F45" i="13"/>
  <c r="P45" i="13"/>
  <c r="M45" i="13"/>
  <c r="H45" i="13"/>
  <c r="E45" i="13"/>
  <c r="X45" i="13"/>
  <c r="C45" i="13"/>
  <c r="J46" i="13"/>
  <c r="G46" i="13"/>
  <c r="R46" i="13"/>
  <c r="O46" i="13"/>
  <c r="K46" i="13"/>
  <c r="W46" i="13"/>
  <c r="D46" i="13"/>
  <c r="U46" i="13"/>
  <c r="P46" i="13"/>
  <c r="V46" i="13"/>
  <c r="E46" i="13"/>
  <c r="T46" i="13"/>
  <c r="N46" i="13"/>
  <c r="Q46" i="13"/>
  <c r="H46" i="13"/>
  <c r="X46" i="13"/>
  <c r="F46" i="13"/>
  <c r="I46" i="13"/>
  <c r="S46" i="13"/>
  <c r="L46" i="13"/>
  <c r="M46" i="13"/>
  <c r="C46" i="13"/>
  <c r="L32" i="13"/>
  <c r="E32" i="13"/>
  <c r="X32" i="13"/>
  <c r="T32" i="13"/>
  <c r="G32" i="13"/>
  <c r="C32" i="13"/>
  <c r="M32" i="13"/>
  <c r="O32" i="13"/>
  <c r="U32" i="13"/>
  <c r="W32" i="13"/>
  <c r="J32" i="13"/>
  <c r="D32" i="13"/>
  <c r="I32" i="13"/>
  <c r="S32" i="13"/>
  <c r="V32" i="13"/>
  <c r="P32" i="13"/>
  <c r="Q32" i="13"/>
  <c r="H32" i="13"/>
  <c r="N32" i="13"/>
  <c r="R32" i="13"/>
  <c r="K32" i="13"/>
  <c r="F32" i="13"/>
  <c r="G44" i="13"/>
  <c r="D44" i="13"/>
  <c r="C44" i="13"/>
  <c r="O44" i="13"/>
  <c r="J44" i="13"/>
  <c r="T44" i="13"/>
  <c r="W44" i="13"/>
  <c r="R44" i="13"/>
  <c r="L44" i="13"/>
  <c r="H44" i="13"/>
  <c r="E44" i="13"/>
  <c r="P44" i="13"/>
  <c r="K44" i="13"/>
  <c r="V44" i="13"/>
  <c r="Q44" i="13"/>
  <c r="U44" i="13"/>
  <c r="F44" i="13"/>
  <c r="S44" i="13"/>
  <c r="N44" i="13"/>
  <c r="X44" i="13"/>
  <c r="M44" i="13"/>
  <c r="I44" i="13"/>
  <c r="M31" i="13"/>
  <c r="E31" i="13"/>
  <c r="L31" i="13"/>
  <c r="U31" i="13"/>
  <c r="H31" i="13"/>
  <c r="T31" i="13"/>
  <c r="F31" i="13"/>
  <c r="P31" i="13"/>
  <c r="S31" i="13"/>
  <c r="N31" i="13"/>
  <c r="X31" i="13"/>
  <c r="D31" i="13"/>
  <c r="V31" i="13"/>
  <c r="I31" i="13"/>
  <c r="C31" i="13"/>
  <c r="W31" i="13"/>
  <c r="R31" i="13"/>
  <c r="G31" i="13"/>
  <c r="O31" i="13"/>
  <c r="Q31" i="13"/>
  <c r="J31" i="13"/>
  <c r="K31" i="13"/>
  <c r="T29" i="13"/>
  <c r="W29" i="13"/>
  <c r="I29" i="13"/>
  <c r="M29" i="13"/>
  <c r="H29" i="13"/>
  <c r="C29" i="13"/>
  <c r="U29" i="13"/>
  <c r="P29" i="13"/>
  <c r="Q29" i="13"/>
  <c r="F29" i="13"/>
  <c r="X29" i="13"/>
  <c r="N29" i="13"/>
  <c r="D29" i="13"/>
  <c r="L29" i="13"/>
  <c r="O29" i="13"/>
  <c r="E29" i="13"/>
  <c r="K29" i="13"/>
  <c r="S29" i="13"/>
  <c r="R29" i="13"/>
  <c r="G29" i="13"/>
  <c r="V29" i="13"/>
  <c r="J29" i="13"/>
  <c r="U37" i="13"/>
  <c r="P37" i="13"/>
  <c r="I37" i="13"/>
  <c r="F37" i="13"/>
  <c r="X37" i="13"/>
  <c r="N37" i="13"/>
  <c r="D37" i="13"/>
  <c r="K37" i="13"/>
  <c r="V37" i="13"/>
  <c r="J37" i="13"/>
  <c r="S37" i="13"/>
  <c r="G37" i="13"/>
  <c r="R37" i="13"/>
  <c r="M37" i="13"/>
  <c r="O37" i="13"/>
  <c r="W37" i="13"/>
  <c r="H37" i="13"/>
  <c r="Q37" i="13"/>
  <c r="T37" i="13"/>
  <c r="L37" i="13"/>
  <c r="C37" i="13"/>
  <c r="E37" i="13"/>
  <c r="Q38" i="13"/>
  <c r="U38" i="13"/>
  <c r="H38" i="13"/>
  <c r="K38" i="13"/>
  <c r="W38" i="13"/>
  <c r="L38" i="13"/>
  <c r="C38" i="13"/>
  <c r="P38" i="13"/>
  <c r="T38" i="13"/>
  <c r="M38" i="13"/>
  <c r="G38" i="13"/>
  <c r="O38" i="13"/>
  <c r="J38" i="13"/>
  <c r="F38" i="13"/>
  <c r="E38" i="13"/>
  <c r="I38" i="13"/>
  <c r="R38" i="13"/>
  <c r="X38" i="13"/>
  <c r="V38" i="13"/>
  <c r="N38" i="13"/>
  <c r="S38" i="13"/>
  <c r="D38" i="13"/>
  <c r="H54" i="13"/>
  <c r="S54" i="13"/>
  <c r="D54" i="13"/>
  <c r="P54" i="13"/>
  <c r="L54" i="13"/>
  <c r="N54" i="13"/>
  <c r="X54" i="13"/>
  <c r="F54" i="13"/>
  <c r="Q54" i="13"/>
  <c r="G54" i="13"/>
  <c r="R54" i="13"/>
  <c r="T54" i="13"/>
  <c r="M54" i="13"/>
  <c r="E54" i="13"/>
  <c r="C54" i="13"/>
  <c r="I54" i="13"/>
  <c r="U54" i="13"/>
  <c r="W54" i="13"/>
  <c r="J54" i="13"/>
  <c r="K54" i="13"/>
  <c r="V54" i="13"/>
  <c r="O54" i="13"/>
  <c r="L50" i="13"/>
  <c r="G50" i="13"/>
  <c r="K50" i="13"/>
  <c r="T50" i="13"/>
  <c r="O50" i="13"/>
  <c r="S50" i="13"/>
  <c r="E50" i="13"/>
  <c r="W50" i="13"/>
  <c r="D50" i="13"/>
  <c r="M50" i="13"/>
  <c r="H50" i="13"/>
  <c r="J50" i="13"/>
  <c r="U50" i="13"/>
  <c r="P50" i="13"/>
  <c r="C50" i="13"/>
  <c r="V50" i="13"/>
  <c r="Q50" i="13"/>
  <c r="N50" i="13"/>
  <c r="R50" i="13"/>
  <c r="F50" i="13"/>
  <c r="X50" i="13"/>
  <c r="I50" i="13"/>
  <c r="W52" i="13"/>
  <c r="R52" i="13"/>
  <c r="T52" i="13"/>
  <c r="H52" i="13"/>
  <c r="E52" i="13"/>
  <c r="P52" i="13"/>
  <c r="K52" i="13"/>
  <c r="F52" i="13"/>
  <c r="X52" i="13"/>
  <c r="S52" i="13"/>
  <c r="N52" i="13"/>
  <c r="I52" i="13"/>
  <c r="M52" i="13"/>
  <c r="O52" i="13"/>
  <c r="J52" i="13"/>
  <c r="C52" i="13"/>
  <c r="V52" i="13"/>
  <c r="G52" i="13"/>
  <c r="D52" i="13"/>
  <c r="Q52" i="13"/>
  <c r="U52" i="13"/>
  <c r="L52" i="13"/>
  <c r="G49" i="13"/>
  <c r="J49" i="13"/>
  <c r="N49" i="13"/>
  <c r="O49" i="13"/>
  <c r="R49" i="13"/>
  <c r="V49" i="13"/>
  <c r="W49" i="13"/>
  <c r="K49" i="13"/>
  <c r="E49" i="13"/>
  <c r="H49" i="13"/>
  <c r="S49" i="13"/>
  <c r="M49" i="13"/>
  <c r="P49" i="13"/>
  <c r="L49" i="13"/>
  <c r="U49" i="13"/>
  <c r="Q49" i="13"/>
  <c r="F49" i="13"/>
  <c r="C49" i="13"/>
  <c r="T49" i="13"/>
  <c r="D49" i="13"/>
  <c r="X49" i="13"/>
  <c r="I49" i="13"/>
  <c r="Y13" i="6"/>
  <c r="M13" i="6" s="1"/>
  <c r="Y9" i="6"/>
  <c r="M9" i="6" s="1"/>
  <c r="Y23" i="6"/>
  <c r="M23" i="6" s="1"/>
  <c r="Y20" i="6"/>
  <c r="M20" i="6" s="1"/>
  <c r="Y21" i="6"/>
  <c r="M21" i="6" s="1"/>
  <c r="Y7" i="6"/>
  <c r="M7" i="6" s="1"/>
  <c r="Y12" i="6"/>
  <c r="M12" i="6" s="1"/>
  <c r="Y22" i="6"/>
  <c r="M22" i="6" s="1"/>
  <c r="Y15" i="6"/>
  <c r="M15" i="6" s="1"/>
  <c r="Y16" i="6"/>
  <c r="M16" i="6" s="1"/>
  <c r="Y11" i="6"/>
  <c r="M11" i="6" s="1"/>
  <c r="Y10" i="6"/>
  <c r="M10" i="6" s="1"/>
  <c r="Y25" i="6"/>
  <c r="M25" i="6" s="1"/>
  <c r="Y18" i="6"/>
  <c r="M18" i="6" s="1"/>
  <c r="Y17" i="6"/>
  <c r="M17" i="6" s="1"/>
  <c r="Y24" i="6"/>
  <c r="M24" i="6" s="1"/>
  <c r="Y6" i="6"/>
  <c r="Y14" i="6"/>
  <c r="M14" i="6" s="1"/>
  <c r="Y27" i="6"/>
  <c r="M27" i="6" s="1"/>
  <c r="Y26" i="6"/>
  <c r="M26" i="6" s="1"/>
  <c r="Y19" i="6"/>
  <c r="M19" i="6" s="1"/>
  <c r="AG6" i="6"/>
  <c r="I60" i="13" l="1"/>
  <c r="J60" i="13"/>
  <c r="Q60" i="13"/>
  <c r="T60" i="13"/>
  <c r="D60" i="13"/>
  <c r="O60" i="13"/>
  <c r="K60" i="13"/>
  <c r="V60" i="13"/>
  <c r="G60" i="13"/>
  <c r="U60" i="13"/>
  <c r="R60" i="13"/>
  <c r="M60" i="13"/>
  <c r="N60" i="13"/>
  <c r="M58" i="13"/>
  <c r="D58" i="13"/>
  <c r="H58" i="13"/>
  <c r="S58" i="13"/>
  <c r="F58" i="13"/>
  <c r="I58" i="13"/>
  <c r="E58" i="13"/>
  <c r="R58" i="13"/>
  <c r="O58" i="13"/>
  <c r="C58" i="13"/>
  <c r="U58" i="13"/>
  <c r="P60" i="13"/>
  <c r="H60" i="13"/>
  <c r="F60" i="13"/>
  <c r="G58" i="13"/>
  <c r="Q58" i="13"/>
  <c r="X58" i="13"/>
  <c r="J58" i="13"/>
  <c r="W60" i="13"/>
  <c r="L60" i="13"/>
  <c r="E60" i="13"/>
  <c r="W58" i="13"/>
  <c r="T59" i="13"/>
  <c r="R59" i="13"/>
  <c r="O59" i="13"/>
  <c r="U59" i="13"/>
  <c r="K59" i="13"/>
  <c r="L59" i="13"/>
  <c r="L26" i="13" s="1"/>
  <c r="C59" i="13"/>
  <c r="Q59" i="13"/>
  <c r="P59" i="13"/>
  <c r="I59" i="13"/>
  <c r="N59" i="13"/>
  <c r="G59" i="13"/>
  <c r="W59" i="13"/>
  <c r="V59" i="13"/>
  <c r="X59" i="13"/>
  <c r="S59" i="13"/>
  <c r="E59" i="13"/>
  <c r="H59" i="13"/>
  <c r="M59" i="13"/>
  <c r="J59" i="13"/>
  <c r="F59" i="13"/>
  <c r="V58" i="13"/>
  <c r="P58" i="13"/>
  <c r="D59" i="13"/>
  <c r="X60" i="13"/>
  <c r="S60" i="13"/>
  <c r="T58" i="13"/>
  <c r="K58" i="13"/>
  <c r="N58" i="13"/>
  <c r="U6" i="6"/>
  <c r="U20" i="6"/>
  <c r="U24" i="6"/>
  <c r="U8" i="6"/>
  <c r="U13" i="6"/>
  <c r="U16" i="6"/>
  <c r="U23" i="6"/>
  <c r="U25" i="6"/>
  <c r="U19" i="6"/>
  <c r="U14" i="6"/>
  <c r="U17" i="6"/>
  <c r="U9" i="6"/>
  <c r="U15" i="6"/>
  <c r="U21" i="6"/>
  <c r="U22" i="6"/>
  <c r="U26" i="6"/>
  <c r="U7" i="6"/>
  <c r="U18" i="6"/>
  <c r="U12" i="6"/>
  <c r="U27" i="6"/>
  <c r="U11" i="6"/>
  <c r="U10" i="6"/>
  <c r="D6" i="6"/>
  <c r="D20" i="6"/>
  <c r="D8" i="6"/>
  <c r="D22" i="6"/>
  <c r="D25" i="6"/>
  <c r="D21" i="6"/>
  <c r="D19" i="6"/>
  <c r="D16" i="6"/>
  <c r="D12" i="6"/>
  <c r="D14" i="6"/>
  <c r="D24" i="6"/>
  <c r="D9" i="6"/>
  <c r="D23" i="6"/>
  <c r="D13" i="6"/>
  <c r="D7" i="6"/>
  <c r="D27" i="6"/>
  <c r="D26" i="6"/>
  <c r="D18" i="6"/>
  <c r="D17" i="6"/>
  <c r="D11" i="6"/>
  <c r="D10" i="6"/>
  <c r="D15" i="6"/>
  <c r="H6" i="6"/>
  <c r="V26" i="13" l="1"/>
  <c r="I26" i="13"/>
  <c r="U26" i="13"/>
  <c r="Q26" i="13"/>
  <c r="J26" i="13"/>
  <c r="M26" i="13"/>
  <c r="O26" i="13"/>
  <c r="R26" i="13"/>
  <c r="N26" i="13"/>
  <c r="F26" i="13"/>
  <c r="W26" i="13"/>
  <c r="K26" i="13"/>
  <c r="H26" i="13"/>
  <c r="T26" i="13"/>
  <c r="S26" i="13"/>
  <c r="G26" i="13"/>
  <c r="E26" i="13"/>
  <c r="D26" i="13"/>
  <c r="C26" i="13"/>
  <c r="P26" i="13"/>
  <c r="X26" i="13"/>
  <c r="J6" i="6"/>
  <c r="L6" i="6"/>
  <c r="M6" i="6"/>
  <c r="C2" i="13" l="1" a="1"/>
  <c r="C12" i="13" s="1"/>
  <c r="AF16" i="6" s="1"/>
  <c r="C2" i="17" a="1"/>
  <c r="C5" i="13" l="1"/>
  <c r="AF9" i="6" s="1"/>
  <c r="C14" i="13"/>
  <c r="AF18" i="6" s="1"/>
  <c r="C19" i="13"/>
  <c r="AF23" i="6" s="1"/>
  <c r="C10" i="13"/>
  <c r="AF14" i="6" s="1"/>
  <c r="C13" i="13"/>
  <c r="AF17" i="6" s="1"/>
  <c r="C6" i="13"/>
  <c r="AF10" i="6" s="1"/>
  <c r="C16" i="13"/>
  <c r="AF20" i="6" s="1"/>
  <c r="C23" i="13"/>
  <c r="AF27" i="6" s="1"/>
  <c r="C9" i="13"/>
  <c r="AF13" i="6" s="1"/>
  <c r="C18" i="13"/>
  <c r="AF22" i="6" s="1"/>
  <c r="C22" i="13"/>
  <c r="AF26" i="6" s="1"/>
  <c r="C4" i="13"/>
  <c r="AF8" i="6" s="1"/>
  <c r="C8" i="13"/>
  <c r="AF12" i="6" s="1"/>
  <c r="C7" i="13"/>
  <c r="AF11" i="6" s="1"/>
  <c r="C21" i="13"/>
  <c r="AF25" i="6" s="1"/>
  <c r="C11" i="13"/>
  <c r="AF15" i="6" s="1"/>
  <c r="C2" i="13"/>
  <c r="AF6" i="6" s="1"/>
  <c r="C15" i="13"/>
  <c r="AF19" i="6" s="1"/>
  <c r="C17" i="13"/>
  <c r="AF21" i="6" s="1"/>
  <c r="C3" i="13"/>
  <c r="AF7" i="6" s="1"/>
  <c r="C20" i="13"/>
  <c r="AF24" i="6" s="1"/>
  <c r="C13" i="17"/>
  <c r="AL17" i="6" s="1"/>
  <c r="C14" i="17"/>
  <c r="AL18" i="6" s="1"/>
  <c r="C2" i="17"/>
  <c r="AL6" i="6" s="1"/>
  <c r="C10" i="17"/>
  <c r="AL14" i="6" s="1"/>
  <c r="C12" i="17"/>
  <c r="AL16" i="6" s="1"/>
  <c r="C9" i="17"/>
  <c r="AL13" i="6" s="1"/>
  <c r="C22" i="17"/>
  <c r="AL26" i="6" s="1"/>
  <c r="C11" i="17"/>
  <c r="AL15" i="6" s="1"/>
  <c r="C18" i="17"/>
  <c r="AL22" i="6" s="1"/>
  <c r="C17" i="17"/>
  <c r="AL21" i="6" s="1"/>
  <c r="C19" i="17"/>
  <c r="AL23" i="6" s="1"/>
  <c r="C16" i="17"/>
  <c r="AL20" i="6" s="1"/>
  <c r="C7" i="17"/>
  <c r="AL11" i="6" s="1"/>
  <c r="C20" i="17"/>
  <c r="AL24" i="6" s="1"/>
  <c r="C5" i="17"/>
  <c r="AL9" i="6" s="1"/>
  <c r="C23" i="17"/>
  <c r="AL27" i="6" s="1"/>
  <c r="C8" i="17"/>
  <c r="AL12" i="6" s="1"/>
  <c r="C15" i="17"/>
  <c r="AL19" i="6" s="1"/>
  <c r="C3" i="17"/>
  <c r="AL7" i="6" s="1"/>
  <c r="C6" i="17"/>
  <c r="AL10" i="6" s="1"/>
  <c r="C21" i="17"/>
  <c r="AL25" i="6" s="1"/>
  <c r="C4" i="17"/>
  <c r="AL8" i="6" s="1"/>
  <c r="T26" i="6" l="1"/>
  <c r="I26" i="6" s="1"/>
  <c r="T27" i="6"/>
  <c r="I27" i="6" s="1"/>
  <c r="T25" i="6"/>
  <c r="I25" i="6" s="1"/>
  <c r="T20" i="6"/>
  <c r="I20" i="6" s="1"/>
  <c r="T9" i="6"/>
  <c r="I9" i="6" s="1"/>
  <c r="T21" i="6"/>
  <c r="I21" i="6" s="1"/>
  <c r="T10" i="6"/>
  <c r="I10" i="6" s="1"/>
  <c r="T8" i="6"/>
  <c r="I8" i="6" s="1"/>
  <c r="T11" i="6"/>
  <c r="I11" i="6" s="1"/>
  <c r="T24" i="6"/>
  <c r="I24" i="6" s="1"/>
  <c r="T23" i="6"/>
  <c r="I23" i="6" s="1"/>
  <c r="T19" i="6"/>
  <c r="I19" i="6" s="1"/>
  <c r="T12" i="6"/>
  <c r="I12" i="6" s="1"/>
  <c r="T14" i="6"/>
  <c r="I14" i="6" s="1"/>
  <c r="T6" i="6"/>
  <c r="I6" i="6" s="1"/>
  <c r="T16" i="6"/>
  <c r="I16" i="6" s="1"/>
  <c r="T15" i="6"/>
  <c r="I15" i="6" s="1"/>
  <c r="T13" i="6"/>
  <c r="I13" i="6" s="1"/>
  <c r="T22" i="6"/>
  <c r="I22" i="6" s="1"/>
  <c r="T18" i="6"/>
  <c r="I18" i="6" s="1"/>
  <c r="T17" i="6"/>
  <c r="I17" i="6" s="1"/>
  <c r="T7" i="6"/>
  <c r="I7" i="6" s="1"/>
  <c r="Z19" i="6"/>
  <c r="N19" i="6" s="1"/>
  <c r="W14" i="6"/>
  <c r="K14" i="6" s="1"/>
  <c r="Z21" i="6"/>
  <c r="N21" i="6" s="1"/>
  <c r="Z18" i="6"/>
  <c r="N18" i="6" s="1"/>
  <c r="W18" i="6"/>
  <c r="K18" i="6" s="1"/>
  <c r="Z22" i="6"/>
  <c r="N22" i="6" s="1"/>
  <c r="Z17" i="6"/>
  <c r="N17" i="6" s="1"/>
  <c r="W25" i="6"/>
  <c r="K25" i="6" s="1"/>
  <c r="W15" i="6"/>
  <c r="K15" i="6" s="1"/>
  <c r="Z27" i="6"/>
  <c r="N27" i="6" s="1"/>
  <c r="Z15" i="6"/>
  <c r="N15" i="6" s="1"/>
  <c r="W16" i="6"/>
  <c r="K16" i="6" s="1"/>
  <c r="W7" i="6"/>
  <c r="K7" i="6" s="1"/>
  <c r="W26" i="6"/>
  <c r="K26" i="6" s="1"/>
  <c r="Z9" i="6"/>
  <c r="N9" i="6" s="1"/>
  <c r="Z26" i="6"/>
  <c r="N26" i="6" s="1"/>
  <c r="W9" i="6"/>
  <c r="K9" i="6" s="1"/>
  <c r="W17" i="6"/>
  <c r="K17" i="6" s="1"/>
  <c r="W12" i="6"/>
  <c r="K12" i="6" s="1"/>
  <c r="Z8" i="6"/>
  <c r="N8" i="6" s="1"/>
  <c r="Z24" i="6"/>
  <c r="N24" i="6" s="1"/>
  <c r="Z13" i="6"/>
  <c r="N13" i="6" s="1"/>
  <c r="W13" i="6"/>
  <c r="K13" i="6" s="1"/>
  <c r="W27" i="6"/>
  <c r="K27" i="6" s="1"/>
  <c r="W19" i="6"/>
  <c r="K19" i="6" s="1"/>
  <c r="Z11" i="6"/>
  <c r="N11" i="6" s="1"/>
  <c r="W24" i="6"/>
  <c r="K24" i="6" s="1"/>
  <c r="Z10" i="6"/>
  <c r="N10" i="6" s="1"/>
  <c r="Z20" i="6"/>
  <c r="N20" i="6" s="1"/>
  <c r="Z14" i="6"/>
  <c r="N14" i="6" s="1"/>
  <c r="W22" i="6"/>
  <c r="K22" i="6" s="1"/>
  <c r="W23" i="6"/>
  <c r="K23" i="6" s="1"/>
  <c r="W11" i="6"/>
  <c r="K11" i="6" s="1"/>
  <c r="Z12" i="6"/>
  <c r="N12" i="6" s="1"/>
  <c r="Z25" i="6"/>
  <c r="N25" i="6" s="1"/>
  <c r="Z16" i="6"/>
  <c r="N16" i="6" s="1"/>
  <c r="W21" i="6"/>
  <c r="K21" i="6" s="1"/>
  <c r="W20" i="6"/>
  <c r="K20" i="6" s="1"/>
  <c r="Z7" i="6"/>
  <c r="N7" i="6" s="1"/>
  <c r="Z23" i="6"/>
  <c r="N23" i="6" s="1"/>
  <c r="Z6" i="6"/>
  <c r="N6" i="6" s="1"/>
  <c r="W8" i="6"/>
  <c r="K8" i="6" s="1"/>
  <c r="C8" i="6" s="1"/>
  <c r="E8" i="6" s="1"/>
  <c r="W10" i="6"/>
  <c r="K10" i="6" s="1"/>
  <c r="W6" i="6"/>
  <c r="K6" i="6" s="1"/>
  <c r="C21" i="6" l="1"/>
  <c r="E21" i="6" s="1"/>
  <c r="C18" i="6"/>
  <c r="E18" i="6" s="1"/>
  <c r="C19" i="6"/>
  <c r="E19" i="6" s="1"/>
  <c r="C22" i="6"/>
  <c r="E22" i="6" s="1"/>
  <c r="C14" i="6"/>
  <c r="E14" i="6" s="1"/>
  <c r="C20" i="6"/>
  <c r="E20" i="6" s="1"/>
  <c r="C10" i="6"/>
  <c r="E10" i="6" s="1"/>
  <c r="C24" i="6"/>
  <c r="E24" i="6" s="1"/>
  <c r="C17" i="6"/>
  <c r="E17" i="6" s="1"/>
  <c r="C9" i="6"/>
  <c r="E9" i="6" s="1"/>
  <c r="C15" i="6"/>
  <c r="E15" i="6" s="1"/>
  <c r="C12" i="6"/>
  <c r="E12" i="6" s="1"/>
  <c r="C27" i="6"/>
  <c r="E27" i="6" s="1"/>
  <c r="C25" i="6"/>
  <c r="E25" i="6" s="1"/>
  <c r="C23" i="6"/>
  <c r="E23" i="6" s="1"/>
  <c r="C13" i="6"/>
  <c r="E13" i="6" s="1"/>
  <c r="C26" i="6"/>
  <c r="E26" i="6" s="1"/>
  <c r="C11" i="6"/>
  <c r="E11" i="6" s="1"/>
  <c r="C7" i="6"/>
  <c r="E7" i="6" s="1"/>
  <c r="C6" i="6"/>
  <c r="E6" i="6" s="1"/>
  <c r="C16" i="6"/>
  <c r="E16" i="6" s="1"/>
</calcChain>
</file>

<file path=xl/comments1.xml><?xml version="1.0" encoding="utf-8"?>
<comments xmlns="http://schemas.openxmlformats.org/spreadsheetml/2006/main">
  <authors>
    <author>Karpoff, Alexandra</author>
  </authors>
  <commentList>
    <comment ref="A33" authorId="0" shapeId="0">
      <text>
        <r>
          <rPr>
            <b/>
            <sz val="9"/>
            <color indexed="81"/>
            <rFont val="Tahoma"/>
            <family val="2"/>
          </rPr>
          <t>Karpoff, Alexandra:</t>
        </r>
        <r>
          <rPr>
            <sz val="9"/>
            <color indexed="81"/>
            <rFont val="Tahoma"/>
            <family val="2"/>
          </rPr>
          <t xml:space="preserve">
Will be updated with 2023 EPR portfolios for actual analysis.</t>
        </r>
      </text>
    </comment>
  </commentList>
</comments>
</file>

<file path=xl/sharedStrings.xml><?xml version="1.0" encoding="utf-8"?>
<sst xmlns="http://schemas.openxmlformats.org/spreadsheetml/2006/main" count="1336" uniqueCount="364">
  <si>
    <t>Portfolio</t>
  </si>
  <si>
    <t>Portfolios</t>
  </si>
  <si>
    <t>Description</t>
  </si>
  <si>
    <t>Jobs</t>
  </si>
  <si>
    <t>Average Index</t>
  </si>
  <si>
    <t>Type</t>
  </si>
  <si>
    <t>CO2</t>
  </si>
  <si>
    <t>NOX</t>
  </si>
  <si>
    <t>PM</t>
  </si>
  <si>
    <t>SO2</t>
  </si>
  <si>
    <t>New NG_CCCT</t>
  </si>
  <si>
    <t>New NG_Frame Peaker</t>
  </si>
  <si>
    <t>New NG_Recip Peaker</t>
  </si>
  <si>
    <t>New Wind</t>
  </si>
  <si>
    <t>New MT Wind Eastern</t>
  </si>
  <si>
    <t>New MT Wind Central</t>
  </si>
  <si>
    <t>New MT Wind Option</t>
  </si>
  <si>
    <t>New Wind ID</t>
  </si>
  <si>
    <t>New Wind WY East</t>
  </si>
  <si>
    <t>New Wind WY West</t>
  </si>
  <si>
    <t>New Offshore Wind</t>
  </si>
  <si>
    <t>New Solar WA East</t>
  </si>
  <si>
    <t>New Solar WA West</t>
  </si>
  <si>
    <t>New Solar ID</t>
  </si>
  <si>
    <t>New Solar WY Anticline</t>
  </si>
  <si>
    <t>New Solar WY West</t>
  </si>
  <si>
    <t>New Li-Ion 2hr</t>
  </si>
  <si>
    <t>New Li-Ion 4hr</t>
  </si>
  <si>
    <t xml:space="preserve">New Flow 4hr </t>
  </si>
  <si>
    <t>New Flow 6hr</t>
  </si>
  <si>
    <t>New Pump Storage</t>
  </si>
  <si>
    <t>New DER Storage</t>
  </si>
  <si>
    <t>New Wind + Battery</t>
  </si>
  <si>
    <t>New Solar + Battery</t>
  </si>
  <si>
    <t>New MT Wind + PHSE</t>
  </si>
  <si>
    <t>New Biomass</t>
  </si>
  <si>
    <t>New PPA</t>
  </si>
  <si>
    <t>New DER Grounded</t>
  </si>
  <si>
    <t>New DER Roof</t>
  </si>
  <si>
    <t>New DER Solar PV</t>
  </si>
  <si>
    <t>New Demand Response</t>
  </si>
  <si>
    <t>New Demand-side resource</t>
  </si>
  <si>
    <t>DSM C&amp;S and Solar PV</t>
  </si>
  <si>
    <t>Jobs Added by Technology (Jobs per MW)</t>
  </si>
  <si>
    <t xml:space="preserve">Total: </t>
  </si>
  <si>
    <t>Energy Efficiency</t>
  </si>
  <si>
    <t>Change in Portfolio Cost</t>
  </si>
  <si>
    <t>RFP_BID_1234</t>
  </si>
  <si>
    <t>Summary</t>
  </si>
  <si>
    <t>CBI Indices</t>
  </si>
  <si>
    <t>SO2, Nox, PM Emissions</t>
  </si>
  <si>
    <t>Raw Indices</t>
  </si>
  <si>
    <t>Coal</t>
  </si>
  <si>
    <t>Hydro</t>
  </si>
  <si>
    <t>Geothermal</t>
  </si>
  <si>
    <t>Natural Gas</t>
  </si>
  <si>
    <t>Nuclear</t>
  </si>
  <si>
    <t>Wind</t>
  </si>
  <si>
    <t>CHP</t>
  </si>
  <si>
    <t>Bioenergy</t>
  </si>
  <si>
    <t>Other</t>
  </si>
  <si>
    <t>Oil</t>
  </si>
  <si>
    <t>Notes</t>
  </si>
  <si>
    <t>CBI/$</t>
  </si>
  <si>
    <t>WA</t>
  </si>
  <si>
    <t>Photovoltaic</t>
  </si>
  <si>
    <t>Total</t>
  </si>
  <si>
    <t>Residential</t>
  </si>
  <si>
    <t>Commercial</t>
  </si>
  <si>
    <t>Industrial</t>
  </si>
  <si>
    <t>PV</t>
  </si>
  <si>
    <t>All</t>
  </si>
  <si>
    <t>Transportation</t>
  </si>
  <si>
    <t>USEER 2022 - Employment by Technology</t>
  </si>
  <si>
    <t>USEER 2022 National Report (energy.gov)</t>
  </si>
  <si>
    <t xml:space="preserve">Solar </t>
  </si>
  <si>
    <t>Technology</t>
  </si>
  <si>
    <t>Battery</t>
  </si>
  <si>
    <t>Pumped Hydro</t>
  </si>
  <si>
    <t>2021 Jobs</t>
  </si>
  <si>
    <t>All Other</t>
  </si>
  <si>
    <t>Batteries</t>
  </si>
  <si>
    <t>Coal Integrated Gasification Combined Cycle</t>
  </si>
  <si>
    <t>Conventional Hydroelectric</t>
  </si>
  <si>
    <t>Conventional Steam Coal</t>
  </si>
  <si>
    <t>Flywheels</t>
  </si>
  <si>
    <t>Hydroelectric Pumped Storage</t>
  </si>
  <si>
    <t>Landfill Gas</t>
  </si>
  <si>
    <t>Municipal Solid Waste</t>
  </si>
  <si>
    <t>Natural Gas Fired Combined Cycle</t>
  </si>
  <si>
    <t>Natural Gas Fired Combustion Turbine</t>
  </si>
  <si>
    <t>Natural Gas Internal Combustion Engine</t>
  </si>
  <si>
    <t>Natural Gas Steam Turbine</t>
  </si>
  <si>
    <t>Natural Gas with Compressed Air Storage</t>
  </si>
  <si>
    <t>Offshore Wind Turbine</t>
  </si>
  <si>
    <t>Onshore Wind Turbine</t>
  </si>
  <si>
    <t>Other Gases</t>
  </si>
  <si>
    <t>Other Natural Gas</t>
  </si>
  <si>
    <t>Other Waste Biomass</t>
  </si>
  <si>
    <t>Petroleum Coke</t>
  </si>
  <si>
    <t>Petroleum Liquids</t>
  </si>
  <si>
    <t>Solar Photovoltaic</t>
  </si>
  <si>
    <t>Solar Thermal with Energy Storage</t>
  </si>
  <si>
    <t>Solar Thermal without Energy Storage</t>
  </si>
  <si>
    <t>Wood/Wood Waste Biomass</t>
  </si>
  <si>
    <t>Form EIA-860 detailed data with previous form data (EIA-860A/860B)</t>
  </si>
  <si>
    <t>2021 Nameplate Capacity (MW)</t>
  </si>
  <si>
    <t>Jobs/MW</t>
  </si>
  <si>
    <t>2021 Early Release EIA Form 860 and 2020 Form 861</t>
  </si>
  <si>
    <t>Annual Electric Power Industry Report, Form EIA-861 detailed data files</t>
  </si>
  <si>
    <t>Demand Response Participation by Program (2021 IRP)</t>
  </si>
  <si>
    <t>Program</t>
  </si>
  <si>
    <t>Product Option</t>
  </si>
  <si>
    <t>Winter Achievable Potential (MW)</t>
  </si>
  <si>
    <t>KW/participant</t>
  </si>
  <si>
    <t>Participants (Summer)</t>
  </si>
  <si>
    <t>Residential CPP</t>
  </si>
  <si>
    <t>Res CPP - No Enablement</t>
  </si>
  <si>
    <t>Conversion Factor (MW -&gt; kW)</t>
  </si>
  <si>
    <t>Res CPP - With Enablement</t>
  </si>
  <si>
    <t>Residential DLC Space Heat</t>
  </si>
  <si>
    <t>Res DLC Heat - Switch</t>
  </si>
  <si>
    <t>Res DLC Heat - BYOT</t>
  </si>
  <si>
    <t>Residential DLC Water Heat</t>
  </si>
  <si>
    <t>RES DLC ERWH - Switch</t>
  </si>
  <si>
    <t>RES DLC ERWH - Grid-Enabled</t>
  </si>
  <si>
    <t>RES DLC HPWH - Switch</t>
  </si>
  <si>
    <t>RES DLC HPWH - Grid-Enabled</t>
  </si>
  <si>
    <t>Commercial CPP</t>
  </si>
  <si>
    <t>C&amp;I CPP - No Enablement</t>
  </si>
  <si>
    <t>C&amp;I CPP - With Enablement</t>
  </si>
  <si>
    <t>Commercial DLC Space Heat</t>
  </si>
  <si>
    <t>Small Com DLC Heat - Switch</t>
  </si>
  <si>
    <t>Medium Com DLC Heat - Switch</t>
  </si>
  <si>
    <t>Commercial and Industrial Curtailment</t>
  </si>
  <si>
    <t>C&amp;I Curtailment - Manual</t>
  </si>
  <si>
    <t>C&amp;I Curtailment - AutoDR</t>
  </si>
  <si>
    <t>Residential EVSE</t>
  </si>
  <si>
    <t>Res EV DLC</t>
  </si>
  <si>
    <t>Residential Behavioral</t>
  </si>
  <si>
    <t>Res Behavior DR</t>
  </si>
  <si>
    <t>TOTAL</t>
  </si>
  <si>
    <t>Res</t>
  </si>
  <si>
    <t>Comm</t>
  </si>
  <si>
    <t>Ind</t>
  </si>
  <si>
    <t>Trans</t>
  </si>
  <si>
    <t>DR Peak Capacity (MW)</t>
  </si>
  <si>
    <t>N1</t>
  </si>
  <si>
    <t>N2</t>
  </si>
  <si>
    <t>O1</t>
  </si>
  <si>
    <t>O2</t>
  </si>
  <si>
    <t>P1</t>
  </si>
  <si>
    <t>P2</t>
  </si>
  <si>
    <t>P3</t>
  </si>
  <si>
    <t>V1</t>
  </si>
  <si>
    <t>V2</t>
  </si>
  <si>
    <t>V3</t>
  </si>
  <si>
    <t>AA</t>
  </si>
  <si>
    <t xml:space="preserve">1 </t>
  </si>
  <si>
    <t xml:space="preserve">A </t>
  </si>
  <si>
    <t xml:space="preserve">C </t>
  </si>
  <si>
    <t xml:space="preserve">D </t>
  </si>
  <si>
    <t xml:space="preserve">F </t>
  </si>
  <si>
    <t xml:space="preserve">G </t>
  </si>
  <si>
    <t xml:space="preserve">H </t>
  </si>
  <si>
    <t xml:space="preserve">I </t>
  </si>
  <si>
    <t xml:space="preserve">K </t>
  </si>
  <si>
    <t xml:space="preserve">M </t>
  </si>
  <si>
    <t xml:space="preserve">W </t>
  </si>
  <si>
    <t>Mid</t>
  </si>
  <si>
    <t>Renewable Overgeneration</t>
  </si>
  <si>
    <t>Distributed Transmission</t>
  </si>
  <si>
    <t>Transmission/build constraints - time delayed (option 2)</t>
  </si>
  <si>
    <t>6-Yr DSR Ramp</t>
  </si>
  <si>
    <t>NEI DSR</t>
  </si>
  <si>
    <t>Social Discount DSR</t>
  </si>
  <si>
    <t>SCGHG Dispatch Cost - LTCE Model</t>
  </si>
  <si>
    <t>AR5 Upstream Emissions</t>
  </si>
  <si>
    <t>Alternative Fuel for Peakers - Biodiesel</t>
  </si>
  <si>
    <t xml:space="preserve"> 100% Renewable by 2030 Batteries</t>
  </si>
  <si>
    <t xml:space="preserve"> 100% Renewable by 2030 PSH</t>
  </si>
  <si>
    <t xml:space="preserve"> 100% Renewable by 2045 Batteries</t>
  </si>
  <si>
    <t xml:space="preserve"> 100% Renewable by 2045 PSH</t>
  </si>
  <si>
    <t xml:space="preserve"> No Thermal Before 2030, 2Hr LiIon</t>
  </si>
  <si>
    <t xml:space="preserve"> No Thermal Before 2030, PHES</t>
  </si>
  <si>
    <t xml:space="preserve"> No Thermal Before 2030, 4Hr LiIon</t>
  </si>
  <si>
    <t xml:space="preserve"> Balanced portfolio</t>
  </si>
  <si>
    <t xml:space="preserve"> Balanced portfolio + MT Wind and PSH</t>
  </si>
  <si>
    <t xml:space="preserve"> Balanced portfolio + 6 Year DSR</t>
  </si>
  <si>
    <t>Preferred Portfolio (BP with Biodiesel)</t>
  </si>
  <si>
    <t xml:space="preserve"> MT Wind + PHSE</t>
  </si>
  <si>
    <t>2021 IRP Portfolio ID</t>
  </si>
  <si>
    <t>2021 IRP Portfolio Name</t>
  </si>
  <si>
    <t>NPV 24-yr Portfolio Cost ($)</t>
  </si>
  <si>
    <t>Multiplier</t>
  </si>
  <si>
    <t>AURORA Output ($1000)</t>
  </si>
  <si>
    <t>New Builds</t>
  </si>
  <si>
    <t>Portfolio ID:</t>
  </si>
  <si>
    <t>Total Jobs Added</t>
  </si>
  <si>
    <t>Jobs Added (Total) - Jobs by Tech x Cumulative Capacity</t>
  </si>
  <si>
    <t>Millions of Short Tons</t>
  </si>
  <si>
    <t>DR ELCC =</t>
  </si>
  <si>
    <t>Total DR Participation (Number of Customers)</t>
  </si>
  <si>
    <t>Unit</t>
  </si>
  <si>
    <t>GHG Emissions</t>
  </si>
  <si>
    <t>Reduce greenhouse gas emissions</t>
  </si>
  <si>
    <t>Metric</t>
  </si>
  <si>
    <t>Improved outdoor air quality</t>
  </si>
  <si>
    <t xml:space="preserve">The total sum of  nitrogen oxides emissions produced by a given portfolio over the planning horizon. </t>
  </si>
  <si>
    <t>NOx Emissions</t>
  </si>
  <si>
    <r>
      <t>SO</t>
    </r>
    <r>
      <rPr>
        <vertAlign val="subscript"/>
        <sz val="11"/>
        <color theme="1"/>
        <rFont val="Calibri"/>
        <family val="2"/>
        <scheme val="minor"/>
      </rPr>
      <t>2</t>
    </r>
    <r>
      <rPr>
        <sz val="11"/>
        <color theme="1"/>
        <rFont val="Calibri"/>
        <family val="2"/>
        <scheme val="minor"/>
      </rPr>
      <t xml:space="preserve"> Emissions</t>
    </r>
  </si>
  <si>
    <t xml:space="preserve">The total sum of particulate matter emissions produced by a given portfolio over the planning horizon. </t>
  </si>
  <si>
    <t>PM Emissions</t>
  </si>
  <si>
    <t>Increase in quantity of jobs</t>
  </si>
  <si>
    <t>Improved affordability of clean energy</t>
  </si>
  <si>
    <t>Cost</t>
  </si>
  <si>
    <t>MW</t>
  </si>
  <si>
    <t>DR Peak Capacity</t>
  </si>
  <si>
    <t>Total new participants</t>
  </si>
  <si>
    <t>EE Added (MW)</t>
  </si>
  <si>
    <t>CBI Indicator</t>
  </si>
  <si>
    <t>CBI Metric</t>
  </si>
  <si>
    <t>Aurora Output Metric</t>
  </si>
  <si>
    <r>
      <t>The total sum of greenhouse gas emissions (measured by CO</t>
    </r>
    <r>
      <rPr>
        <vertAlign val="subscript"/>
        <sz val="11"/>
        <color theme="1"/>
        <rFont val="Calibri"/>
        <family val="2"/>
        <scheme val="minor"/>
      </rPr>
      <t xml:space="preserve">2 </t>
    </r>
    <r>
      <rPr>
        <sz val="11"/>
        <color theme="1"/>
        <rFont val="Calibri"/>
        <family val="2"/>
        <scheme val="minor"/>
      </rPr>
      <t>emissions) produced by a given portfolio over the planning horizon.</t>
    </r>
  </si>
  <si>
    <t>Environmental</t>
  </si>
  <si>
    <t>Public Health</t>
  </si>
  <si>
    <t>Energy and Non-Energy Benefits, Reduction of Burdens</t>
  </si>
  <si>
    <t>Desired Change In Metric</t>
  </si>
  <si>
    <t>Decrease</t>
  </si>
  <si>
    <t>Increase</t>
  </si>
  <si>
    <t>Reduction of Risks</t>
  </si>
  <si>
    <t>Increased participation in EE, DER, and DR programs</t>
  </si>
  <si>
    <t>Energy Security and Resiliency</t>
  </si>
  <si>
    <t>Improved access to storage</t>
  </si>
  <si>
    <t>Peak reduction in MW through DR</t>
  </si>
  <si>
    <t>Demand Response Participation</t>
  </si>
  <si>
    <t>DER Storage Participation</t>
  </si>
  <si>
    <t>DER  Solar Participation</t>
  </si>
  <si>
    <t>SO2 from AllEmissions sheet</t>
  </si>
  <si>
    <t>CO2 from AllEmissions sheet</t>
  </si>
  <si>
    <t>PM from AllEmissions sheet</t>
  </si>
  <si>
    <t>NOX from AllEmission sheet</t>
  </si>
  <si>
    <t>Cumulative New Build Capacity (2045),   LTCE Summary_Capacity sheet</t>
  </si>
  <si>
    <t>Revenue Requirement Without Emissions</t>
  </si>
  <si>
    <t>$, Millions</t>
  </si>
  <si>
    <t xml:space="preserve">The total number of jobs associated with each portfolio over the planning horizon. This number was developed by applying a technology-specific jobs/MW metric to the cumulative capacity built for each technology type analyzed in the 2021 IRP, then summing the number of jobs together. PSE developed the jobs/MW metric using data sourced from the U.S Energy and Employment Jobs Report released for 2022 (jobs by technology type), and the 2021 Early Release EIA Form 860 and Form 861 (capacity by technology type). </t>
  </si>
  <si>
    <t>The amount of peak demand ameliorated from implementing demand response (DR) programs by the end of the planning horizon. The cumulative capacity of DR programs for each portfolio is multiplied by the DR ELCC developed for the 2021 IRP (32%) to achieve the final number.</t>
  </si>
  <si>
    <t>Cumulative New Build Capacity (2045),   LTCE Summary_Capacity sheet; DR ELCC</t>
  </si>
  <si>
    <t>Total amount of energy efficiency added over the planning horizon. This is the sum of the cumulative new demand-side resources and DSM codes &amp; standards and solar PV built by the end of the planning period.</t>
  </si>
  <si>
    <t>New Demand Response from Energy sheet; Cadmus Report</t>
  </si>
  <si>
    <t>Jobs 
(Total)</t>
  </si>
  <si>
    <t>Cost 
($, Millions)</t>
  </si>
  <si>
    <t>DR Peak Capacity 
(MW)</t>
  </si>
  <si>
    <t>DER  Solar Participation 
(Total New Participants)</t>
  </si>
  <si>
    <t>DR Participation 
(Total New Participants)</t>
  </si>
  <si>
    <t>DER Storage Participation 
(Total New Participants)</t>
  </si>
  <si>
    <t xml:space="preserve">GHG Emissions </t>
  </si>
  <si>
    <t xml:space="preserve">SO2 Emissions </t>
  </si>
  <si>
    <t xml:space="preserve">NOx Emissions </t>
  </si>
  <si>
    <t xml:space="preserve">PM Emissions </t>
  </si>
  <si>
    <t xml:space="preserve">Jobs </t>
  </si>
  <si>
    <t xml:space="preserve">Cost </t>
  </si>
  <si>
    <t xml:space="preserve">DR Peak Capacity </t>
  </si>
  <si>
    <t xml:space="preserve">DER  Solar Participation </t>
  </si>
  <si>
    <t>DR Participation</t>
  </si>
  <si>
    <t xml:space="preserve">DER Storage Participation </t>
  </si>
  <si>
    <t>AURORA Metrics</t>
  </si>
  <si>
    <t>Data Sources</t>
  </si>
  <si>
    <t>Short Tons</t>
  </si>
  <si>
    <t>GHG Emissions 
(Short Tons)</t>
  </si>
  <si>
    <t>SO2 Emissions 
(Short Tons)</t>
  </si>
  <si>
    <t>NOx Emissions 
(Short Tons)</t>
  </si>
  <si>
    <t>PM Emissions 
(Short Tons)</t>
  </si>
  <si>
    <t>--</t>
  </si>
  <si>
    <t>Expected program participation, CADMUS</t>
  </si>
  <si>
    <t>Total PSE Customers, EIA Form 861, 2020</t>
  </si>
  <si>
    <t>1. CADMUS’ analysis focused on programs aimed at reducing PSE’s winter peak demand</t>
  </si>
  <si>
    <r>
      <t>Participants (Winter)</t>
    </r>
    <r>
      <rPr>
        <b/>
        <vertAlign val="superscript"/>
        <sz val="11"/>
        <color theme="0"/>
        <rFont val="Calibri"/>
        <family val="2"/>
        <scheme val="minor"/>
      </rPr>
      <t>1, 2</t>
    </r>
  </si>
  <si>
    <r>
      <t>Selection by Portfolio</t>
    </r>
    <r>
      <rPr>
        <b/>
        <vertAlign val="superscript"/>
        <sz val="11"/>
        <color theme="1"/>
        <rFont val="Calibri"/>
        <family val="2"/>
        <scheme val="minor"/>
      </rPr>
      <t>3</t>
    </r>
  </si>
  <si>
    <t>Utility Level Data - States</t>
  </si>
  <si>
    <t>Utility Characteristics</t>
  </si>
  <si>
    <t>All Technologies</t>
  </si>
  <si>
    <t/>
  </si>
  <si>
    <t>Capacity MW</t>
  </si>
  <si>
    <t>Customers</t>
  </si>
  <si>
    <t>Storage Capacity (MW)</t>
  </si>
  <si>
    <t>Storage Customers</t>
  </si>
  <si>
    <t>Virtual Capacity (MW)</t>
  </si>
  <si>
    <t>Virtual Customers</t>
  </si>
  <si>
    <t>Energy Sold Back MWh</t>
  </si>
  <si>
    <t>Year</t>
  </si>
  <si>
    <t>Month</t>
  </si>
  <si>
    <t>State</t>
  </si>
  <si>
    <t>Utility Number</t>
  </si>
  <si>
    <t>Utility Name</t>
  </si>
  <si>
    <t>Data Status</t>
  </si>
  <si>
    <t>Puget Sound Energy Inc</t>
  </si>
  <si>
    <t>Preliminary</t>
  </si>
  <si>
    <t>AC</t>
  </si>
  <si>
    <t>.</t>
  </si>
  <si>
    <t xml:space="preserve">Average: </t>
  </si>
  <si>
    <t xml:space="preserve">June 2022 data, released  August 29, 2022 </t>
  </si>
  <si>
    <t>Participants / MW Summary</t>
  </si>
  <si>
    <t>Form EIA-861M Net Metering Data</t>
  </si>
  <si>
    <t>CBI WEIGHT:</t>
  </si>
  <si>
    <t xml:space="preserve"> (Edit This Row) ==&gt;</t>
  </si>
  <si>
    <r>
      <t>Energy Efficiency</t>
    </r>
    <r>
      <rPr>
        <vertAlign val="superscript"/>
        <sz val="11"/>
        <color theme="1"/>
        <rFont val="Calibri"/>
        <family val="2"/>
        <scheme val="minor"/>
      </rPr>
      <t>1</t>
    </r>
  </si>
  <si>
    <t>1. From EIA 861, 2020</t>
  </si>
  <si>
    <r>
      <t>Demand Response</t>
    </r>
    <r>
      <rPr>
        <vertAlign val="superscript"/>
        <sz val="11"/>
        <color theme="1"/>
        <rFont val="Calibri"/>
        <family val="2"/>
        <scheme val="minor"/>
      </rPr>
      <t>1</t>
    </r>
  </si>
  <si>
    <t>Map
(For Aligning with Job Catagories)</t>
  </si>
  <si>
    <t>Sum Nameplate Capacity 
(MW)</t>
  </si>
  <si>
    <t>1. Consolidated "Advanced Natural Gas" and "Natural Gas" catagories into a single catagory</t>
  </si>
  <si>
    <t>2. Consolidated "Traditional Hydro" and "Low Impact Hydro" into single catagory</t>
  </si>
  <si>
    <r>
      <t>Technology</t>
    </r>
    <r>
      <rPr>
        <b/>
        <vertAlign val="superscript"/>
        <sz val="11"/>
        <color theme="0"/>
        <rFont val="Calibri"/>
        <family val="2"/>
        <scheme val="minor"/>
      </rPr>
      <t>1,2,3</t>
    </r>
  </si>
  <si>
    <t>3. Energy Efficency includes Demand Response (DR) as well</t>
  </si>
  <si>
    <t>2021 IRP New Resources</t>
  </si>
  <si>
    <t>Map 
(For Assigning Job/MW Metric)</t>
  </si>
  <si>
    <t>Create Jobs/MW Metric</t>
  </si>
  <si>
    <t xml:space="preserve">Assign Jobs/MW Metric to Each New Resource </t>
  </si>
  <si>
    <t>Jobs per Megawatt (MW) Metric Development</t>
  </si>
  <si>
    <t>Data Sources:</t>
  </si>
  <si>
    <t>2021 IRP New Resources (Generic) Technologies</t>
  </si>
  <si>
    <t>Calculated field</t>
  </si>
  <si>
    <t>Data input cells</t>
  </si>
  <si>
    <t>2020 Form 861</t>
  </si>
  <si>
    <t>Notes:</t>
  </si>
  <si>
    <t>Total National Capacity by Technology, 2021</t>
  </si>
  <si>
    <t>Total National Employment by Technology, 2021</t>
  </si>
  <si>
    <t>2023 Progress Report: Customer Benefit Indicator (CBI) Assessment Tool</t>
  </si>
  <si>
    <t>CBI Metric Descriptions</t>
  </si>
  <si>
    <t>This workbook provides a tool to evaluate the Customer Benefit Indicators (CBIs) associated with different portfolio options modeled in the 2023 Electric Progress Report (2023 EPR). The tool converts raw AURORA output into indices, allowing PSE staff and stakeholders to more easily assess the relative CBIs in each portfolio, and provides a decision-making framework.</t>
  </si>
  <si>
    <t>Introduction</t>
  </si>
  <si>
    <t>The indices for each CBI metric are a modified z-score, where the base (least-cost, CETA compliant) portfolio is set to equal 0, and the standard deviation of each individual metric is calculated using data from all portfolios evaluated during a resource planning cycle. A positive index indicates the CBI metric is relatively better than the base portfolio, while a negative index indicates the CBI is worse than the base portfolio. The magnitude of the index specifies how much better or worse an individual CBI metric is relative to the base portfolio CBI metric.</t>
  </si>
  <si>
    <t>Workbook Interaction</t>
  </si>
  <si>
    <t xml:space="preserve">CBI WEIGHTS: </t>
  </si>
  <si>
    <t xml:space="preserve">The CBIs in this workbook are evaluated equally by default. However, each CBI metric can be assigned a different weight in the CBI Calculator. As the weights change, the relative benefits may change as well and can be visualized in the Cost Benefit Chart. </t>
  </si>
  <si>
    <t>Portfolio Descriptions</t>
  </si>
  <si>
    <t>Portfolio ID</t>
  </si>
  <si>
    <t>2021 IRP Appendix E</t>
  </si>
  <si>
    <t>EIA (U.S Energy Information Administration), 2021 Early Release Form 860</t>
  </si>
  <si>
    <t>EIA 2020 Form 861</t>
  </si>
  <si>
    <t>USEER (U.S. Energy &amp; Employment Jobs Report), 2022 - Employment by Technology</t>
  </si>
  <si>
    <t>2021 IRP (Integrated Resource Plan) New Resources (Generic) Technologies</t>
  </si>
  <si>
    <t>Source</t>
  </si>
  <si>
    <t>Link</t>
  </si>
  <si>
    <t>CADMUS Group, Conservation Potential Assessment and Demand Response Assessment</t>
  </si>
  <si>
    <t>2021 IRP Appendix D</t>
  </si>
  <si>
    <t>EIA 2022 Form 861M Net Metering Data</t>
  </si>
  <si>
    <t>Form EIA-861M (formerly EIA-826) detailed data</t>
  </si>
  <si>
    <t xml:space="preserve">The 'DecisionTool_Chart' sheet provides a summary of the results of the CBI Assessment Tool. Portfolios which are plotted further to the right achieve greater CBI impact. Portfolios which are plotted lower are less costly. Therefore, the most desirable portfolios will be found in the lower, right area of the chart. </t>
  </si>
  <si>
    <t xml:space="preserve">The total sum of sulfur dioxide emissions produced by a given portfolio over the planning horizon. </t>
  </si>
  <si>
    <t xml:space="preserve">The net present value (NPV) of a given portfolio cost over the planning horizon. Note this metric is not carried through into an Index. Instead it is incorporated into the analysis as a stand alone parameter. </t>
  </si>
  <si>
    <t xml:space="preserve">The total number of customers participating in solar distributed energy resources (DER) programs (i.e.. living in residences with rooftop solar panels) added over the planning horizon. This number was developed by applying a customers/MW metric to the cumulative capacity built for new DER Ground, Roof, and Solar PV resources by the end of the planning period. This customers/MW metric was calculated using EIA Form 861M. </t>
  </si>
  <si>
    <t>Energy Efficiency Added</t>
  </si>
  <si>
    <t xml:space="preserve">Total number of residential costumers participating in demand response programs over the planning horizon. Data sourced from the Conservation Potential Assessment and Demand Response Assessment developed for the 2021 IRP by the Cadmus Group. </t>
  </si>
  <si>
    <t xml:space="preserve">Total number of residential costumers participating in battery storage distributed energy resources (DER) programs added over the planning horizon. This number was developed by applying a customers/MW metric to the cumulative capacity built for new DER Storage resources by the end of the planning period. This customers/MW metric was calculated using EIA Form 861M. </t>
  </si>
  <si>
    <t xml:space="preserve">Energy Efficiency Added </t>
  </si>
  <si>
    <t>Energy Efficiency Added 
(MW)</t>
  </si>
  <si>
    <t>Cumulative Capacity (MW)</t>
  </si>
  <si>
    <t>Summer Achievable Potential (MW)</t>
  </si>
  <si>
    <t xml:space="preserve">2. For programs with no calculated kW/participant, the number of participants expected in the program is sourced from applying the expected number of participants to the total number of PSE customers. </t>
  </si>
  <si>
    <t xml:space="preserve">3. Current calculation assumes any DR program opportunity will be filled with a new customer, likely over stating the number of customers who participate in *any* DR program. </t>
  </si>
  <si>
    <t>DER Storage Participation (# of Participants)</t>
  </si>
  <si>
    <t>PSE developed this tool for potential use in the 2023 EPR and/or future IRP cycles, and tested the methodology using the twenty-two portfolios evaluated in the 2021 Integrated Resource Plan (IRP). This tool presents the methods, calculations, and data sources. However, all input data (highlighted orange) is considered test data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</si>
</sst>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4" formatCode="_(&quot;$&quot;* #,##0.00_);_(&quot;$&quot;* \(#,##0.00\);_(&quot;$&quot;* &quot;-&quot;??_);_(@_)"/>
    <numFmt numFmtId="43" formatCode="_(* #,##0.00_);_(* \(#,##0.00\);_(* &quot;-&quot;??_);_(@_)"/>
    <numFmt numFmtId="164" formatCode="_(* #,##0_);_(* \(#,##0\);_(* &quot;-&quot;??_);_(@_)"/>
    <numFmt numFmtId="165" formatCode="0.0"/>
    <numFmt numFmtId="166" formatCode="_(* #,##0.0_);_(* \(#,##0.0\);_(* &quot;-&quot;??_);_(@_)"/>
    <numFmt numFmtId="167" formatCode="#,##0.000"/>
    <numFmt numFmtId="168" formatCode="_(&quot;$&quot;* #,##0_);_(&quot;$&quot;* \(#,##0\);_(&quot;$&quot;* &quot;-&quot;??_);_(@_)"/>
  </numFmts>
  <fonts count="35" x14ac:knownFonts="1">
    <font>
      <sz val="11"/>
      <color theme="1"/>
      <name val="Calibri"/>
      <family val="2"/>
      <scheme val="minor"/>
    </font>
    <font>
      <sz val="11"/>
      <color theme="1"/>
      <name val="Calibri"/>
      <family val="2"/>
      <scheme val="minor"/>
    </font>
    <font>
      <b/>
      <sz val="11"/>
      <color theme="1"/>
      <name val="Calibri"/>
      <family val="2"/>
      <scheme val="minor"/>
    </font>
    <font>
      <b/>
      <sz val="11"/>
      <name val="Calibri"/>
      <family val="2"/>
    </font>
    <font>
      <b/>
      <sz val="11"/>
      <color theme="1"/>
      <name val="Calibri"/>
      <family val="2"/>
    </font>
    <font>
      <sz val="9"/>
      <color indexed="81"/>
      <name val="Tahoma"/>
      <family val="2"/>
    </font>
    <font>
      <b/>
      <sz val="9"/>
      <color indexed="81"/>
      <name val="Tahoma"/>
      <family val="2"/>
    </font>
    <font>
      <u/>
      <sz val="11"/>
      <color theme="10"/>
      <name val="Calibri"/>
      <family val="2"/>
      <scheme val="minor"/>
    </font>
    <font>
      <sz val="11"/>
      <color theme="1"/>
      <name val="Arial"/>
      <family val="2"/>
    </font>
    <font>
      <sz val="10"/>
      <name val="Arial"/>
      <family val="2"/>
    </font>
    <font>
      <b/>
      <sz val="13"/>
      <color theme="3"/>
      <name val="Calibri"/>
      <family val="2"/>
      <scheme val="minor"/>
    </font>
    <font>
      <sz val="11"/>
      <name val="Calibri"/>
      <family val="2"/>
      <scheme val="minor"/>
    </font>
    <font>
      <sz val="11"/>
      <color rgb="FFFF0000"/>
      <name val="Calibri"/>
      <family val="2"/>
      <scheme val="minor"/>
    </font>
    <font>
      <i/>
      <sz val="11"/>
      <color theme="1"/>
      <name val="Calibri"/>
      <family val="2"/>
      <scheme val="minor"/>
    </font>
    <font>
      <b/>
      <sz val="18"/>
      <color theme="1"/>
      <name val="Calibri"/>
      <family val="2"/>
      <scheme val="minor"/>
    </font>
    <font>
      <b/>
      <sz val="11"/>
      <name val="Calibri"/>
      <family val="2"/>
      <scheme val="minor"/>
    </font>
    <font>
      <b/>
      <i/>
      <sz val="11"/>
      <color theme="1"/>
      <name val="Calibri"/>
      <family val="2"/>
      <scheme val="minor"/>
    </font>
    <font>
      <b/>
      <sz val="11"/>
      <color theme="0"/>
      <name val="Calibri"/>
      <family val="2"/>
      <scheme val="minor"/>
    </font>
    <font>
      <vertAlign val="subscript"/>
      <sz val="11"/>
      <color theme="1"/>
      <name val="Calibri"/>
      <family val="2"/>
      <scheme val="minor"/>
    </font>
    <font>
      <b/>
      <sz val="12"/>
      <color theme="1"/>
      <name val="Calibri"/>
      <family val="2"/>
      <scheme val="minor"/>
    </font>
    <font>
      <b/>
      <sz val="20"/>
      <color theme="1"/>
      <name val="Calibri"/>
      <family val="2"/>
      <scheme val="minor"/>
    </font>
    <font>
      <sz val="20"/>
      <color theme="1"/>
      <name val="Calibri"/>
      <family val="2"/>
      <scheme val="minor"/>
    </font>
    <font>
      <sz val="20"/>
      <color rgb="FFFF0000"/>
      <name val="Calibri"/>
      <family val="2"/>
      <scheme val="minor"/>
    </font>
    <font>
      <b/>
      <sz val="13"/>
      <name val="Calibri"/>
      <family val="2"/>
      <scheme val="minor"/>
    </font>
    <font>
      <b/>
      <vertAlign val="superscript"/>
      <sz val="11"/>
      <color theme="0"/>
      <name val="Calibri"/>
      <family val="2"/>
      <scheme val="minor"/>
    </font>
    <font>
      <b/>
      <vertAlign val="superscript"/>
      <sz val="11"/>
      <color theme="1"/>
      <name val="Calibri"/>
      <family val="2"/>
      <scheme val="minor"/>
    </font>
    <font>
      <b/>
      <sz val="11"/>
      <color indexed="8"/>
      <name val="Calibri"/>
      <family val="2"/>
      <scheme val="minor"/>
    </font>
    <font>
      <sz val="11"/>
      <color indexed="8"/>
      <name val="Calibri"/>
      <family val="2"/>
      <scheme val="minor"/>
    </font>
    <font>
      <b/>
      <sz val="12"/>
      <name val="Calibri"/>
      <family val="2"/>
      <scheme val="minor"/>
    </font>
    <font>
      <sz val="11"/>
      <color indexed="30"/>
      <name val="Arial"/>
      <family val="2"/>
    </font>
    <font>
      <vertAlign val="superscript"/>
      <sz val="11"/>
      <color theme="1"/>
      <name val="Calibri"/>
      <family val="2"/>
      <scheme val="minor"/>
    </font>
    <font>
      <sz val="9"/>
      <color theme="1"/>
      <name val="Calibri"/>
      <family val="2"/>
      <scheme val="minor"/>
    </font>
    <font>
      <sz val="16"/>
      <color theme="1"/>
      <name val="Calibri"/>
      <family val="2"/>
      <scheme val="minor"/>
    </font>
    <font>
      <u/>
      <sz val="9"/>
      <color theme="10"/>
      <name val="Calibri"/>
      <family val="2"/>
      <scheme val="minor"/>
    </font>
    <font>
      <sz val="24"/>
      <color theme="1"/>
      <name val="Calibri"/>
      <family val="2"/>
      <scheme val="minor"/>
    </font>
  </fonts>
  <fills count="18">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FFCC"/>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59999389629810485"/>
        <bgColor indexed="65"/>
      </patternFill>
    </fill>
    <fill>
      <patternFill patternType="solid">
        <fgColor theme="9" tint="0.79998168889431442"/>
        <bgColor indexed="65"/>
      </patternFill>
    </fill>
    <fill>
      <patternFill patternType="solid">
        <fgColor theme="0" tint="-4.9989318521683403E-2"/>
        <bgColor indexed="64"/>
      </patternFill>
    </fill>
    <fill>
      <patternFill patternType="solid">
        <fgColor rgb="FF006671"/>
        <bgColor indexed="64"/>
      </patternFill>
    </fill>
    <fill>
      <patternFill patternType="solid">
        <fgColor rgb="FF58C3B4"/>
        <bgColor indexed="64"/>
      </patternFill>
    </fill>
    <fill>
      <patternFill patternType="solid">
        <fgColor rgb="FFC3E7E3"/>
        <bgColor indexed="64"/>
      </patternFill>
    </fill>
    <fill>
      <patternFill patternType="solid">
        <fgColor rgb="FF668B53"/>
        <bgColor indexed="64"/>
      </patternFill>
    </fill>
    <fill>
      <patternFill patternType="solid">
        <fgColor rgb="FF9CADB7"/>
        <bgColor indexed="64"/>
      </patternFill>
    </fill>
    <fill>
      <patternFill patternType="solid">
        <fgColor rgb="FFEEC28D"/>
        <bgColor indexed="64"/>
      </patternFill>
    </fill>
    <fill>
      <patternFill patternType="solid">
        <fgColor rgb="FFFFFFFF"/>
        <bgColor indexed="64"/>
      </patternFill>
    </fill>
  </fills>
  <borders count="18">
    <border>
      <left/>
      <right/>
      <top/>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indexed="64"/>
      </left>
      <right/>
      <top/>
      <bottom/>
      <diagonal/>
    </border>
    <border>
      <left/>
      <right/>
      <top/>
      <bottom style="thick">
        <color theme="4" tint="0.499984740745262"/>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14">
    <xf numFmtId="0" fontId="0" fillId="0" borderId="0"/>
    <xf numFmtId="43" fontId="1" fillId="0" borderId="0" applyFont="0" applyFill="0" applyBorder="0" applyAlignment="0" applyProtection="0"/>
    <xf numFmtId="0" fontId="7" fillId="0" borderId="0" applyNumberFormat="0" applyFill="0" applyBorder="0" applyAlignment="0" applyProtection="0"/>
    <xf numFmtId="0" fontId="1" fillId="0" borderId="0"/>
    <xf numFmtId="0" fontId="10" fillId="0" borderId="4" applyNumberFormat="0" applyFill="0" applyAlignment="0" applyProtection="0"/>
    <xf numFmtId="0" fontId="1" fillId="4" borderId="5" applyNumberFormat="0" applyFont="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43" fontId="9" fillId="0" borderId="0"/>
    <xf numFmtId="44" fontId="1" fillId="0" borderId="0" applyFont="0" applyFill="0" applyBorder="0" applyAlignment="0" applyProtection="0"/>
    <xf numFmtId="9" fontId="1" fillId="0" borderId="0" applyFont="0" applyFill="0" applyBorder="0" applyAlignment="0" applyProtection="0"/>
  </cellStyleXfs>
  <cellXfs count="297">
    <xf numFmtId="0" fontId="0" fillId="0" borderId="0" xfId="0"/>
    <xf numFmtId="0" fontId="0" fillId="0" borderId="0" xfId="0" applyAlignment="1">
      <alignment wrapText="1"/>
    </xf>
    <xf numFmtId="0" fontId="0" fillId="0" borderId="3" xfId="0" applyBorder="1"/>
    <xf numFmtId="164" fontId="0" fillId="0" borderId="0" xfId="0" applyNumberFormat="1"/>
    <xf numFmtId="0" fontId="0" fillId="0" borderId="0" xfId="0" applyFont="1"/>
    <xf numFmtId="0" fontId="0" fillId="0" borderId="0" xfId="0" applyFont="1" applyFill="1"/>
    <xf numFmtId="0" fontId="2" fillId="0" borderId="0" xfId="0" applyFont="1"/>
    <xf numFmtId="43" fontId="0" fillId="0" borderId="0" xfId="0" applyNumberFormat="1"/>
    <xf numFmtId="0" fontId="0" fillId="0" borderId="0" xfId="0" applyFill="1"/>
    <xf numFmtId="0" fontId="0" fillId="10" borderId="2" xfId="0" applyFill="1" applyBorder="1"/>
    <xf numFmtId="0" fontId="0" fillId="0" borderId="0" xfId="0" applyBorder="1"/>
    <xf numFmtId="2" fontId="11" fillId="0" borderId="0" xfId="0" applyNumberFormat="1" applyFont="1"/>
    <xf numFmtId="0" fontId="11" fillId="0" borderId="0" xfId="0" applyFont="1"/>
    <xf numFmtId="0" fontId="2" fillId="0" borderId="0" xfId="0" applyFont="1" applyBorder="1"/>
    <xf numFmtId="0" fontId="0" fillId="0" borderId="0" xfId="0" quotePrefix="1" applyBorder="1"/>
    <xf numFmtId="0" fontId="12" fillId="0" borderId="0" xfId="0" applyFont="1"/>
    <xf numFmtId="164" fontId="12" fillId="0" borderId="0" xfId="1" applyNumberFormat="1" applyFont="1"/>
    <xf numFmtId="0" fontId="0" fillId="0" borderId="0" xfId="0" applyAlignment="1">
      <alignment horizontal="center" wrapText="1"/>
    </xf>
    <xf numFmtId="0" fontId="0" fillId="0" borderId="0" xfId="0" applyAlignment="1">
      <alignment horizontal="center" vertical="center"/>
    </xf>
    <xf numFmtId="164" fontId="12" fillId="0" borderId="0" xfId="1" applyNumberFormat="1" applyFont="1" applyAlignment="1">
      <alignment horizontal="left"/>
    </xf>
    <xf numFmtId="0" fontId="0" fillId="0" borderId="0" xfId="0" applyAlignment="1">
      <alignment horizontal="left"/>
    </xf>
    <xf numFmtId="165" fontId="0" fillId="0" borderId="0" xfId="0" applyNumberFormat="1" applyBorder="1"/>
    <xf numFmtId="0" fontId="0" fillId="0" borderId="1" xfId="0" applyFill="1" applyBorder="1"/>
    <xf numFmtId="0" fontId="4" fillId="0" borderId="1" xfId="0" applyFont="1" applyBorder="1"/>
    <xf numFmtId="0" fontId="2" fillId="0" borderId="14"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5" xfId="0" applyFont="1" applyBorder="1" applyAlignment="1">
      <alignment horizontal="center" vertical="center" wrapText="1"/>
    </xf>
    <xf numFmtId="0" fontId="0" fillId="0" borderId="3" xfId="0" applyFill="1" applyBorder="1" applyAlignment="1">
      <alignment horizontal="right"/>
    </xf>
    <xf numFmtId="0" fontId="0" fillId="0" borderId="0" xfId="0" applyFill="1" applyBorder="1"/>
    <xf numFmtId="0" fontId="0" fillId="0" borderId="10" xfId="0" applyBorder="1"/>
    <xf numFmtId="0" fontId="0" fillId="0" borderId="12" xfId="0" applyFill="1" applyBorder="1" applyAlignment="1">
      <alignment horizontal="right"/>
    </xf>
    <xf numFmtId="0" fontId="0" fillId="0" borderId="9" xfId="0" applyBorder="1"/>
    <xf numFmtId="0" fontId="2" fillId="0" borderId="6" xfId="0" applyFont="1" applyBorder="1"/>
    <xf numFmtId="0" fontId="0" fillId="0" borderId="7" xfId="0" applyBorder="1"/>
    <xf numFmtId="0" fontId="0" fillId="0" borderId="16" xfId="0" applyBorder="1"/>
    <xf numFmtId="0" fontId="0" fillId="0" borderId="13" xfId="0" applyBorder="1"/>
    <xf numFmtId="0" fontId="0" fillId="0" borderId="0" xfId="0" applyFill="1" applyBorder="1" applyAlignment="1">
      <alignment horizontal="right"/>
    </xf>
    <xf numFmtId="0" fontId="0" fillId="0" borderId="17" xfId="0" applyBorder="1"/>
    <xf numFmtId="0" fontId="4" fillId="0" borderId="9" xfId="0" applyFont="1" applyBorder="1"/>
    <xf numFmtId="0" fontId="2" fillId="0" borderId="8" xfId="0" applyFont="1" applyBorder="1"/>
    <xf numFmtId="0" fontId="2" fillId="0" borderId="9" xfId="0" applyFont="1" applyBorder="1"/>
    <xf numFmtId="0" fontId="14" fillId="0" borderId="0" xfId="0" applyFont="1" applyFill="1" applyBorder="1" applyAlignment="1">
      <alignment horizontal="left" vertical="center"/>
    </xf>
    <xf numFmtId="0" fontId="2" fillId="0" borderId="2" xfId="0" applyFont="1" applyBorder="1" applyAlignment="1">
      <alignment horizontal="center" vertical="center" wrapText="1"/>
    </xf>
    <xf numFmtId="0" fontId="0" fillId="0" borderId="10" xfId="0" applyFill="1" applyBorder="1"/>
    <xf numFmtId="0" fontId="0" fillId="0" borderId="9" xfId="0" applyFill="1" applyBorder="1"/>
    <xf numFmtId="0" fontId="2" fillId="0" borderId="14" xfId="0" applyFont="1" applyBorder="1" applyAlignment="1">
      <alignment horizontal="center" wrapText="1"/>
    </xf>
    <xf numFmtId="0" fontId="2" fillId="0" borderId="11" xfId="0" applyFont="1" applyBorder="1" applyAlignment="1">
      <alignment horizontal="center" wrapText="1"/>
    </xf>
    <xf numFmtId="0" fontId="2" fillId="0" borderId="15" xfId="0" applyFont="1" applyBorder="1" applyAlignment="1">
      <alignment horizontal="center" wrapText="1"/>
    </xf>
    <xf numFmtId="164" fontId="0" fillId="0" borderId="0" xfId="1" applyNumberFormat="1" applyFont="1" applyBorder="1"/>
    <xf numFmtId="164" fontId="0" fillId="0" borderId="1" xfId="1" applyNumberFormat="1" applyFont="1" applyBorder="1"/>
    <xf numFmtId="0" fontId="2" fillId="0" borderId="0" xfId="0" applyFont="1" applyBorder="1" applyAlignment="1">
      <alignment horizontal="right"/>
    </xf>
    <xf numFmtId="0" fontId="4" fillId="0" borderId="14" xfId="0" applyFont="1" applyBorder="1"/>
    <xf numFmtId="0" fontId="2" fillId="0" borderId="11" xfId="0" applyFont="1" applyFill="1" applyBorder="1" applyAlignment="1">
      <alignment horizontal="center"/>
    </xf>
    <xf numFmtId="0" fontId="2" fillId="0" borderId="15" xfId="0" applyFont="1" applyFill="1" applyBorder="1" applyAlignment="1">
      <alignment horizontal="center"/>
    </xf>
    <xf numFmtId="0" fontId="0" fillId="0" borderId="3" xfId="0" applyBorder="1" applyAlignment="1">
      <alignment horizontal="left" wrapText="1" indent="1"/>
    </xf>
    <xf numFmtId="0" fontId="0" fillId="0" borderId="12" xfId="0" applyBorder="1" applyAlignment="1">
      <alignment horizontal="left" wrapText="1" indent="1"/>
    </xf>
    <xf numFmtId="0" fontId="0" fillId="0" borderId="2" xfId="0" applyBorder="1"/>
    <xf numFmtId="0" fontId="13" fillId="0" borderId="14" xfId="0" applyFont="1" applyFill="1" applyBorder="1" applyAlignment="1">
      <alignment horizontal="left" wrapText="1" indent="1"/>
    </xf>
    <xf numFmtId="0" fontId="13" fillId="0" borderId="0" xfId="0" applyFont="1" applyFill="1"/>
    <xf numFmtId="0" fontId="11" fillId="0" borderId="0" xfId="0" applyFont="1" applyFill="1"/>
    <xf numFmtId="0" fontId="2" fillId="0" borderId="14" xfId="0" applyFont="1" applyFill="1" applyBorder="1" applyAlignment="1">
      <alignment horizontal="center"/>
    </xf>
    <xf numFmtId="0" fontId="0" fillId="0" borderId="3" xfId="0" applyFill="1" applyBorder="1"/>
    <xf numFmtId="0" fontId="0" fillId="0" borderId="12" xfId="0" applyFill="1" applyBorder="1"/>
    <xf numFmtId="0" fontId="2" fillId="2" borderId="2" xfId="0" applyFont="1" applyFill="1" applyBorder="1" applyAlignment="1">
      <alignment wrapText="1"/>
    </xf>
    <xf numFmtId="0" fontId="2" fillId="2" borderId="14" xfId="0" applyFont="1" applyFill="1" applyBorder="1" applyAlignment="1">
      <alignment wrapText="1"/>
    </xf>
    <xf numFmtId="0" fontId="2" fillId="2" borderId="15" xfId="0" applyFont="1" applyFill="1" applyBorder="1" applyAlignment="1">
      <alignment wrapText="1"/>
    </xf>
    <xf numFmtId="0" fontId="0" fillId="0" borderId="14" xfId="0" applyBorder="1"/>
    <xf numFmtId="0" fontId="0" fillId="0" borderId="15" xfId="0" applyBorder="1"/>
    <xf numFmtId="168" fontId="0" fillId="0" borderId="2" xfId="12" applyNumberFormat="1" applyFont="1" applyBorder="1"/>
    <xf numFmtId="0" fontId="0" fillId="0" borderId="2" xfId="0" applyBorder="1" applyAlignment="1">
      <alignment wrapText="1"/>
    </xf>
    <xf numFmtId="0" fontId="17" fillId="11" borderId="2" xfId="0" applyFont="1" applyFill="1" applyBorder="1" applyAlignment="1">
      <alignment horizontal="center" vertical="center" wrapText="1"/>
    </xf>
    <xf numFmtId="0" fontId="11" fillId="0" borderId="2" xfId="0" applyFont="1" applyFill="1" applyBorder="1" applyAlignment="1">
      <alignment wrapText="1"/>
    </xf>
    <xf numFmtId="164" fontId="11" fillId="0" borderId="2" xfId="1" applyNumberFormat="1" applyFont="1" applyFill="1" applyBorder="1"/>
    <xf numFmtId="0" fontId="17" fillId="11" borderId="2" xfId="0" applyFont="1" applyFill="1" applyBorder="1" applyAlignment="1">
      <alignment horizontal="center" wrapText="1"/>
    </xf>
    <xf numFmtId="0" fontId="11" fillId="0" borderId="2" xfId="0" applyFont="1" applyFill="1" applyBorder="1"/>
    <xf numFmtId="0" fontId="0" fillId="0" borderId="2" xfId="0" applyFill="1" applyBorder="1"/>
    <xf numFmtId="0" fontId="17" fillId="11" borderId="2" xfId="0" applyFont="1" applyFill="1" applyBorder="1" applyAlignment="1">
      <alignment horizontal="center"/>
    </xf>
    <xf numFmtId="0" fontId="20" fillId="3" borderId="0" xfId="0" applyFont="1" applyFill="1"/>
    <xf numFmtId="9" fontId="20" fillId="3" borderId="0" xfId="0" applyNumberFormat="1" applyFont="1" applyFill="1"/>
    <xf numFmtId="0" fontId="21" fillId="3" borderId="0" xfId="0" applyFont="1" applyFill="1"/>
    <xf numFmtId="0" fontId="21" fillId="3" borderId="0" xfId="0" applyFont="1" applyFill="1" applyBorder="1"/>
    <xf numFmtId="0" fontId="21" fillId="3" borderId="0" xfId="0" applyFont="1" applyFill="1" applyBorder="1" applyAlignment="1">
      <alignment wrapText="1"/>
    </xf>
    <xf numFmtId="0" fontId="22" fillId="3" borderId="0" xfId="0" applyFont="1" applyFill="1"/>
    <xf numFmtId="0" fontId="2" fillId="3" borderId="0" xfId="0" applyFont="1" applyFill="1"/>
    <xf numFmtId="0" fontId="0" fillId="3" borderId="0" xfId="0" applyFill="1"/>
    <xf numFmtId="0" fontId="2" fillId="3" borderId="0" xfId="0" applyFont="1" applyFill="1" applyBorder="1"/>
    <xf numFmtId="0" fontId="0" fillId="3" borderId="0" xfId="0" applyFill="1" applyBorder="1"/>
    <xf numFmtId="0" fontId="0" fillId="3" borderId="0" xfId="0" applyFill="1" applyBorder="1" applyAlignment="1">
      <alignment wrapText="1"/>
    </xf>
    <xf numFmtId="0" fontId="17" fillId="11" borderId="2" xfId="0" applyFont="1" applyFill="1" applyBorder="1" applyAlignment="1">
      <alignment horizontal="center" vertical="center"/>
    </xf>
    <xf numFmtId="0" fontId="0" fillId="0" borderId="0" xfId="0" applyFill="1" applyAlignment="1">
      <alignment horizontal="center" vertical="center"/>
    </xf>
    <xf numFmtId="0" fontId="15" fillId="13" borderId="2" xfId="0" applyFont="1" applyFill="1" applyBorder="1" applyAlignment="1">
      <alignment horizontal="center" vertical="center" wrapText="1"/>
    </xf>
    <xf numFmtId="0" fontId="17" fillId="14" borderId="2" xfId="0" applyFont="1" applyFill="1" applyBorder="1" applyAlignment="1">
      <alignment horizontal="center" vertical="center" wrapText="1"/>
    </xf>
    <xf numFmtId="0" fontId="0" fillId="0" borderId="8" xfId="0" applyFill="1" applyBorder="1" applyAlignment="1">
      <alignment horizontal="left" wrapText="1" indent="1"/>
    </xf>
    <xf numFmtId="0" fontId="0" fillId="0" borderId="10" xfId="0" applyFill="1" applyBorder="1" applyAlignment="1">
      <alignment horizontal="left" wrapText="1" indent="1"/>
    </xf>
    <xf numFmtId="0" fontId="0" fillId="0" borderId="9" xfId="0" applyFill="1" applyBorder="1" applyAlignment="1">
      <alignment horizontal="left" wrapText="1" indent="1"/>
    </xf>
    <xf numFmtId="0" fontId="2" fillId="0" borderId="0" xfId="0" applyFont="1" applyFill="1" applyBorder="1"/>
    <xf numFmtId="1" fontId="0" fillId="15" borderId="0" xfId="0" applyNumberFormat="1" applyFill="1" applyBorder="1"/>
    <xf numFmtId="1" fontId="0" fillId="15" borderId="13" xfId="0" applyNumberFormat="1" applyFill="1" applyBorder="1"/>
    <xf numFmtId="0" fontId="0" fillId="15" borderId="12" xfId="0" applyFill="1" applyBorder="1"/>
    <xf numFmtId="0" fontId="0" fillId="15" borderId="1" xfId="0" applyFill="1" applyBorder="1"/>
    <xf numFmtId="0" fontId="0" fillId="15" borderId="17" xfId="0" applyFill="1" applyBorder="1"/>
    <xf numFmtId="164" fontId="0" fillId="15" borderId="0" xfId="1" applyNumberFormat="1" applyFont="1" applyFill="1" applyBorder="1"/>
    <xf numFmtId="164" fontId="0" fillId="15" borderId="1" xfId="1" applyNumberFormat="1" applyFont="1" applyFill="1" applyBorder="1"/>
    <xf numFmtId="0" fontId="17" fillId="11" borderId="2" xfId="9" applyFont="1" applyFill="1" applyBorder="1" applyAlignment="1">
      <alignment wrapText="1"/>
    </xf>
    <xf numFmtId="2" fontId="17" fillId="11" borderId="2" xfId="9" applyNumberFormat="1" applyFont="1" applyFill="1" applyBorder="1" applyAlignment="1">
      <alignment wrapText="1"/>
    </xf>
    <xf numFmtId="0" fontId="0" fillId="0" borderId="2" xfId="0" applyFill="1" applyBorder="1" applyAlignment="1">
      <alignment wrapText="1"/>
    </xf>
    <xf numFmtId="0" fontId="0" fillId="0" borderId="2" xfId="0" applyFill="1" applyBorder="1"/>
    <xf numFmtId="0" fontId="1" fillId="0" borderId="2" xfId="6" applyFill="1" applyBorder="1"/>
    <xf numFmtId="0" fontId="1" fillId="0" borderId="2" xfId="8" applyFill="1" applyBorder="1"/>
    <xf numFmtId="0" fontId="1" fillId="0" borderId="2" xfId="9" applyFill="1" applyBorder="1"/>
    <xf numFmtId="2" fontId="11" fillId="0" borderId="0" xfId="0" applyNumberFormat="1" applyFont="1" applyFill="1"/>
    <xf numFmtId="0" fontId="0" fillId="0" borderId="2" xfId="9" applyFont="1" applyFill="1" applyBorder="1"/>
    <xf numFmtId="0" fontId="23" fillId="0" borderId="6" xfId="4" applyFont="1" applyFill="1" applyBorder="1"/>
    <xf numFmtId="0" fontId="23" fillId="0" borderId="7" xfId="4" applyFont="1" applyFill="1" applyBorder="1"/>
    <xf numFmtId="0" fontId="0" fillId="0" borderId="2" xfId="0" applyFill="1" applyBorder="1" applyAlignment="1">
      <alignment horizontal="left" wrapText="1" indent="1"/>
    </xf>
    <xf numFmtId="0" fontId="0" fillId="0" borderId="6" xfId="0" applyFill="1" applyBorder="1" applyAlignment="1">
      <alignment horizontal="left" wrapText="1" indent="1"/>
    </xf>
    <xf numFmtId="0" fontId="0" fillId="0" borderId="12" xfId="0" applyFill="1" applyBorder="1" applyAlignment="1">
      <alignment horizontal="left" wrapText="1" indent="1"/>
    </xf>
    <xf numFmtId="0" fontId="0" fillId="0" borderId="14" xfId="0" applyFill="1" applyBorder="1" applyAlignment="1">
      <alignment horizontal="left" wrapText="1" indent="1"/>
    </xf>
    <xf numFmtId="0" fontId="2" fillId="0" borderId="5" xfId="5" applyFont="1" applyFill="1"/>
    <xf numFmtId="0" fontId="17" fillId="11" borderId="9" xfId="0" applyFont="1" applyFill="1" applyBorder="1" applyAlignment="1">
      <alignment horizontal="center" vertical="center" wrapText="1"/>
    </xf>
    <xf numFmtId="0" fontId="15" fillId="12" borderId="9" xfId="0" applyFont="1" applyFill="1" applyBorder="1" applyAlignment="1">
      <alignment horizontal="center" vertical="center" wrapText="1"/>
    </xf>
    <xf numFmtId="0" fontId="2" fillId="3" borderId="12" xfId="0" applyFont="1" applyFill="1" applyBorder="1" applyAlignment="1">
      <alignment horizontal="right"/>
    </xf>
    <xf numFmtId="0" fontId="2" fillId="3" borderId="1" xfId="0" applyFont="1" applyFill="1" applyBorder="1"/>
    <xf numFmtId="0" fontId="0" fillId="3" borderId="7" xfId="0" applyFill="1" applyBorder="1"/>
    <xf numFmtId="0" fontId="0" fillId="3" borderId="1" xfId="0" applyFill="1" applyBorder="1"/>
    <xf numFmtId="164" fontId="0" fillId="15" borderId="13" xfId="1" applyNumberFormat="1" applyFont="1" applyFill="1" applyBorder="1"/>
    <xf numFmtId="164" fontId="0" fillId="15" borderId="17" xfId="1" applyNumberFormat="1" applyFont="1" applyFill="1" applyBorder="1"/>
    <xf numFmtId="0" fontId="15" fillId="0" borderId="6" xfId="0" applyFont="1" applyFill="1" applyBorder="1"/>
    <xf numFmtId="0" fontId="15" fillId="3" borderId="7" xfId="0" applyFont="1" applyFill="1" applyBorder="1" applyAlignment="1">
      <alignment horizontal="left"/>
    </xf>
    <xf numFmtId="0" fontId="15" fillId="3" borderId="7" xfId="0" applyFont="1" applyFill="1" applyBorder="1"/>
    <xf numFmtId="0" fontId="15" fillId="3" borderId="16" xfId="0" applyFont="1" applyFill="1" applyBorder="1"/>
    <xf numFmtId="0" fontId="2" fillId="0" borderId="12" xfId="0" applyFont="1" applyFill="1" applyBorder="1" applyAlignment="1">
      <alignment horizontal="right"/>
    </xf>
    <xf numFmtId="0" fontId="2" fillId="0" borderId="1" xfId="0" applyFont="1" applyFill="1" applyBorder="1" applyAlignment="1">
      <alignment horizontal="right"/>
    </xf>
    <xf numFmtId="0" fontId="2" fillId="0" borderId="17" xfId="0" applyFont="1" applyFill="1" applyBorder="1" applyAlignment="1">
      <alignment horizontal="right"/>
    </xf>
    <xf numFmtId="0" fontId="3" fillId="0" borderId="14" xfId="0" applyNumberFormat="1" applyFont="1" applyBorder="1" applyAlignment="1">
      <alignment horizontal="right"/>
    </xf>
    <xf numFmtId="0" fontId="2" fillId="0" borderId="11" xfId="0" applyFont="1" applyBorder="1" applyAlignment="1">
      <alignment horizontal="right"/>
    </xf>
    <xf numFmtId="2" fontId="3" fillId="0" borderId="11" xfId="0" applyNumberFormat="1" applyFont="1" applyBorder="1" applyAlignment="1">
      <alignment horizontal="right"/>
    </xf>
    <xf numFmtId="0" fontId="2" fillId="0" borderId="15" xfId="0" applyFont="1" applyBorder="1" applyAlignment="1">
      <alignment horizontal="right"/>
    </xf>
    <xf numFmtId="0" fontId="2" fillId="16" borderId="1" xfId="0" applyFont="1" applyFill="1" applyBorder="1"/>
    <xf numFmtId="0" fontId="2" fillId="16" borderId="17" xfId="0" applyFont="1" applyFill="1" applyBorder="1"/>
    <xf numFmtId="164" fontId="0" fillId="16" borderId="3" xfId="1" applyNumberFormat="1" applyFont="1" applyFill="1" applyBorder="1"/>
    <xf numFmtId="164" fontId="0" fillId="16" borderId="0" xfId="1" applyNumberFormat="1" applyFont="1" applyFill="1" applyBorder="1"/>
    <xf numFmtId="164" fontId="0" fillId="16" borderId="13" xfId="1" applyNumberFormat="1" applyFont="1" applyFill="1" applyBorder="1"/>
    <xf numFmtId="164" fontId="0" fillId="16" borderId="12" xfId="1" applyNumberFormat="1" applyFont="1" applyFill="1" applyBorder="1"/>
    <xf numFmtId="164" fontId="0" fillId="16" borderId="1" xfId="1" applyNumberFormat="1" applyFont="1" applyFill="1" applyBorder="1"/>
    <xf numFmtId="164" fontId="0" fillId="16" borderId="17" xfId="1" applyNumberFormat="1" applyFont="1" applyFill="1" applyBorder="1"/>
    <xf numFmtId="1" fontId="0" fillId="16" borderId="3" xfId="0" applyNumberFormat="1" applyFill="1" applyBorder="1"/>
    <xf numFmtId="0" fontId="0" fillId="16" borderId="0" xfId="0" applyFill="1" applyBorder="1"/>
    <xf numFmtId="1" fontId="0" fillId="16" borderId="0" xfId="0" applyNumberFormat="1" applyFill="1" applyBorder="1"/>
    <xf numFmtId="1" fontId="0" fillId="16" borderId="13" xfId="0" applyNumberFormat="1" applyFill="1" applyBorder="1"/>
    <xf numFmtId="0" fontId="0" fillId="16" borderId="3" xfId="0" applyFill="1" applyBorder="1"/>
    <xf numFmtId="0" fontId="0" fillId="16" borderId="13" xfId="0" applyFill="1" applyBorder="1"/>
    <xf numFmtId="164" fontId="16" fillId="15" borderId="14" xfId="1" applyNumberFormat="1" applyFont="1" applyFill="1" applyBorder="1"/>
    <xf numFmtId="164" fontId="16" fillId="15" borderId="11" xfId="1" applyNumberFormat="1" applyFont="1" applyFill="1" applyBorder="1"/>
    <xf numFmtId="164" fontId="16" fillId="15" borderId="15" xfId="1" applyNumberFormat="1" applyFont="1" applyFill="1" applyBorder="1"/>
    <xf numFmtId="165" fontId="0" fillId="15" borderId="3" xfId="0" applyNumberFormat="1" applyFill="1" applyBorder="1"/>
    <xf numFmtId="165" fontId="0" fillId="15" borderId="0" xfId="0" applyNumberFormat="1" applyFill="1" applyBorder="1"/>
    <xf numFmtId="165" fontId="0" fillId="15" borderId="13" xfId="0" applyNumberFormat="1" applyFill="1" applyBorder="1"/>
    <xf numFmtId="165" fontId="0" fillId="15" borderId="17" xfId="0" applyNumberFormat="1" applyFill="1" applyBorder="1"/>
    <xf numFmtId="164" fontId="13" fillId="15" borderId="11" xfId="1" applyNumberFormat="1" applyFont="1" applyFill="1" applyBorder="1"/>
    <xf numFmtId="164" fontId="13" fillId="15" borderId="15" xfId="1" applyNumberFormat="1" applyFont="1" applyFill="1" applyBorder="1"/>
    <xf numFmtId="1" fontId="0" fillId="15" borderId="17" xfId="0" applyNumberFormat="1" applyFill="1" applyBorder="1"/>
    <xf numFmtId="0" fontId="2" fillId="0" borderId="11" xfId="0" applyFont="1" applyFill="1" applyBorder="1" applyAlignment="1">
      <alignment horizontal="right"/>
    </xf>
    <xf numFmtId="0" fontId="2" fillId="0" borderId="15" xfId="0" applyFont="1" applyFill="1" applyBorder="1" applyAlignment="1">
      <alignment horizontal="right"/>
    </xf>
    <xf numFmtId="0" fontId="11" fillId="0" borderId="3" xfId="0" applyFont="1" applyBorder="1"/>
    <xf numFmtId="164" fontId="11" fillId="0" borderId="0" xfId="1" applyNumberFormat="1" applyFont="1" applyBorder="1"/>
    <xf numFmtId="164" fontId="11" fillId="0" borderId="2" xfId="1" applyNumberFormat="1" applyFont="1" applyFill="1" applyBorder="1" applyAlignment="1">
      <alignment horizontal="right"/>
    </xf>
    <xf numFmtId="0" fontId="1" fillId="0" borderId="2" xfId="6" applyFill="1" applyBorder="1" applyAlignment="1">
      <alignment horizontal="right"/>
    </xf>
    <xf numFmtId="0" fontId="1" fillId="0" borderId="2" xfId="8" applyFill="1" applyBorder="1" applyAlignment="1">
      <alignment horizontal="right"/>
    </xf>
    <xf numFmtId="0" fontId="0" fillId="0" borderId="2" xfId="0" applyFill="1" applyBorder="1" applyAlignment="1">
      <alignment horizontal="right"/>
    </xf>
    <xf numFmtId="0" fontId="1" fillId="0" borderId="2" xfId="7" applyFill="1" applyBorder="1"/>
    <xf numFmtId="0" fontId="1" fillId="0" borderId="2" xfId="7" applyFill="1" applyBorder="1" applyAlignment="1">
      <alignment horizontal="right"/>
    </xf>
    <xf numFmtId="0" fontId="1" fillId="0" borderId="2" xfId="10" applyFill="1" applyBorder="1"/>
    <xf numFmtId="0" fontId="1" fillId="0" borderId="2" xfId="10" applyFill="1" applyBorder="1" applyAlignment="1">
      <alignment horizontal="right"/>
    </xf>
    <xf numFmtId="43" fontId="11" fillId="0" borderId="2" xfId="1" applyNumberFormat="1" applyFont="1" applyFill="1" applyBorder="1" applyAlignment="1">
      <alignment horizontal="right"/>
    </xf>
    <xf numFmtId="164" fontId="11" fillId="0" borderId="13" xfId="1" applyNumberFormat="1" applyFont="1" applyBorder="1"/>
    <xf numFmtId="0" fontId="0" fillId="0" borderId="1" xfId="0" quotePrefix="1" applyBorder="1" applyAlignment="1">
      <alignment horizontal="right"/>
    </xf>
    <xf numFmtId="2" fontId="11" fillId="0" borderId="17" xfId="0" quotePrefix="1" applyNumberFormat="1" applyFont="1" applyBorder="1" applyAlignment="1">
      <alignment horizontal="right"/>
    </xf>
    <xf numFmtId="0" fontId="0" fillId="0" borderId="2" xfId="7" quotePrefix="1" applyFont="1" applyFill="1" applyBorder="1" applyAlignment="1">
      <alignment horizontal="right"/>
    </xf>
    <xf numFmtId="2" fontId="11" fillId="15" borderId="2" xfId="0" applyNumberFormat="1" applyFont="1" applyFill="1" applyBorder="1"/>
    <xf numFmtId="164" fontId="11" fillId="15" borderId="2" xfId="0" applyNumberFormat="1" applyFont="1" applyFill="1" applyBorder="1"/>
    <xf numFmtId="166" fontId="11" fillId="15" borderId="2" xfId="0" applyNumberFormat="1" applyFont="1" applyFill="1" applyBorder="1"/>
    <xf numFmtId="2" fontId="0" fillId="15" borderId="2" xfId="0" applyNumberFormat="1" applyFill="1" applyBorder="1"/>
    <xf numFmtId="164" fontId="0" fillId="15" borderId="2" xfId="0" applyNumberFormat="1" applyFill="1" applyBorder="1"/>
    <xf numFmtId="165" fontId="11" fillId="15" borderId="2" xfId="0" applyNumberFormat="1" applyFont="1" applyFill="1" applyBorder="1"/>
    <xf numFmtId="165" fontId="0" fillId="15" borderId="2" xfId="0" applyNumberFormat="1" applyFill="1" applyBorder="1"/>
    <xf numFmtId="164" fontId="11" fillId="15" borderId="2" xfId="1" applyNumberFormat="1" applyFont="1" applyFill="1" applyBorder="1"/>
    <xf numFmtId="164" fontId="0" fillId="15" borderId="2" xfId="1" applyNumberFormat="1" applyFont="1" applyFill="1" applyBorder="1"/>
    <xf numFmtId="9" fontId="0" fillId="0" borderId="1" xfId="13" applyFont="1" applyFill="1" applyBorder="1"/>
    <xf numFmtId="0" fontId="0" fillId="0" borderId="0" xfId="0" quotePrefix="1" applyFill="1" applyBorder="1"/>
    <xf numFmtId="0" fontId="2" fillId="3" borderId="17" xfId="0" applyFont="1" applyFill="1" applyBorder="1" applyAlignment="1">
      <alignment horizontal="right"/>
    </xf>
    <xf numFmtId="0" fontId="2" fillId="3" borderId="6" xfId="0" applyFont="1" applyFill="1" applyBorder="1" applyAlignment="1">
      <alignment horizontal="right"/>
    </xf>
    <xf numFmtId="1" fontId="13" fillId="0" borderId="3" xfId="0" applyNumberFormat="1" applyFont="1" applyBorder="1" applyAlignment="1">
      <alignment horizontal="right"/>
    </xf>
    <xf numFmtId="1" fontId="13" fillId="0" borderId="0" xfId="0" applyNumberFormat="1" applyFont="1" applyBorder="1" applyAlignment="1">
      <alignment horizontal="right"/>
    </xf>
    <xf numFmtId="1" fontId="13" fillId="0" borderId="13" xfId="0" applyNumberFormat="1" applyFont="1" applyBorder="1" applyAlignment="1">
      <alignment horizontal="right"/>
    </xf>
    <xf numFmtId="2" fontId="0" fillId="15" borderId="1" xfId="0" applyNumberFormat="1" applyFill="1" applyBorder="1"/>
    <xf numFmtId="2" fontId="0" fillId="15" borderId="17" xfId="0" applyNumberFormat="1" applyFill="1" applyBorder="1"/>
    <xf numFmtId="2" fontId="13" fillId="15" borderId="11" xfId="0" applyNumberFormat="1" applyFont="1" applyFill="1" applyBorder="1"/>
    <xf numFmtId="2" fontId="13" fillId="15" borderId="15" xfId="0" applyNumberFormat="1" applyFont="1" applyFill="1" applyBorder="1"/>
    <xf numFmtId="0" fontId="26" fillId="17" borderId="2" xfId="0" applyNumberFormat="1" applyFont="1" applyFill="1" applyBorder="1" applyAlignment="1" applyProtection="1">
      <alignment horizontal="center" vertical="center" wrapText="1"/>
    </xf>
    <xf numFmtId="0" fontId="27" fillId="0" borderId="2" xfId="0" applyNumberFormat="1" applyFont="1" applyFill="1" applyBorder="1" applyAlignment="1" applyProtection="1">
      <alignment horizontal="left" wrapText="1"/>
    </xf>
    <xf numFmtId="0" fontId="27" fillId="0" borderId="2" xfId="0" applyNumberFormat="1" applyFont="1" applyFill="1" applyBorder="1" applyAlignment="1" applyProtection="1">
      <alignment horizontal="left"/>
    </xf>
    <xf numFmtId="167" fontId="26" fillId="0" borderId="2" xfId="0" applyNumberFormat="1" applyFont="1" applyFill="1" applyBorder="1" applyAlignment="1" applyProtection="1">
      <alignment horizontal="center" vertical="center" wrapText="1"/>
    </xf>
    <xf numFmtId="3" fontId="26" fillId="0" borderId="2" xfId="0" applyNumberFormat="1" applyFont="1" applyFill="1" applyBorder="1" applyAlignment="1" applyProtection="1">
      <alignment horizontal="center" vertical="center" wrapText="1"/>
    </xf>
    <xf numFmtId="167" fontId="27" fillId="0" borderId="2" xfId="0" applyNumberFormat="1" applyFont="1" applyFill="1" applyBorder="1" applyAlignment="1" applyProtection="1">
      <alignment horizontal="center" wrapText="1"/>
    </xf>
    <xf numFmtId="167" fontId="27" fillId="0" borderId="2" xfId="0" applyNumberFormat="1" applyFont="1" applyFill="1" applyBorder="1" applyAlignment="1" applyProtection="1">
      <alignment horizontal="right" wrapText="1"/>
    </xf>
    <xf numFmtId="3" fontId="27" fillId="0" borderId="2" xfId="0" applyNumberFormat="1" applyFont="1" applyFill="1" applyBorder="1" applyAlignment="1" applyProtection="1">
      <alignment horizontal="right" wrapText="1"/>
    </xf>
    <xf numFmtId="167" fontId="27" fillId="0" borderId="2" xfId="0" applyNumberFormat="1" applyFont="1" applyFill="1" applyBorder="1" applyAlignment="1" applyProtection="1">
      <alignment horizontal="left" wrapText="1"/>
    </xf>
    <xf numFmtId="0" fontId="0" fillId="0" borderId="0" xfId="0" applyNumberFormat="1" applyFont="1" applyFill="1" applyBorder="1" applyAlignment="1" applyProtection="1"/>
    <xf numFmtId="167" fontId="26" fillId="15" borderId="2" xfId="0" applyNumberFormat="1" applyFont="1" applyFill="1" applyBorder="1" applyAlignment="1" applyProtection="1">
      <alignment horizontal="center" wrapText="1"/>
    </xf>
    <xf numFmtId="167" fontId="0" fillId="15" borderId="2" xfId="0" applyNumberFormat="1" applyFont="1" applyFill="1" applyBorder="1" applyAlignment="1" applyProtection="1"/>
    <xf numFmtId="3" fontId="0" fillId="15" borderId="2" xfId="0" applyNumberFormat="1" applyFont="1" applyFill="1" applyBorder="1" applyAlignment="1" applyProtection="1"/>
    <xf numFmtId="0" fontId="19" fillId="0" borderId="0" xfId="0" applyFont="1"/>
    <xf numFmtId="0" fontId="28" fillId="0" borderId="0" xfId="0" applyNumberFormat="1" applyFont="1" applyFill="1" applyBorder="1" applyAlignment="1" applyProtection="1"/>
    <xf numFmtId="0" fontId="11" fillId="0" borderId="0" xfId="0" applyNumberFormat="1" applyFont="1" applyFill="1" applyBorder="1" applyAlignment="1" applyProtection="1"/>
    <xf numFmtId="0" fontId="29" fillId="0" borderId="0" xfId="0" applyNumberFormat="1" applyFont="1" applyFill="1" applyBorder="1" applyAlignment="1" applyProtection="1">
      <alignment wrapText="1"/>
    </xf>
    <xf numFmtId="0" fontId="17" fillId="11" borderId="2" xfId="0" applyFont="1" applyFill="1" applyBorder="1"/>
    <xf numFmtId="1" fontId="0" fillId="15" borderId="2" xfId="0" applyNumberFormat="1" applyFill="1" applyBorder="1"/>
    <xf numFmtId="0" fontId="2" fillId="3" borderId="7" xfId="0" applyFont="1" applyFill="1" applyBorder="1" applyAlignment="1">
      <alignment horizontal="left" wrapText="1"/>
    </xf>
    <xf numFmtId="0" fontId="0" fillId="3" borderId="16" xfId="0" applyFill="1" applyBorder="1"/>
    <xf numFmtId="0" fontId="2" fillId="16" borderId="12" xfId="0" applyFont="1" applyFill="1" applyBorder="1"/>
    <xf numFmtId="0" fontId="2" fillId="15" borderId="14" xfId="0" applyFont="1" applyFill="1" applyBorder="1"/>
    <xf numFmtId="0" fontId="2" fillId="15" borderId="11" xfId="0" applyFont="1" applyFill="1" applyBorder="1"/>
    <xf numFmtId="0" fontId="2" fillId="15" borderId="15" xfId="0" applyFont="1" applyFill="1" applyBorder="1"/>
    <xf numFmtId="0" fontId="0" fillId="0" borderId="2" xfId="0" applyBorder="1" applyAlignment="1">
      <alignment horizontal="left" indent="1"/>
    </xf>
    <xf numFmtId="0" fontId="2" fillId="0" borderId="7" xfId="0" applyFont="1" applyFill="1" applyBorder="1"/>
    <xf numFmtId="0" fontId="31" fillId="0" borderId="0" xfId="0" applyFont="1" applyAlignment="1"/>
    <xf numFmtId="0" fontId="31" fillId="0" borderId="0" xfId="0" applyFont="1"/>
    <xf numFmtId="1" fontId="0" fillId="16" borderId="2" xfId="0" applyNumberFormat="1" applyFill="1" applyBorder="1" applyAlignment="1">
      <alignment horizontal="right" indent="1"/>
    </xf>
    <xf numFmtId="164" fontId="0" fillId="16" borderId="2" xfId="1" applyNumberFormat="1" applyFont="1" applyFill="1" applyBorder="1"/>
    <xf numFmtId="43" fontId="0" fillId="15" borderId="2" xfId="0" applyNumberFormat="1" applyFill="1" applyBorder="1" applyAlignment="1">
      <alignment horizontal="right"/>
    </xf>
    <xf numFmtId="43" fontId="0" fillId="15" borderId="2" xfId="0" quotePrefix="1" applyNumberFormat="1" applyFill="1" applyBorder="1" applyAlignment="1">
      <alignment horizontal="right"/>
    </xf>
    <xf numFmtId="164" fontId="0" fillId="0" borderId="7" xfId="1" applyNumberFormat="1" applyFont="1" applyFill="1" applyBorder="1"/>
    <xf numFmtId="0" fontId="28" fillId="0" borderId="0" xfId="0" applyFont="1"/>
    <xf numFmtId="0" fontId="32" fillId="0" borderId="0" xfId="0" applyFont="1"/>
    <xf numFmtId="0" fontId="0" fillId="16" borderId="2" xfId="0" applyFont="1" applyFill="1" applyBorder="1"/>
    <xf numFmtId="0" fontId="0" fillId="15" borderId="2" xfId="0" applyFont="1" applyFill="1" applyBorder="1"/>
    <xf numFmtId="0" fontId="33" fillId="0" borderId="0" xfId="2" applyFont="1"/>
    <xf numFmtId="0" fontId="14" fillId="3" borderId="0" xfId="0" applyFont="1" applyFill="1"/>
    <xf numFmtId="0" fontId="14" fillId="3" borderId="0" xfId="0" applyFont="1" applyFill="1" applyBorder="1"/>
    <xf numFmtId="0" fontId="0" fillId="3" borderId="7" xfId="0" applyFont="1" applyFill="1" applyBorder="1"/>
    <xf numFmtId="0" fontId="0" fillId="3" borderId="0" xfId="0" applyFont="1" applyFill="1" applyBorder="1"/>
    <xf numFmtId="0" fontId="0" fillId="3" borderId="13" xfId="0" applyFill="1" applyBorder="1"/>
    <xf numFmtId="0" fontId="0" fillId="3" borderId="3" xfId="0" applyFill="1" applyBorder="1"/>
    <xf numFmtId="0" fontId="0" fillId="3" borderId="12" xfId="0" applyFill="1" applyBorder="1"/>
    <xf numFmtId="0" fontId="0" fillId="3" borderId="17" xfId="0" applyFill="1" applyBorder="1"/>
    <xf numFmtId="0" fontId="0" fillId="0" borderId="2" xfId="0" applyFont="1" applyBorder="1" applyAlignment="1">
      <alignment wrapText="1"/>
    </xf>
    <xf numFmtId="0" fontId="7" fillId="0" borderId="2" xfId="2" applyBorder="1" applyAlignment="1">
      <alignment wrapText="1"/>
    </xf>
    <xf numFmtId="0" fontId="7" fillId="0" borderId="2" xfId="2" applyFont="1" applyBorder="1" applyAlignment="1">
      <alignment wrapText="1"/>
    </xf>
    <xf numFmtId="0" fontId="8" fillId="0" borderId="0" xfId="0" applyFont="1" applyBorder="1" applyAlignment="1">
      <alignment horizontal="left" vertical="center" indent="2" readingOrder="1"/>
    </xf>
    <xf numFmtId="0" fontId="0" fillId="0" borderId="0" xfId="0" applyFill="1" applyBorder="1" applyAlignment="1">
      <alignment wrapText="1"/>
    </xf>
    <xf numFmtId="0" fontId="0" fillId="0" borderId="0" xfId="0" applyFill="1" applyBorder="1" applyAlignment="1">
      <alignment vertical="center" wrapText="1"/>
    </xf>
    <xf numFmtId="0" fontId="0" fillId="0" borderId="0" xfId="0" applyFill="1" applyBorder="1" applyAlignment="1">
      <alignment horizontal="left" vertical="center" wrapText="1"/>
    </xf>
    <xf numFmtId="0" fontId="17" fillId="0" borderId="0" xfId="0" applyFont="1" applyFill="1" applyBorder="1" applyAlignment="1">
      <alignment horizontal="center" vertical="center" wrapText="1"/>
    </xf>
    <xf numFmtId="0" fontId="13" fillId="0" borderId="0" xfId="0" applyFont="1" applyFill="1" applyBorder="1"/>
    <xf numFmtId="0" fontId="34" fillId="3" borderId="6" xfId="0" applyFont="1" applyFill="1" applyBorder="1"/>
    <xf numFmtId="0" fontId="0" fillId="3" borderId="3" xfId="0" applyFont="1" applyFill="1" applyBorder="1"/>
    <xf numFmtId="14" fontId="14" fillId="3" borderId="3" xfId="0" applyNumberFormat="1" applyFont="1" applyFill="1" applyBorder="1"/>
    <xf numFmtId="0" fontId="14" fillId="3" borderId="3" xfId="0" applyFont="1" applyFill="1" applyBorder="1"/>
    <xf numFmtId="0" fontId="14" fillId="0" borderId="3" xfId="0" applyFont="1" applyBorder="1"/>
    <xf numFmtId="0" fontId="28" fillId="3" borderId="3" xfId="0" applyNumberFormat="1" applyFont="1" applyFill="1" applyBorder="1" applyAlignment="1" applyProtection="1"/>
    <xf numFmtId="0" fontId="11" fillId="3" borderId="3" xfId="0" applyNumberFormat="1" applyFont="1" applyFill="1" applyBorder="1" applyAlignment="1" applyProtection="1"/>
    <xf numFmtId="0" fontId="0" fillId="3" borderId="3" xfId="0" applyFill="1" applyBorder="1" applyAlignment="1">
      <alignment horizontal="right" vertical="top"/>
    </xf>
    <xf numFmtId="0" fontId="0" fillId="3" borderId="0" xfId="0" applyFill="1" applyBorder="1" applyAlignment="1">
      <alignment horizontal="left" wrapText="1"/>
    </xf>
    <xf numFmtId="0" fontId="0" fillId="3" borderId="13" xfId="0" applyFill="1" applyBorder="1" applyAlignment="1">
      <alignment horizontal="left" wrapText="1"/>
    </xf>
    <xf numFmtId="0" fontId="0" fillId="3" borderId="6" xfId="0" applyFill="1" applyBorder="1" applyAlignment="1">
      <alignment horizontal="left" vertical="center" wrapText="1"/>
    </xf>
    <xf numFmtId="0" fontId="0" fillId="3" borderId="7" xfId="0" applyFill="1" applyBorder="1" applyAlignment="1">
      <alignment horizontal="left" vertical="center" wrapText="1"/>
    </xf>
    <xf numFmtId="0" fontId="0" fillId="3" borderId="16" xfId="0" applyFill="1" applyBorder="1" applyAlignment="1">
      <alignment horizontal="left" vertical="center" wrapText="1"/>
    </xf>
    <xf numFmtId="0" fontId="0" fillId="3" borderId="3" xfId="0" applyFill="1" applyBorder="1" applyAlignment="1">
      <alignment horizontal="left" vertical="center" wrapText="1"/>
    </xf>
    <xf numFmtId="0" fontId="0" fillId="3" borderId="0" xfId="0" applyFill="1" applyBorder="1" applyAlignment="1">
      <alignment horizontal="left" vertical="center" wrapText="1"/>
    </xf>
    <xf numFmtId="0" fontId="0" fillId="3" borderId="13" xfId="0" applyFill="1" applyBorder="1" applyAlignment="1">
      <alignment horizontal="left" vertical="center" wrapText="1"/>
    </xf>
    <xf numFmtId="0" fontId="0" fillId="3" borderId="12" xfId="0" applyFill="1" applyBorder="1" applyAlignment="1">
      <alignment horizontal="left" vertical="center" wrapText="1"/>
    </xf>
    <xf numFmtId="0" fontId="0" fillId="3" borderId="1" xfId="0" applyFill="1" applyBorder="1" applyAlignment="1">
      <alignment horizontal="left" vertical="center" wrapText="1"/>
    </xf>
    <xf numFmtId="0" fontId="0" fillId="3" borderId="17" xfId="0" applyFill="1" applyBorder="1" applyAlignment="1">
      <alignment horizontal="left" vertical="center" wrapText="1"/>
    </xf>
    <xf numFmtId="0" fontId="0" fillId="3" borderId="3" xfId="0" applyFill="1" applyBorder="1" applyAlignment="1">
      <alignment horizontal="left" vertical="top" wrapText="1"/>
    </xf>
    <xf numFmtId="0" fontId="0" fillId="3" borderId="0" xfId="0" applyFill="1" applyBorder="1" applyAlignment="1">
      <alignment horizontal="left" vertical="top" wrapText="1"/>
    </xf>
    <xf numFmtId="0" fontId="0" fillId="3" borderId="13" xfId="0" applyFill="1" applyBorder="1" applyAlignment="1">
      <alignment horizontal="left" vertical="top" wrapText="1"/>
    </xf>
    <xf numFmtId="0" fontId="0" fillId="0" borderId="2" xfId="0" applyFill="1" applyBorder="1"/>
    <xf numFmtId="0" fontId="0" fillId="0" borderId="2" xfId="0" applyFill="1" applyBorder="1" applyAlignment="1">
      <alignment wrapText="1"/>
    </xf>
    <xf numFmtId="0" fontId="26" fillId="12" borderId="14" xfId="0" applyNumberFormat="1" applyFont="1" applyFill="1" applyBorder="1" applyAlignment="1" applyProtection="1">
      <alignment horizontal="center" vertical="center" wrapText="1"/>
    </xf>
    <xf numFmtId="0" fontId="26" fillId="12" borderId="11" xfId="0" applyNumberFormat="1" applyFont="1" applyFill="1" applyBorder="1" applyAlignment="1" applyProtection="1">
      <alignment horizontal="center" vertical="center" wrapText="1"/>
    </xf>
    <xf numFmtId="0" fontId="26" fillId="12" borderId="15" xfId="0" applyNumberFormat="1" applyFont="1" applyFill="1" applyBorder="1" applyAlignment="1" applyProtection="1">
      <alignment horizontal="center" vertical="center" wrapText="1"/>
    </xf>
    <xf numFmtId="0" fontId="26" fillId="13" borderId="14" xfId="0" applyNumberFormat="1" applyFont="1" applyFill="1" applyBorder="1" applyAlignment="1" applyProtection="1">
      <alignment horizontal="center" vertical="center" wrapText="1"/>
    </xf>
    <xf numFmtId="0" fontId="26" fillId="13" borderId="11" xfId="0" applyNumberFormat="1" applyFont="1" applyFill="1" applyBorder="1" applyAlignment="1" applyProtection="1">
      <alignment horizontal="center" vertical="center" wrapText="1"/>
    </xf>
    <xf numFmtId="0" fontId="26" fillId="13" borderId="15" xfId="0" applyNumberFormat="1" applyFont="1" applyFill="1" applyBorder="1" applyAlignment="1" applyProtection="1">
      <alignment horizontal="center" vertical="center" wrapText="1"/>
    </xf>
    <xf numFmtId="0" fontId="17" fillId="14" borderId="14" xfId="0" applyNumberFormat="1" applyFont="1" applyFill="1" applyBorder="1" applyAlignment="1" applyProtection="1">
      <alignment horizontal="center" vertical="center" wrapText="1"/>
    </xf>
    <xf numFmtId="0" fontId="17" fillId="14" borderId="11" xfId="0" applyNumberFormat="1" applyFont="1" applyFill="1" applyBorder="1" applyAlignment="1" applyProtection="1">
      <alignment horizontal="center" vertical="center" wrapText="1"/>
    </xf>
    <xf numFmtId="0" fontId="17" fillId="14" borderId="15" xfId="0" applyNumberFormat="1" applyFont="1" applyFill="1" applyBorder="1" applyAlignment="1" applyProtection="1">
      <alignment horizontal="center" vertical="center" wrapText="1"/>
    </xf>
    <xf numFmtId="0" fontId="26" fillId="17" borderId="14" xfId="0" applyNumberFormat="1" applyFont="1" applyFill="1" applyBorder="1" applyAlignment="1" applyProtection="1">
      <alignment horizontal="center" vertical="center" wrapText="1"/>
    </xf>
    <xf numFmtId="0" fontId="26" fillId="17" borderId="11" xfId="0" applyNumberFormat="1" applyFont="1" applyFill="1" applyBorder="1" applyAlignment="1" applyProtection="1">
      <alignment horizontal="center" vertical="center" wrapText="1"/>
    </xf>
    <xf numFmtId="0" fontId="26" fillId="17" borderId="15" xfId="0" applyNumberFormat="1" applyFont="1" applyFill="1" applyBorder="1" applyAlignment="1" applyProtection="1">
      <alignment horizontal="center" vertical="center" wrapText="1"/>
    </xf>
    <xf numFmtId="0" fontId="17" fillId="11" borderId="14" xfId="0" applyNumberFormat="1" applyFont="1" applyFill="1" applyBorder="1" applyAlignment="1" applyProtection="1">
      <alignment horizontal="center" vertical="center" wrapText="1"/>
    </xf>
    <xf numFmtId="0" fontId="17" fillId="11" borderId="11" xfId="0" applyNumberFormat="1" applyFont="1" applyFill="1" applyBorder="1" applyAlignment="1" applyProtection="1">
      <alignment horizontal="center" vertical="center" wrapText="1"/>
    </xf>
    <xf numFmtId="0" fontId="17" fillId="11" borderId="15" xfId="0" applyNumberFormat="1" applyFont="1" applyFill="1" applyBorder="1" applyAlignment="1" applyProtection="1">
      <alignment horizontal="center" vertical="center" wrapText="1"/>
    </xf>
    <xf numFmtId="0" fontId="17" fillId="11" borderId="14" xfId="0" applyNumberFormat="1" applyFont="1" applyFill="1" applyBorder="1" applyAlignment="1" applyProtection="1">
      <alignment horizontal="left" vertical="center" wrapText="1"/>
    </xf>
    <xf numFmtId="0" fontId="17" fillId="11" borderId="11" xfId="0" applyNumberFormat="1" applyFont="1" applyFill="1" applyBorder="1" applyAlignment="1" applyProtection="1">
      <alignment horizontal="left" vertical="center" wrapText="1"/>
    </xf>
    <xf numFmtId="0" fontId="17" fillId="11" borderId="15" xfId="0" applyNumberFormat="1" applyFont="1" applyFill="1" applyBorder="1" applyAlignment="1" applyProtection="1">
      <alignment horizontal="left" vertical="center" wrapText="1"/>
    </xf>
  </cellXfs>
  <cellStyles count="14">
    <cellStyle name="20% - Accent1" xfId="6" builtinId="30"/>
    <cellStyle name="20% - Accent2" xfId="7" builtinId="34"/>
    <cellStyle name="20% - Accent3" xfId="8" builtinId="38"/>
    <cellStyle name="20% - Accent6" xfId="10" builtinId="50"/>
    <cellStyle name="40% - Accent4" xfId="9" builtinId="43"/>
    <cellStyle name="Comma" xfId="1" builtinId="3"/>
    <cellStyle name="Comma 2" xfId="11"/>
    <cellStyle name="Currency" xfId="12" builtinId="4"/>
    <cellStyle name="Heading 2" xfId="4" builtinId="17"/>
    <cellStyle name="Hyperlink" xfId="2" builtinId="8"/>
    <cellStyle name="Normal" xfId="0" builtinId="0"/>
    <cellStyle name="Normal 2" xfId="3"/>
    <cellStyle name="Note" xfId="5" builtinId="10"/>
    <cellStyle name="Percent" xfId="13" builtinId="5"/>
  </cellStyles>
  <dxfs count="0"/>
  <tableStyles count="0" defaultTableStyle="TableStyleMedium2" defaultPivotStyle="PivotStyleLight16"/>
  <colors>
    <mruColors>
      <color rgb="FF9CADB7"/>
      <color rgb="FFEEC28D"/>
      <color rgb="FF006671"/>
      <color rgb="FF58C3B4"/>
      <color rgb="FF668B53"/>
      <color rgb="FFC3E7E3"/>
      <color rgb="FF8FFFFF"/>
      <color rgb="FFCCFFFF"/>
      <color rgb="FFB9B9FF"/>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7.xml"/><Relationship Id="rId13" Type="http://schemas.openxmlformats.org/officeDocument/2006/relationships/worksheet" Target="worksheets/sheet12.xml"/><Relationship Id="rId18" Type="http://schemas.openxmlformats.org/officeDocument/2006/relationships/sharedStrings" Target="sharedStrings.xml"/><Relationship Id="rId3" Type="http://schemas.openxmlformats.org/officeDocument/2006/relationships/chartsheet" Target="chartsheets/sheet1.xml"/><Relationship Id="rId7" Type="http://schemas.openxmlformats.org/officeDocument/2006/relationships/worksheet" Target="worksheets/sheet6.xml"/><Relationship Id="rId12" Type="http://schemas.openxmlformats.org/officeDocument/2006/relationships/worksheet" Target="worksheets/sheet11.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5.xml"/><Relationship Id="rId11" Type="http://schemas.openxmlformats.org/officeDocument/2006/relationships/worksheet" Target="worksheets/sheet10.xml"/><Relationship Id="rId5" Type="http://schemas.openxmlformats.org/officeDocument/2006/relationships/worksheet" Target="worksheets/sheet4.xml"/><Relationship Id="rId15" Type="http://schemas.openxmlformats.org/officeDocument/2006/relationships/worksheet" Target="worksheets/sheet14.xml"/><Relationship Id="rId10" Type="http://schemas.openxmlformats.org/officeDocument/2006/relationships/worksheet" Target="worksheets/sheet9.xml"/><Relationship Id="rId19" Type="http://schemas.openxmlformats.org/officeDocument/2006/relationships/calcChain" Target="calcChain.xml"/><Relationship Id="rId4" Type="http://schemas.openxmlformats.org/officeDocument/2006/relationships/worksheet" Target="worksheets/sheet3.xml"/><Relationship Id="rId9" Type="http://schemas.openxmlformats.org/officeDocument/2006/relationships/worksheet" Target="worksheets/sheet8.xml"/><Relationship Id="rId14" Type="http://schemas.openxmlformats.org/officeDocument/2006/relationships/worksheet" Target="worksheets/sheet13.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r>
              <a:rPr lang="en-US"/>
              <a:t>CBI</a:t>
            </a:r>
            <a:r>
              <a:rPr lang="en-US" baseline="0"/>
              <a:t> Index : Change in Portfolio Cost</a:t>
            </a:r>
            <a:endParaRPr lang="en-US"/>
          </a:p>
        </c:rich>
      </c:tx>
      <c:layout>
        <c:manualLayout>
          <c:xMode val="edge"/>
          <c:yMode val="edge"/>
          <c:x val="0.33672652228300659"/>
          <c:y val="6.9424473131042885E-2"/>
        </c:manualLayout>
      </c:layout>
      <c:overlay val="0"/>
      <c:spPr>
        <a:noFill/>
        <a:ln>
          <a:noFill/>
        </a:ln>
        <a:effectLst/>
      </c:spPr>
      <c:txPr>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4.9164077406858707E-2"/>
          <c:y val="0.17163779673925558"/>
          <c:w val="0.90534746041170666"/>
          <c:h val="0.64203662553025775"/>
        </c:manualLayout>
      </c:layout>
      <c:bubbleChart>
        <c:varyColors val="0"/>
        <c:ser>
          <c:idx val="0"/>
          <c:order val="0"/>
          <c:spPr>
            <a:solidFill>
              <a:srgbClr val="58C3B4"/>
            </a:solidFill>
            <a:ln w="12700">
              <a:solidFill>
                <a:srgbClr val="9CADB7"/>
              </a:solidFill>
            </a:ln>
            <a:effectLst/>
          </c:spPr>
          <c:invertIfNegative val="0"/>
          <c:dLbls>
            <c:dLbl>
              <c:idx val="0"/>
              <c:tx>
                <c:rich>
                  <a:bodyPr/>
                  <a:lstStyle/>
                  <a:p>
                    <a:fld id="{4710E372-4500-4F19-8B51-F6DBD741F876}"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0-0830-405D-AB49-4E8A1659FC77}"/>
                </c:ext>
              </c:extLst>
            </c:dLbl>
            <c:dLbl>
              <c:idx val="1"/>
              <c:tx>
                <c:rich>
                  <a:bodyPr/>
                  <a:lstStyle/>
                  <a:p>
                    <a:fld id="{88B1235D-92DE-4064-9281-8A8BD53562EC}"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0830-405D-AB49-4E8A1659FC77}"/>
                </c:ext>
              </c:extLst>
            </c:dLbl>
            <c:dLbl>
              <c:idx val="2"/>
              <c:tx>
                <c:rich>
                  <a:bodyPr/>
                  <a:lstStyle/>
                  <a:p>
                    <a:fld id="{90A17F93-F3D7-4582-8D3F-2748F609C570}"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0830-405D-AB49-4E8A1659FC77}"/>
                </c:ext>
              </c:extLst>
            </c:dLbl>
            <c:dLbl>
              <c:idx val="3"/>
              <c:tx>
                <c:rich>
                  <a:bodyPr/>
                  <a:lstStyle/>
                  <a:p>
                    <a:fld id="{CF28AC0C-D6FA-4E60-8A25-FA6D1EEC7F79}"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0830-405D-AB49-4E8A1659FC77}"/>
                </c:ext>
              </c:extLst>
            </c:dLbl>
            <c:dLbl>
              <c:idx val="4"/>
              <c:tx>
                <c:rich>
                  <a:bodyPr/>
                  <a:lstStyle/>
                  <a:p>
                    <a:fld id="{EAE9F27B-34FE-4FD8-90F1-9A6110D069A7}"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0830-405D-AB49-4E8A1659FC77}"/>
                </c:ext>
              </c:extLst>
            </c:dLbl>
            <c:dLbl>
              <c:idx val="5"/>
              <c:tx>
                <c:rich>
                  <a:bodyPr/>
                  <a:lstStyle/>
                  <a:p>
                    <a:fld id="{1959557F-622D-46F9-8A86-DC29C6F28350}"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0830-405D-AB49-4E8A1659FC77}"/>
                </c:ext>
              </c:extLst>
            </c:dLbl>
            <c:dLbl>
              <c:idx val="6"/>
              <c:tx>
                <c:rich>
                  <a:bodyPr/>
                  <a:lstStyle/>
                  <a:p>
                    <a:fld id="{511718BB-65D3-4940-B735-589C31B6F019}"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0830-405D-AB49-4E8A1659FC77}"/>
                </c:ext>
              </c:extLst>
            </c:dLbl>
            <c:dLbl>
              <c:idx val="7"/>
              <c:tx>
                <c:rich>
                  <a:bodyPr/>
                  <a:lstStyle/>
                  <a:p>
                    <a:fld id="{F4BC2B8B-A248-4010-8526-6ACEA049BD30}"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0830-405D-AB49-4E8A1659FC77}"/>
                </c:ext>
              </c:extLst>
            </c:dLbl>
            <c:dLbl>
              <c:idx val="8"/>
              <c:tx>
                <c:rich>
                  <a:bodyPr/>
                  <a:lstStyle/>
                  <a:p>
                    <a:fld id="{63C229E3-4215-4C2B-9F7A-E0F8D13244F4}"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0830-405D-AB49-4E8A1659FC77}"/>
                </c:ext>
              </c:extLst>
            </c:dLbl>
            <c:dLbl>
              <c:idx val="9"/>
              <c:tx>
                <c:rich>
                  <a:bodyPr/>
                  <a:lstStyle/>
                  <a:p>
                    <a:fld id="{62F9DC48-6FDD-4036-A315-4C93589D9E74}"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0830-405D-AB49-4E8A1659FC77}"/>
                </c:ext>
              </c:extLst>
            </c:dLbl>
            <c:dLbl>
              <c:idx val="10"/>
              <c:tx>
                <c:rich>
                  <a:bodyPr/>
                  <a:lstStyle/>
                  <a:p>
                    <a:fld id="{FBC33D3C-02BB-43FF-A6E4-0EB60F2850F1}"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0830-405D-AB49-4E8A1659FC77}"/>
                </c:ext>
              </c:extLst>
            </c:dLbl>
            <c:dLbl>
              <c:idx val="11"/>
              <c:tx>
                <c:rich>
                  <a:bodyPr/>
                  <a:lstStyle/>
                  <a:p>
                    <a:fld id="{B8CAC101-D15D-45E0-9A6C-7D5AE8756A18}"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0830-405D-AB49-4E8A1659FC77}"/>
                </c:ext>
              </c:extLst>
            </c:dLbl>
            <c:dLbl>
              <c:idx val="12"/>
              <c:tx>
                <c:rich>
                  <a:bodyPr/>
                  <a:lstStyle/>
                  <a:p>
                    <a:fld id="{333042BD-18FC-4282-9DFA-7DFE838AAB84}"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0830-405D-AB49-4E8A1659FC77}"/>
                </c:ext>
              </c:extLst>
            </c:dLbl>
            <c:dLbl>
              <c:idx val="13"/>
              <c:tx>
                <c:rich>
                  <a:bodyPr/>
                  <a:lstStyle/>
                  <a:p>
                    <a:fld id="{33C13BF2-4800-4947-B726-F35FA98468FE}"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0830-405D-AB49-4E8A1659FC77}"/>
                </c:ext>
              </c:extLst>
            </c:dLbl>
            <c:dLbl>
              <c:idx val="14"/>
              <c:tx>
                <c:rich>
                  <a:bodyPr/>
                  <a:lstStyle/>
                  <a:p>
                    <a:fld id="{BEFD71EA-5E0C-4945-9029-2C9D79094BD1}"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0830-405D-AB49-4E8A1659FC77}"/>
                </c:ext>
              </c:extLst>
            </c:dLbl>
            <c:dLbl>
              <c:idx val="15"/>
              <c:tx>
                <c:rich>
                  <a:bodyPr/>
                  <a:lstStyle/>
                  <a:p>
                    <a:fld id="{B28423A2-FB1C-4CC0-A159-A8064E7B8926}"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0830-405D-AB49-4E8A1659FC77}"/>
                </c:ext>
              </c:extLst>
            </c:dLbl>
            <c:dLbl>
              <c:idx val="16"/>
              <c:tx>
                <c:rich>
                  <a:bodyPr/>
                  <a:lstStyle/>
                  <a:p>
                    <a:fld id="{72C4C534-DCDE-491F-8646-BDAC763AA6B1}"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0830-405D-AB49-4E8A1659FC77}"/>
                </c:ext>
              </c:extLst>
            </c:dLbl>
            <c:dLbl>
              <c:idx val="17"/>
              <c:tx>
                <c:rich>
                  <a:bodyPr/>
                  <a:lstStyle/>
                  <a:p>
                    <a:fld id="{DF7D7E90-C3FE-4E95-9465-EC8602C4E11F}"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0830-405D-AB49-4E8A1659FC77}"/>
                </c:ext>
              </c:extLst>
            </c:dLbl>
            <c:dLbl>
              <c:idx val="18"/>
              <c:tx>
                <c:rich>
                  <a:bodyPr/>
                  <a:lstStyle/>
                  <a:p>
                    <a:fld id="{EB1E5790-339F-489A-B019-E586C3D1162A}"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0830-405D-AB49-4E8A1659FC77}"/>
                </c:ext>
              </c:extLst>
            </c:dLbl>
            <c:dLbl>
              <c:idx val="19"/>
              <c:tx>
                <c:rich>
                  <a:bodyPr/>
                  <a:lstStyle/>
                  <a:p>
                    <a:fld id="{77A2D7DE-2859-4A87-92A8-A32EEA943353}"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0830-405D-AB49-4E8A1659FC77}"/>
                </c:ext>
              </c:extLst>
            </c:dLbl>
            <c:dLbl>
              <c:idx val="20"/>
              <c:tx>
                <c:rich>
                  <a:bodyPr/>
                  <a:lstStyle/>
                  <a:p>
                    <a:fld id="{1DC47C8E-0E65-4FED-A7D0-531D38C19785}"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0830-405D-AB49-4E8A1659FC77}"/>
                </c:ext>
              </c:extLst>
            </c:dLbl>
            <c:dLbl>
              <c:idx val="21"/>
              <c:tx>
                <c:rich>
                  <a:bodyPr/>
                  <a:lstStyle/>
                  <a:p>
                    <a:fld id="{C0A7ADCB-C877-43C8-9516-3111A00B3DB5}"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0830-405D-AB49-4E8A1659FC7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numRef>
              <c:f>CBI_Calculator!$C$6:$C$27</c:f>
              <c:numCache>
                <c:formatCode>0.00</c:formatCode>
                <c:ptCount val="22"/>
                <c:pt idx="0">
                  <c:v>0</c:v>
                </c:pt>
                <c:pt idx="1">
                  <c:v>0.76964834366995261</c:v>
                </c:pt>
                <c:pt idx="2">
                  <c:v>0.792631157155122</c:v>
                </c:pt>
                <c:pt idx="3">
                  <c:v>0.33773611473321852</c:v>
                </c:pt>
                <c:pt idx="4">
                  <c:v>0.18923922357936879</c:v>
                </c:pt>
                <c:pt idx="5">
                  <c:v>0.16755097312499656</c:v>
                </c:pt>
                <c:pt idx="6">
                  <c:v>0.12094279497864985</c:v>
                </c:pt>
                <c:pt idx="7">
                  <c:v>0.33497181493600714</c:v>
                </c:pt>
                <c:pt idx="8">
                  <c:v>0.14184447672592049</c:v>
                </c:pt>
                <c:pt idx="9">
                  <c:v>0.44997499227665827</c:v>
                </c:pt>
                <c:pt idx="10">
                  <c:v>0.55576329884737508</c:v>
                </c:pt>
                <c:pt idx="11">
                  <c:v>7.731646147502913E-2</c:v>
                </c:pt>
                <c:pt idx="12">
                  <c:v>0.51071179353031892</c:v>
                </c:pt>
                <c:pt idx="13">
                  <c:v>0.73514928458402407</c:v>
                </c:pt>
                <c:pt idx="14">
                  <c:v>-9.3909131912998989E-2</c:v>
                </c:pt>
                <c:pt idx="15">
                  <c:v>-5.5748575633505659E-2</c:v>
                </c:pt>
                <c:pt idx="16">
                  <c:v>-0.22109071966287236</c:v>
                </c:pt>
                <c:pt idx="17">
                  <c:v>0.74979888063900235</c:v>
                </c:pt>
                <c:pt idx="18">
                  <c:v>0.76968153670304029</c:v>
                </c:pt>
                <c:pt idx="19">
                  <c:v>0.63050586567703382</c:v>
                </c:pt>
                <c:pt idx="20">
                  <c:v>0.84112396576171466</c:v>
                </c:pt>
                <c:pt idx="21">
                  <c:v>0.21046470023584715</c:v>
                </c:pt>
              </c:numCache>
            </c:numRef>
          </c:xVal>
          <c:yVal>
            <c:numRef>
              <c:f>CBI_Calculator!$D$6:$D$27</c:f>
              <c:numCache>
                <c:formatCode>_(* #,##0_);_(* \(#,##0\);_(* "-"??_);_(@_)</c:formatCode>
                <c:ptCount val="22"/>
                <c:pt idx="0">
                  <c:v>0</c:v>
                </c:pt>
                <c:pt idx="1">
                  <c:v>1579.2706852426909</c:v>
                </c:pt>
                <c:pt idx="2">
                  <c:v>826.37179311937325</c:v>
                </c:pt>
                <c:pt idx="3">
                  <c:v>10.982871260399406</c:v>
                </c:pt>
                <c:pt idx="4">
                  <c:v>8.1499193631516391</c:v>
                </c:pt>
                <c:pt idx="5">
                  <c:v>346.37932068499504</c:v>
                </c:pt>
                <c:pt idx="6">
                  <c:v>443.54720437184915</c:v>
                </c:pt>
                <c:pt idx="7">
                  <c:v>-119.32431697894026</c:v>
                </c:pt>
                <c:pt idx="8">
                  <c:v>35.447024858069199</c:v>
                </c:pt>
                <c:pt idx="9">
                  <c:v>-85.297479387361818</c:v>
                </c:pt>
                <c:pt idx="10">
                  <c:v>16503.722961464751</c:v>
                </c:pt>
                <c:pt idx="11">
                  <c:v>51115.404617267639</c:v>
                </c:pt>
                <c:pt idx="12">
                  <c:v>7817.6238106188011</c:v>
                </c:pt>
                <c:pt idx="13">
                  <c:v>31423.051705113794</c:v>
                </c:pt>
                <c:pt idx="14">
                  <c:v>15313.315748352927</c:v>
                </c:pt>
                <c:pt idx="15">
                  <c:v>7317.0061187074916</c:v>
                </c:pt>
                <c:pt idx="16">
                  <c:v>23481.904158235549</c:v>
                </c:pt>
                <c:pt idx="17">
                  <c:v>547.21043566541448</c:v>
                </c:pt>
                <c:pt idx="18">
                  <c:v>1087.8921567838315</c:v>
                </c:pt>
                <c:pt idx="19">
                  <c:v>743.39867495197723</c:v>
                </c:pt>
                <c:pt idx="20">
                  <c:v>566.91244621569786</c:v>
                </c:pt>
                <c:pt idx="21">
                  <c:v>306.53708125396224</c:v>
                </c:pt>
              </c:numCache>
            </c:numRef>
          </c:yVal>
          <c:bubbleSize>
            <c:numRef>
              <c:f>CBI_Calculator!$E$6:$E$27</c:f>
              <c:numCache>
                <c:formatCode>_(* #,##0.0_);_(* \(#,##0.0\);_(* "-"??_);_(@_)</c:formatCode>
                <c:ptCount val="22"/>
                <c:pt idx="0">
                  <c:v>1</c:v>
                </c:pt>
                <c:pt idx="1">
                  <c:v>5.4988131246840073</c:v>
                </c:pt>
                <c:pt idx="2">
                  <c:v>5.8464416245452089</c:v>
                </c:pt>
                <c:pt idx="3">
                  <c:v>3.1734010781618038</c:v>
                </c:pt>
                <c:pt idx="4">
                  <c:v>2.2180152181642527</c:v>
                </c:pt>
                <c:pt idx="5">
                  <c:v>2.0554446959350718</c:v>
                </c:pt>
                <c:pt idx="6">
                  <c:v>1.7572135587208355</c:v>
                </c:pt>
                <c:pt idx="7">
                  <c:v>3.1738410619155681</c:v>
                </c:pt>
                <c:pt idx="8">
                  <c:v>1.9113634860083295</c:v>
                </c:pt>
                <c:pt idx="9">
                  <c:v>3.9137342703674576</c:v>
                </c:pt>
                <c:pt idx="10">
                  <c:v>2.7350111472184122</c:v>
                </c:pt>
                <c:pt idx="11">
                  <c:v>1.1160142368651615</c:v>
                </c:pt>
                <c:pt idx="12">
                  <c:v>3.1875621230304594</c:v>
                </c:pt>
                <c:pt idx="13">
                  <c:v>2.5657601559100027</c:v>
                </c:pt>
                <c:pt idx="14">
                  <c:v>0.69551398369720507</c:v>
                </c:pt>
                <c:pt idx="15">
                  <c:v>0.75597615325267886</c:v>
                </c:pt>
                <c:pt idx="16">
                  <c:v>0.43325246451742805</c:v>
                </c:pt>
                <c:pt idx="17">
                  <c:v>5.6641615623895909</c:v>
                </c:pt>
                <c:pt idx="18">
                  <c:v>5.6320510976966416</c:v>
                </c:pt>
                <c:pt idx="19">
                  <c:v>4.8748052997315749</c:v>
                </c:pt>
                <c:pt idx="20">
                  <c:v>6.2258491751273075</c:v>
                </c:pt>
                <c:pt idx="21">
                  <c:v>2.3291045277879259</c:v>
                </c:pt>
              </c:numCache>
            </c:numRef>
          </c:bubbleSize>
          <c:bubble3D val="0"/>
          <c:extLst>
            <c:ext xmlns:c15="http://schemas.microsoft.com/office/drawing/2012/chart" uri="{02D57815-91ED-43cb-92C2-25804820EDAC}">
              <c15:datalabelsRange>
                <c15:f>CBI_Calculator!$A$6:$A$27</c15:f>
                <c15:dlblRangeCache>
                  <c:ptCount val="22"/>
                  <c:pt idx="0">
                    <c:v>1 </c:v>
                  </c:pt>
                  <c:pt idx="1">
                    <c:v>A </c:v>
                  </c:pt>
                  <c:pt idx="2">
                    <c:v>C </c:v>
                  </c:pt>
                  <c:pt idx="3">
                    <c:v>D </c:v>
                  </c:pt>
                  <c:pt idx="4">
                    <c:v>F </c:v>
                  </c:pt>
                  <c:pt idx="5">
                    <c:v>G </c:v>
                  </c:pt>
                  <c:pt idx="6">
                    <c:v>H </c:v>
                  </c:pt>
                  <c:pt idx="7">
                    <c:v>I </c:v>
                  </c:pt>
                  <c:pt idx="8">
                    <c:v>K </c:v>
                  </c:pt>
                  <c:pt idx="9">
                    <c:v>M </c:v>
                  </c:pt>
                  <c:pt idx="10">
                    <c:v>N1</c:v>
                  </c:pt>
                  <c:pt idx="11">
                    <c:v>N2</c:v>
                  </c:pt>
                  <c:pt idx="12">
                    <c:v>O1</c:v>
                  </c:pt>
                  <c:pt idx="13">
                    <c:v>O2</c:v>
                  </c:pt>
                  <c:pt idx="14">
                    <c:v>P1</c:v>
                  </c:pt>
                  <c:pt idx="15">
                    <c:v>P2</c:v>
                  </c:pt>
                  <c:pt idx="16">
                    <c:v>P3</c:v>
                  </c:pt>
                  <c:pt idx="17">
                    <c:v>V1</c:v>
                  </c:pt>
                  <c:pt idx="18">
                    <c:v>V2</c:v>
                  </c:pt>
                  <c:pt idx="19">
                    <c:v>V3</c:v>
                  </c:pt>
                  <c:pt idx="20">
                    <c:v>W </c:v>
                  </c:pt>
                  <c:pt idx="21">
                    <c:v>AA</c:v>
                  </c:pt>
                </c15:dlblRangeCache>
              </c15:datalabelsRange>
            </c:ext>
            <c:ext xmlns:c16="http://schemas.microsoft.com/office/drawing/2014/chart" uri="{C3380CC4-5D6E-409C-BE32-E72D297353CC}">
              <c16:uniqueId val="{00000016-0830-405D-AB49-4E8A1659FC77}"/>
            </c:ext>
          </c:extLst>
        </c:ser>
        <c:dLbls>
          <c:showLegendKey val="0"/>
          <c:showVal val="0"/>
          <c:showCatName val="0"/>
          <c:showSerName val="0"/>
          <c:showPercent val="0"/>
          <c:showBubbleSize val="0"/>
        </c:dLbls>
        <c:bubbleScale val="20"/>
        <c:showNegBubbles val="0"/>
        <c:axId val="467837168"/>
        <c:axId val="467837496"/>
      </c:bubbleChart>
      <c:valAx>
        <c:axId val="467837168"/>
        <c:scaling>
          <c:orientation val="minMax"/>
          <c:max val="1"/>
          <c:min val="-0.2"/>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CBI Index</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67837496"/>
        <c:crosses val="autoZero"/>
        <c:crossBetween val="midCat"/>
      </c:valAx>
      <c:valAx>
        <c:axId val="467837496"/>
        <c:scaling>
          <c:orientation val="minMax"/>
          <c:max val="20000"/>
          <c:min val="-5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Change in</a:t>
                </a:r>
                <a:r>
                  <a:rPr lang="en-US" baseline="0"/>
                  <a:t> Portfolio Cost (million$)</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67837168"/>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workbookViewId="0"/>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absoluteAnchor>
    <xdr:pos x="0" y="0"/>
    <xdr:ext cx="8661400" cy="6286500"/>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c:userShapes xmlns:c="http://schemas.openxmlformats.org/drawingml/2006/chart">
  <cdr:relSizeAnchor xmlns:cdr="http://schemas.openxmlformats.org/drawingml/2006/chartDrawing">
    <cdr:from>
      <cdr:x>0.20117</cdr:x>
      <cdr:y>0.83516</cdr:y>
    </cdr:from>
    <cdr:to>
      <cdr:x>0.95901</cdr:x>
      <cdr:y>0.90584</cdr:y>
    </cdr:to>
    <cdr:sp macro="" textlink="">
      <cdr:nvSpPr>
        <cdr:cNvPr id="3" name="Right Arrow 2"/>
        <cdr:cNvSpPr/>
      </cdr:nvSpPr>
      <cdr:spPr>
        <a:xfrm xmlns:a="http://schemas.openxmlformats.org/drawingml/2006/main">
          <a:off x="1744846" y="5251619"/>
          <a:ext cx="6573294" cy="444500"/>
        </a:xfrm>
        <a:prstGeom xmlns:a="http://schemas.openxmlformats.org/drawingml/2006/main" prst="rightArrow">
          <a:avLst/>
        </a:prstGeom>
        <a:solidFill xmlns:a="http://schemas.openxmlformats.org/drawingml/2006/main">
          <a:srgbClr val="006671"/>
        </a:solidFill>
        <a:ln xmlns:a="http://schemas.openxmlformats.org/drawingml/2006/main">
          <a:solidFill>
            <a:srgbClr val="00667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t"/>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lang="en-US" sz="1100"/>
            <a:t>Maximize CBI Index</a:t>
          </a:r>
        </a:p>
      </cdr:txBody>
    </cdr:sp>
  </cdr:relSizeAnchor>
  <cdr:relSizeAnchor xmlns:cdr="http://schemas.openxmlformats.org/drawingml/2006/chartDrawing">
    <cdr:from>
      <cdr:x>0.94172</cdr:x>
      <cdr:y>0.15821</cdr:y>
    </cdr:from>
    <cdr:to>
      <cdr:x>0.99296</cdr:x>
      <cdr:y>0.67659</cdr:y>
    </cdr:to>
    <cdr:sp macro="" textlink="">
      <cdr:nvSpPr>
        <cdr:cNvPr id="4" name="Right Arrow 3"/>
        <cdr:cNvSpPr/>
      </cdr:nvSpPr>
      <cdr:spPr>
        <a:xfrm xmlns:a="http://schemas.openxmlformats.org/drawingml/2006/main" rot="5400000">
          <a:off x="6760540" y="2402453"/>
          <a:ext cx="3259666" cy="444500"/>
        </a:xfrm>
        <a:prstGeom xmlns:a="http://schemas.openxmlformats.org/drawingml/2006/main" prst="rightArrow">
          <a:avLst/>
        </a:prstGeom>
        <a:solidFill xmlns:a="http://schemas.openxmlformats.org/drawingml/2006/main">
          <a:srgbClr val="006671"/>
        </a:solidFill>
        <a:ln xmlns:a="http://schemas.openxmlformats.org/drawingml/2006/main">
          <a:solidFill>
            <a:srgbClr val="00667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t"/>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lang="en-US" sz="1100"/>
            <a:t>Minimize change</a:t>
          </a:r>
          <a:r>
            <a:rPr lang="en-US" sz="1100" baseline="0"/>
            <a:t> in Portfolio Cost</a:t>
          </a:r>
          <a:endParaRPr lang="en-US" sz="1100"/>
        </a:p>
      </cdr:txBody>
    </cdr:sp>
  </cdr:relSizeAnchor>
</c:userShapes>
</file>

<file path=xl/drawings/drawing3.xml><?xml version="1.0" encoding="utf-8"?>
<xdr:wsDr xmlns:xdr="http://schemas.openxmlformats.org/drawingml/2006/spreadsheetDrawing" xmlns:a="http://schemas.openxmlformats.org/drawingml/2006/main">
  <xdr:twoCellAnchor>
    <xdr:from>
      <xdr:col>7</xdr:col>
      <xdr:colOff>201083</xdr:colOff>
      <xdr:row>13</xdr:row>
      <xdr:rowOff>105833</xdr:rowOff>
    </xdr:from>
    <xdr:to>
      <xdr:col>7</xdr:col>
      <xdr:colOff>1989666</xdr:colOff>
      <xdr:row>13</xdr:row>
      <xdr:rowOff>444501</xdr:rowOff>
    </xdr:to>
    <xdr:sp macro="" textlink="">
      <xdr:nvSpPr>
        <xdr:cNvPr id="2" name="Right Arrow 1"/>
        <xdr:cNvSpPr/>
      </xdr:nvSpPr>
      <xdr:spPr>
        <a:xfrm>
          <a:off x="8561916" y="878416"/>
          <a:ext cx="1788583" cy="338668"/>
        </a:xfrm>
        <a:prstGeom prst="rightArrow">
          <a:avLst/>
        </a:prstGeom>
        <a:solidFill>
          <a:srgbClr val="58C3B4"/>
        </a:solidFill>
        <a:ln>
          <a:solidFill>
            <a:srgbClr val="00667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85725</xdr:colOff>
      <xdr:row>0</xdr:row>
      <xdr:rowOff>95251</xdr:rowOff>
    </xdr:from>
    <xdr:to>
      <xdr:col>15</xdr:col>
      <xdr:colOff>257175</xdr:colOff>
      <xdr:row>7</xdr:row>
      <xdr:rowOff>47626</xdr:rowOff>
    </xdr:to>
    <xdr:sp macro="" textlink="">
      <xdr:nvSpPr>
        <xdr:cNvPr id="2" name="TextBox 1"/>
        <xdr:cNvSpPr txBox="1"/>
      </xdr:nvSpPr>
      <xdr:spPr>
        <a:xfrm>
          <a:off x="5562600" y="95251"/>
          <a:ext cx="6572250" cy="1714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a:solidFill>
                <a:srgbClr val="FF0000"/>
              </a:solidFill>
            </a:rPr>
            <a:t>Notes:</a:t>
          </a:r>
        </a:p>
        <a:p>
          <a:endParaRPr lang="en-US" sz="1600">
            <a:solidFill>
              <a:srgbClr val="FF0000"/>
            </a:solidFill>
          </a:endParaRPr>
        </a:p>
        <a:p>
          <a:r>
            <a:rPr lang="en-US" sz="1600">
              <a:solidFill>
                <a:srgbClr val="FF0000"/>
              </a:solidFill>
            </a:rPr>
            <a:t>This sheet will autopopulate</a:t>
          </a:r>
          <a:r>
            <a:rPr lang="en-US" sz="1600" baseline="0">
              <a:solidFill>
                <a:srgbClr val="FF0000"/>
              </a:solidFill>
            </a:rPr>
            <a:t> when the cumulative capacity is added for each portfolio in the 'Cumulative_Capacity' worksheet.</a:t>
          </a:r>
        </a:p>
        <a:p>
          <a:endParaRPr lang="en-US" sz="1100" baseline="0"/>
        </a:p>
        <a:p>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57150</xdr:colOff>
      <xdr:row>0</xdr:row>
      <xdr:rowOff>104775</xdr:rowOff>
    </xdr:from>
    <xdr:to>
      <xdr:col>14</xdr:col>
      <xdr:colOff>247650</xdr:colOff>
      <xdr:row>6</xdr:row>
      <xdr:rowOff>180975</xdr:rowOff>
    </xdr:to>
    <xdr:sp macro="" textlink="">
      <xdr:nvSpPr>
        <xdr:cNvPr id="2" name="TextBox 1"/>
        <xdr:cNvSpPr txBox="1"/>
      </xdr:nvSpPr>
      <xdr:spPr>
        <a:xfrm>
          <a:off x="3581400" y="104775"/>
          <a:ext cx="6915150" cy="1600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a:solidFill>
                <a:srgbClr val="FF0000"/>
              </a:solidFill>
            </a:rPr>
            <a:t>Notes:</a:t>
          </a:r>
        </a:p>
        <a:p>
          <a:endParaRPr lang="en-US" sz="1600">
            <a:solidFill>
              <a:srgbClr val="FF0000"/>
            </a:solidFill>
          </a:endParaRPr>
        </a:p>
        <a:p>
          <a:r>
            <a:rPr lang="en-US" sz="1600">
              <a:solidFill>
                <a:srgbClr val="FF0000"/>
              </a:solidFill>
            </a:rPr>
            <a:t>This sheet will autopopulate</a:t>
          </a:r>
          <a:r>
            <a:rPr lang="en-US" sz="1600" baseline="0">
              <a:solidFill>
                <a:srgbClr val="FF0000"/>
              </a:solidFill>
            </a:rPr>
            <a:t> when the cumulative capacity is added for each portfolio in the 'Cumulative_Capacity' worksheet.</a:t>
          </a:r>
        </a:p>
        <a:p>
          <a:endParaRPr lang="en-US" sz="1100" baseline="0"/>
        </a:p>
        <a:p>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47625</xdr:colOff>
      <xdr:row>0</xdr:row>
      <xdr:rowOff>57150</xdr:rowOff>
    </xdr:from>
    <xdr:to>
      <xdr:col>9</xdr:col>
      <xdr:colOff>638175</xdr:colOff>
      <xdr:row>7</xdr:row>
      <xdr:rowOff>57150</xdr:rowOff>
    </xdr:to>
    <xdr:sp macro="" textlink="">
      <xdr:nvSpPr>
        <xdr:cNvPr id="3" name="TextBox 2"/>
        <xdr:cNvSpPr txBox="1"/>
      </xdr:nvSpPr>
      <xdr:spPr>
        <a:xfrm>
          <a:off x="3838575" y="57150"/>
          <a:ext cx="6762750" cy="1524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a:solidFill>
                <a:srgbClr val="FF0000"/>
              </a:solidFill>
            </a:rPr>
            <a:t>Notes:</a:t>
          </a:r>
        </a:p>
        <a:p>
          <a:endParaRPr lang="en-US" sz="1600">
            <a:solidFill>
              <a:srgbClr val="FF0000"/>
            </a:solidFill>
          </a:endParaRPr>
        </a:p>
        <a:p>
          <a:r>
            <a:rPr lang="en-US" sz="1600">
              <a:solidFill>
                <a:srgbClr val="FF0000"/>
              </a:solidFill>
            </a:rPr>
            <a:t>This sheet will autopopulate</a:t>
          </a:r>
          <a:r>
            <a:rPr lang="en-US" sz="1600" baseline="0">
              <a:solidFill>
                <a:srgbClr val="FF0000"/>
              </a:solidFill>
            </a:rPr>
            <a:t> when the cumulative capacity is added for each portfolio in the 'Cumulative_Capacity' worksheet.</a:t>
          </a:r>
        </a:p>
        <a:p>
          <a:endParaRPr lang="en-US" sz="1100" baseline="0"/>
        </a:p>
        <a:p>
          <a:endParaRPr 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0</xdr:colOff>
      <xdr:row>1</xdr:row>
      <xdr:rowOff>9525</xdr:rowOff>
    </xdr:from>
    <xdr:to>
      <xdr:col>10</xdr:col>
      <xdr:colOff>561975</xdr:colOff>
      <xdr:row>10</xdr:row>
      <xdr:rowOff>9525</xdr:rowOff>
    </xdr:to>
    <xdr:sp macro="" textlink="">
      <xdr:nvSpPr>
        <xdr:cNvPr id="2" name="TextBox 1"/>
        <xdr:cNvSpPr txBox="1"/>
      </xdr:nvSpPr>
      <xdr:spPr>
        <a:xfrm>
          <a:off x="4095750" y="581025"/>
          <a:ext cx="4219575" cy="1714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a:solidFill>
                <a:srgbClr val="FF0000"/>
              </a:solidFill>
            </a:rPr>
            <a:t>Notes:</a:t>
          </a:r>
        </a:p>
        <a:p>
          <a:endParaRPr lang="en-US" sz="1600">
            <a:solidFill>
              <a:srgbClr val="FF0000"/>
            </a:solidFill>
          </a:endParaRPr>
        </a:p>
        <a:p>
          <a:r>
            <a:rPr lang="en-US" sz="1600">
              <a:solidFill>
                <a:srgbClr val="FF0000"/>
              </a:solidFill>
            </a:rPr>
            <a:t>This sheet will autopopulate</a:t>
          </a:r>
          <a:r>
            <a:rPr lang="en-US" sz="1600" baseline="0">
              <a:solidFill>
                <a:srgbClr val="FF0000"/>
              </a:solidFill>
            </a:rPr>
            <a:t> when the cumulative capacity is added for each portfolio in the 'Cumulative_Capacity' worksheet.</a:t>
          </a:r>
        </a:p>
        <a:p>
          <a:endParaRPr lang="en-US" sz="1100" baseline="0"/>
        </a:p>
        <a:p>
          <a:endParaRPr 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28575</xdr:colOff>
      <xdr:row>0</xdr:row>
      <xdr:rowOff>104775</xdr:rowOff>
    </xdr:from>
    <xdr:to>
      <xdr:col>12</xdr:col>
      <xdr:colOff>428625</xdr:colOff>
      <xdr:row>7</xdr:row>
      <xdr:rowOff>104775</xdr:rowOff>
    </xdr:to>
    <xdr:sp macro="" textlink="">
      <xdr:nvSpPr>
        <xdr:cNvPr id="2" name="TextBox 1"/>
        <xdr:cNvSpPr txBox="1"/>
      </xdr:nvSpPr>
      <xdr:spPr>
        <a:xfrm>
          <a:off x="4791075" y="104775"/>
          <a:ext cx="4667250" cy="1714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a:solidFill>
                <a:srgbClr val="FF0000"/>
              </a:solidFill>
            </a:rPr>
            <a:t>Notes:</a:t>
          </a:r>
        </a:p>
        <a:p>
          <a:endParaRPr lang="en-US" sz="1600">
            <a:solidFill>
              <a:srgbClr val="FF0000"/>
            </a:solidFill>
          </a:endParaRPr>
        </a:p>
        <a:p>
          <a:r>
            <a:rPr lang="en-US" sz="1600">
              <a:solidFill>
                <a:srgbClr val="FF0000"/>
              </a:solidFill>
            </a:rPr>
            <a:t>This sheet will autopopulate</a:t>
          </a:r>
          <a:r>
            <a:rPr lang="en-US" sz="1600" baseline="0">
              <a:solidFill>
                <a:srgbClr val="FF0000"/>
              </a:solidFill>
            </a:rPr>
            <a:t> when the cumulative capacity is added for each portfolio in the 'Cumulative_Capacity' worksheet.</a:t>
          </a:r>
        </a:p>
        <a:p>
          <a:endParaRPr lang="en-US" sz="1100" baseline="0"/>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www.eia.gov/electricity/data/eia861/" TargetMode="External"/><Relationship Id="rId7" Type="http://schemas.openxmlformats.org/officeDocument/2006/relationships/vmlDrawing" Target="../drawings/vmlDrawing1.vml"/><Relationship Id="rId2" Type="http://schemas.openxmlformats.org/officeDocument/2006/relationships/hyperlink" Target="https://www.eia.gov/electricity/data/eia860/" TargetMode="External"/><Relationship Id="rId1" Type="http://schemas.openxmlformats.org/officeDocument/2006/relationships/hyperlink" Target="https://www.energy.gov/sites/default/files/2022-06/USEER%202022%20National%20Report_1.pdf" TargetMode="External"/><Relationship Id="rId6" Type="http://schemas.openxmlformats.org/officeDocument/2006/relationships/hyperlink" Target="https://www.eia.gov/electricity/data/eia861m/" TargetMode="External"/><Relationship Id="rId5" Type="http://schemas.openxmlformats.org/officeDocument/2006/relationships/hyperlink" Target="https://www.pse.com/-/media/PDFs/IRP/2021/appendix/15-IRP21_AppD_031821B.pdf?sc_lang=en&amp;modified=20220307202829&amp;hash=9030A9F05B51DEAA1D956583E8321988" TargetMode="External"/><Relationship Id="rId4" Type="http://schemas.openxmlformats.org/officeDocument/2006/relationships/hyperlink" Target="https://www.pse.com/-/media/PDFs/IRP/2021/appendix/16-IRP21_AppE_033021_FileUpdate-with-report.pdf?sc_lang=en&amp;modified=20220307202829&amp;hash=94A39F3C9AD8C26E97EEE9FEBFCCD8DA"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3" Type="http://schemas.openxmlformats.org/officeDocument/2006/relationships/hyperlink" Target="https://www.eia.gov/electricity/data/eia861/" TargetMode="External"/><Relationship Id="rId2" Type="http://schemas.openxmlformats.org/officeDocument/2006/relationships/hyperlink" Target="https://www.eia.gov/electricity/data/eia860/" TargetMode="External"/><Relationship Id="rId1" Type="http://schemas.openxmlformats.org/officeDocument/2006/relationships/hyperlink" Target="https://www.energy.gov/sites/default/files/2022-06/USEER%202022%20National%20Report_1.pdf" TargetMode="External"/><Relationship Id="rId5" Type="http://schemas.openxmlformats.org/officeDocument/2006/relationships/drawing" Target="../drawings/drawing3.xml"/><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006671"/>
  </sheetPr>
  <dimension ref="A1:U69"/>
  <sheetViews>
    <sheetView tabSelected="1" topLeftCell="A7" workbookViewId="0">
      <selection activeCell="A5" sqref="A5:G5"/>
    </sheetView>
  </sheetViews>
  <sheetFormatPr defaultRowHeight="14.5" x14ac:dyDescent="0.35"/>
  <cols>
    <col min="1" max="1" width="16.7265625" customWidth="1"/>
    <col min="2" max="6" width="19.453125" customWidth="1"/>
    <col min="7" max="7" width="93.453125" customWidth="1"/>
  </cols>
  <sheetData>
    <row r="1" spans="1:10" ht="31" x14ac:dyDescent="0.7">
      <c r="A1" s="255" t="s">
        <v>328</v>
      </c>
      <c r="B1" s="123"/>
      <c r="C1" s="123"/>
      <c r="D1" s="123"/>
      <c r="E1" s="123"/>
      <c r="F1" s="123"/>
      <c r="G1" s="219"/>
      <c r="H1" s="8"/>
      <c r="I1" s="8"/>
      <c r="J1" s="8"/>
    </row>
    <row r="2" spans="1:10" x14ac:dyDescent="0.35">
      <c r="A2" s="256"/>
      <c r="B2" s="86"/>
      <c r="C2" s="86"/>
      <c r="D2" s="86"/>
      <c r="E2" s="86"/>
      <c r="F2" s="86"/>
      <c r="G2" s="242"/>
      <c r="H2" s="8"/>
      <c r="I2" s="8"/>
      <c r="J2" s="8"/>
    </row>
    <row r="3" spans="1:10" x14ac:dyDescent="0.35">
      <c r="A3" s="243"/>
      <c r="B3" s="86"/>
      <c r="C3" s="86"/>
      <c r="D3" s="86"/>
      <c r="E3" s="86"/>
      <c r="F3" s="86"/>
      <c r="G3" s="242"/>
      <c r="H3" s="8"/>
      <c r="I3" s="8"/>
      <c r="J3" s="8"/>
    </row>
    <row r="4" spans="1:10" ht="23.5" x14ac:dyDescent="0.55000000000000004">
      <c r="A4" s="257" t="s">
        <v>331</v>
      </c>
      <c r="B4" s="86"/>
      <c r="C4" s="86"/>
      <c r="D4" s="86"/>
      <c r="E4" s="86"/>
      <c r="F4" s="86"/>
      <c r="G4" s="242"/>
      <c r="H4" s="8"/>
      <c r="I4" s="8"/>
      <c r="J4" s="8"/>
    </row>
    <row r="5" spans="1:10" ht="45.75" customHeight="1" x14ac:dyDescent="0.35">
      <c r="A5" s="265" t="s">
        <v>330</v>
      </c>
      <c r="B5" s="266"/>
      <c r="C5" s="266"/>
      <c r="D5" s="266"/>
      <c r="E5" s="266"/>
      <c r="F5" s="266"/>
      <c r="G5" s="267"/>
      <c r="H5" s="251"/>
      <c r="I5" s="28"/>
      <c r="J5" s="8"/>
    </row>
    <row r="6" spans="1:10" ht="57" customHeight="1" x14ac:dyDescent="0.35">
      <c r="A6" s="268" t="s">
        <v>332</v>
      </c>
      <c r="B6" s="269"/>
      <c r="C6" s="269"/>
      <c r="D6" s="269"/>
      <c r="E6" s="269"/>
      <c r="F6" s="269"/>
      <c r="G6" s="270"/>
      <c r="H6" s="252"/>
      <c r="I6" s="28"/>
      <c r="J6" s="8"/>
    </row>
    <row r="7" spans="1:10" ht="40.5" customHeight="1" x14ac:dyDescent="0.35">
      <c r="A7" s="274" t="s">
        <v>349</v>
      </c>
      <c r="B7" s="275"/>
      <c r="C7" s="275"/>
      <c r="D7" s="275"/>
      <c r="E7" s="275"/>
      <c r="F7" s="275"/>
      <c r="G7" s="276"/>
      <c r="H7" s="252"/>
      <c r="I7" s="28"/>
      <c r="J7" s="8"/>
    </row>
    <row r="8" spans="1:10" ht="45.75" customHeight="1" x14ac:dyDescent="0.35">
      <c r="A8" s="271" t="s">
        <v>363</v>
      </c>
      <c r="B8" s="272"/>
      <c r="C8" s="272"/>
      <c r="D8" s="272"/>
      <c r="E8" s="272"/>
      <c r="F8" s="272"/>
      <c r="G8" s="273"/>
      <c r="H8" s="252"/>
      <c r="I8" s="28"/>
      <c r="J8" s="8"/>
    </row>
    <row r="9" spans="1:10" x14ac:dyDescent="0.35">
      <c r="A9" s="243"/>
      <c r="B9" s="86"/>
      <c r="C9" s="86"/>
      <c r="D9" s="86"/>
      <c r="E9" s="86"/>
      <c r="F9" s="86"/>
      <c r="G9" s="242"/>
      <c r="H9" s="8"/>
      <c r="I9" s="8"/>
      <c r="J9" s="8"/>
    </row>
    <row r="10" spans="1:10" x14ac:dyDescent="0.35">
      <c r="A10" s="243"/>
      <c r="B10" s="86"/>
      <c r="C10" s="86"/>
      <c r="D10" s="86"/>
      <c r="E10" s="86"/>
      <c r="F10" s="86"/>
      <c r="G10" s="242"/>
      <c r="H10" s="8"/>
      <c r="I10" s="8"/>
      <c r="J10" s="8"/>
    </row>
    <row r="11" spans="1:10" ht="23.5" x14ac:dyDescent="0.55000000000000004">
      <c r="A11" s="258" t="s">
        <v>333</v>
      </c>
      <c r="B11" s="86"/>
      <c r="C11" s="86"/>
      <c r="D11" s="86"/>
      <c r="E11" s="86"/>
      <c r="F11" s="86"/>
      <c r="G11" s="242"/>
      <c r="H11" s="8"/>
      <c r="I11" s="8"/>
      <c r="J11" s="8"/>
    </row>
    <row r="12" spans="1:10" x14ac:dyDescent="0.35">
      <c r="A12" s="235"/>
      <c r="B12" s="240" t="s">
        <v>323</v>
      </c>
      <c r="C12" s="123"/>
      <c r="D12" s="123"/>
      <c r="E12" s="123"/>
      <c r="F12" s="123"/>
      <c r="G12" s="219"/>
      <c r="H12" s="28"/>
      <c r="I12" s="8"/>
      <c r="J12" s="8"/>
    </row>
    <row r="13" spans="1:10" x14ac:dyDescent="0.35">
      <c r="A13" s="236"/>
      <c r="B13" s="241" t="s">
        <v>322</v>
      </c>
      <c r="C13" s="86"/>
      <c r="D13" s="86"/>
      <c r="E13" s="86"/>
      <c r="F13" s="86"/>
      <c r="G13" s="242"/>
      <c r="H13" s="28"/>
      <c r="I13" s="8"/>
      <c r="J13" s="8"/>
    </row>
    <row r="14" spans="1:10" ht="32.25" customHeight="1" x14ac:dyDescent="0.35">
      <c r="A14" s="262" t="s">
        <v>334</v>
      </c>
      <c r="B14" s="263" t="s">
        <v>335</v>
      </c>
      <c r="C14" s="263"/>
      <c r="D14" s="263"/>
      <c r="E14" s="263"/>
      <c r="F14" s="263"/>
      <c r="G14" s="264"/>
      <c r="H14" s="250"/>
      <c r="I14" s="8"/>
      <c r="J14" s="8"/>
    </row>
    <row r="15" spans="1:10" x14ac:dyDescent="0.35">
      <c r="A15" s="243"/>
      <c r="B15" s="86"/>
      <c r="C15" s="86"/>
      <c r="D15" s="86"/>
      <c r="E15" s="86"/>
      <c r="F15" s="86"/>
      <c r="G15" s="242"/>
      <c r="H15" s="28"/>
      <c r="I15" s="8"/>
      <c r="J15" s="8"/>
    </row>
    <row r="16" spans="1:10" x14ac:dyDescent="0.35">
      <c r="A16" s="244"/>
      <c r="B16" s="124"/>
      <c r="C16" s="124"/>
      <c r="D16" s="124"/>
      <c r="E16" s="124"/>
      <c r="F16" s="124"/>
      <c r="G16" s="245"/>
      <c r="H16" s="8"/>
      <c r="I16" s="8"/>
      <c r="J16" s="8"/>
    </row>
    <row r="17" spans="1:21" x14ac:dyDescent="0.35">
      <c r="A17" s="243"/>
      <c r="B17" s="86"/>
      <c r="C17" s="86"/>
      <c r="D17" s="86"/>
      <c r="E17" s="86"/>
      <c r="F17" s="86"/>
      <c r="G17" s="242"/>
    </row>
    <row r="18" spans="1:21" ht="23.5" x14ac:dyDescent="0.55000000000000004">
      <c r="A18" s="258" t="s">
        <v>329</v>
      </c>
      <c r="B18" s="86"/>
      <c r="C18" s="86"/>
      <c r="D18" s="86"/>
      <c r="E18" s="86"/>
      <c r="F18" s="86"/>
      <c r="G18" s="242"/>
    </row>
    <row r="19" spans="1:21" ht="29" x14ac:dyDescent="0.35">
      <c r="A19" s="70" t="s">
        <v>206</v>
      </c>
      <c r="B19" s="70" t="s">
        <v>203</v>
      </c>
      <c r="C19" s="70" t="s">
        <v>220</v>
      </c>
      <c r="D19" s="70" t="s">
        <v>221</v>
      </c>
      <c r="E19" s="70" t="s">
        <v>222</v>
      </c>
      <c r="F19" s="70" t="s">
        <v>227</v>
      </c>
      <c r="G19" s="70" t="s">
        <v>2</v>
      </c>
      <c r="H19" s="253"/>
      <c r="I19" s="10"/>
      <c r="J19" s="10"/>
      <c r="K19" s="1"/>
      <c r="L19" s="1"/>
      <c r="M19" s="1"/>
      <c r="N19" s="1"/>
      <c r="O19" s="1"/>
      <c r="P19" s="1"/>
      <c r="Q19" s="1"/>
      <c r="R19" s="1"/>
      <c r="S19" s="1"/>
      <c r="T19" s="1"/>
      <c r="U19" s="1"/>
    </row>
    <row r="20" spans="1:21" ht="31" x14ac:dyDescent="0.35">
      <c r="A20" s="69" t="s">
        <v>204</v>
      </c>
      <c r="B20" s="105" t="s">
        <v>268</v>
      </c>
      <c r="C20" s="69" t="s">
        <v>224</v>
      </c>
      <c r="D20" s="69" t="s">
        <v>205</v>
      </c>
      <c r="E20" s="69" t="s">
        <v>239</v>
      </c>
      <c r="F20" s="69" t="s">
        <v>228</v>
      </c>
      <c r="G20" s="69" t="s">
        <v>223</v>
      </c>
      <c r="H20" s="254"/>
      <c r="I20" s="249"/>
      <c r="J20" s="10"/>
    </row>
    <row r="21" spans="1:21" ht="30" x14ac:dyDescent="0.45">
      <c r="A21" s="69" t="s">
        <v>210</v>
      </c>
      <c r="B21" s="105" t="s">
        <v>268</v>
      </c>
      <c r="C21" s="69" t="s">
        <v>225</v>
      </c>
      <c r="D21" s="69" t="s">
        <v>207</v>
      </c>
      <c r="E21" s="69" t="s">
        <v>238</v>
      </c>
      <c r="F21" s="69" t="s">
        <v>228</v>
      </c>
      <c r="G21" s="69" t="s">
        <v>350</v>
      </c>
      <c r="H21" s="10"/>
      <c r="I21" s="10"/>
      <c r="J21" s="10"/>
    </row>
    <row r="22" spans="1:21" ht="29" x14ac:dyDescent="0.35">
      <c r="A22" s="69" t="s">
        <v>209</v>
      </c>
      <c r="B22" s="105" t="s">
        <v>268</v>
      </c>
      <c r="C22" s="69" t="s">
        <v>225</v>
      </c>
      <c r="D22" s="69" t="s">
        <v>207</v>
      </c>
      <c r="E22" s="69" t="s">
        <v>241</v>
      </c>
      <c r="F22" s="69" t="s">
        <v>228</v>
      </c>
      <c r="G22" s="69" t="s">
        <v>208</v>
      </c>
      <c r="H22" s="10"/>
      <c r="I22" s="10"/>
      <c r="J22" s="10"/>
    </row>
    <row r="23" spans="1:21" ht="29" x14ac:dyDescent="0.35">
      <c r="A23" s="69" t="s">
        <v>212</v>
      </c>
      <c r="B23" s="105" t="s">
        <v>268</v>
      </c>
      <c r="C23" s="69" t="s">
        <v>225</v>
      </c>
      <c r="D23" s="69" t="s">
        <v>207</v>
      </c>
      <c r="E23" s="69" t="s">
        <v>240</v>
      </c>
      <c r="F23" s="69" t="s">
        <v>228</v>
      </c>
      <c r="G23" s="69" t="s">
        <v>211</v>
      </c>
      <c r="H23" s="10"/>
      <c r="I23" s="10"/>
      <c r="J23" s="10"/>
    </row>
    <row r="24" spans="1:21" ht="87" x14ac:dyDescent="0.35">
      <c r="A24" s="69" t="s">
        <v>3</v>
      </c>
      <c r="B24" s="69" t="s">
        <v>66</v>
      </c>
      <c r="C24" s="69" t="s">
        <v>226</v>
      </c>
      <c r="D24" s="69" t="s">
        <v>213</v>
      </c>
      <c r="E24" s="69" t="s">
        <v>242</v>
      </c>
      <c r="F24" s="69" t="s">
        <v>229</v>
      </c>
      <c r="G24" s="105" t="s">
        <v>245</v>
      </c>
      <c r="H24" s="10"/>
      <c r="I24" s="10"/>
      <c r="J24" s="10"/>
    </row>
    <row r="25" spans="1:21" ht="51" customHeight="1" x14ac:dyDescent="0.35">
      <c r="A25" s="69" t="s">
        <v>215</v>
      </c>
      <c r="B25" s="69" t="s">
        <v>244</v>
      </c>
      <c r="C25" s="69" t="s">
        <v>230</v>
      </c>
      <c r="D25" s="69" t="s">
        <v>214</v>
      </c>
      <c r="E25" s="69" t="s">
        <v>243</v>
      </c>
      <c r="F25" s="69" t="s">
        <v>228</v>
      </c>
      <c r="G25" s="69" t="s">
        <v>351</v>
      </c>
      <c r="H25" s="250"/>
      <c r="I25" s="10"/>
      <c r="J25" s="10"/>
    </row>
    <row r="26" spans="1:21" ht="58" x14ac:dyDescent="0.35">
      <c r="A26" s="69" t="s">
        <v>217</v>
      </c>
      <c r="B26" s="69" t="s">
        <v>216</v>
      </c>
      <c r="C26" s="69" t="s">
        <v>232</v>
      </c>
      <c r="D26" s="69" t="s">
        <v>234</v>
      </c>
      <c r="E26" s="69" t="s">
        <v>247</v>
      </c>
      <c r="F26" s="69" t="s">
        <v>229</v>
      </c>
      <c r="G26" s="69" t="s">
        <v>246</v>
      </c>
      <c r="H26" s="10"/>
      <c r="I26" s="10"/>
      <c r="J26" s="10"/>
    </row>
    <row r="27" spans="1:21" ht="72.5" x14ac:dyDescent="0.35">
      <c r="A27" s="69" t="s">
        <v>237</v>
      </c>
      <c r="B27" s="69" t="s">
        <v>218</v>
      </c>
      <c r="C27" s="69" t="s">
        <v>226</v>
      </c>
      <c r="D27" s="69" t="s">
        <v>231</v>
      </c>
      <c r="E27" s="69" t="s">
        <v>242</v>
      </c>
      <c r="F27" s="69" t="s">
        <v>229</v>
      </c>
      <c r="G27" s="105" t="s">
        <v>352</v>
      </c>
      <c r="H27" s="10"/>
      <c r="I27" s="10"/>
      <c r="J27" s="10"/>
    </row>
    <row r="28" spans="1:21" ht="58" x14ac:dyDescent="0.35">
      <c r="A28" s="69" t="s">
        <v>353</v>
      </c>
      <c r="B28" s="69" t="s">
        <v>216</v>
      </c>
      <c r="C28" s="69" t="s">
        <v>226</v>
      </c>
      <c r="D28" s="69" t="s">
        <v>231</v>
      </c>
      <c r="E28" s="69" t="s">
        <v>242</v>
      </c>
      <c r="F28" s="69" t="s">
        <v>229</v>
      </c>
      <c r="G28" s="71" t="s">
        <v>248</v>
      </c>
      <c r="H28" s="10"/>
      <c r="I28" s="10"/>
      <c r="J28" s="10"/>
    </row>
    <row r="29" spans="1:21" ht="58" x14ac:dyDescent="0.35">
      <c r="A29" s="69" t="s">
        <v>235</v>
      </c>
      <c r="B29" s="69" t="s">
        <v>218</v>
      </c>
      <c r="C29" s="69" t="s">
        <v>226</v>
      </c>
      <c r="D29" s="69" t="s">
        <v>231</v>
      </c>
      <c r="E29" s="69" t="s">
        <v>249</v>
      </c>
      <c r="F29" s="69" t="s">
        <v>229</v>
      </c>
      <c r="G29" s="105" t="s">
        <v>354</v>
      </c>
      <c r="H29" s="10"/>
      <c r="I29" s="10"/>
      <c r="J29" s="10"/>
    </row>
    <row r="30" spans="1:21" ht="58" x14ac:dyDescent="0.35">
      <c r="A30" s="69" t="s">
        <v>236</v>
      </c>
      <c r="B30" s="69" t="s">
        <v>218</v>
      </c>
      <c r="C30" s="69" t="s">
        <v>232</v>
      </c>
      <c r="D30" s="69" t="s">
        <v>233</v>
      </c>
      <c r="E30" s="69" t="s">
        <v>242</v>
      </c>
      <c r="F30" s="69" t="s">
        <v>229</v>
      </c>
      <c r="G30" s="105" t="s">
        <v>355</v>
      </c>
      <c r="H30" s="10"/>
      <c r="I30" s="10"/>
      <c r="J30" s="10"/>
    </row>
    <row r="31" spans="1:21" x14ac:dyDescent="0.35">
      <c r="A31" s="243"/>
      <c r="B31" s="86"/>
      <c r="C31" s="86"/>
      <c r="D31" s="86"/>
      <c r="E31" s="86"/>
      <c r="F31" s="86"/>
      <c r="G31" s="242"/>
    </row>
    <row r="32" spans="1:21" x14ac:dyDescent="0.35">
      <c r="A32" s="243"/>
      <c r="B32" s="86"/>
      <c r="C32" s="86"/>
      <c r="D32" s="86"/>
      <c r="E32" s="86"/>
      <c r="F32" s="86"/>
      <c r="G32" s="242"/>
    </row>
    <row r="33" spans="1:7" ht="23.5" x14ac:dyDescent="0.55000000000000004">
      <c r="A33" s="258" t="s">
        <v>336</v>
      </c>
      <c r="B33" s="86"/>
      <c r="C33" s="86"/>
      <c r="D33" s="86"/>
      <c r="E33" s="86"/>
      <c r="F33" s="86"/>
      <c r="G33" s="242"/>
    </row>
    <row r="34" spans="1:7" x14ac:dyDescent="0.35">
      <c r="A34" s="88" t="s">
        <v>337</v>
      </c>
      <c r="B34" s="88" t="s">
        <v>2</v>
      </c>
      <c r="C34" s="86"/>
      <c r="D34" s="86"/>
      <c r="E34" s="86"/>
      <c r="F34" s="86"/>
      <c r="G34" s="242"/>
    </row>
    <row r="35" spans="1:7" x14ac:dyDescent="0.35">
      <c r="A35" s="74" t="s">
        <v>158</v>
      </c>
      <c r="B35" s="71" t="s">
        <v>169</v>
      </c>
      <c r="C35" s="86"/>
      <c r="D35" s="86"/>
      <c r="E35" s="86"/>
      <c r="F35" s="86"/>
      <c r="G35" s="242"/>
    </row>
    <row r="36" spans="1:7" ht="29" x14ac:dyDescent="0.35">
      <c r="A36" s="74" t="s">
        <v>159</v>
      </c>
      <c r="B36" s="71" t="s">
        <v>170</v>
      </c>
      <c r="C36" s="86"/>
      <c r="D36" s="86"/>
      <c r="E36" s="86"/>
      <c r="F36" s="86"/>
      <c r="G36" s="242"/>
    </row>
    <row r="37" spans="1:7" ht="29" x14ac:dyDescent="0.35">
      <c r="A37" s="74" t="s">
        <v>160</v>
      </c>
      <c r="B37" s="71" t="s">
        <v>171</v>
      </c>
      <c r="C37" s="86"/>
      <c r="D37" s="86"/>
      <c r="E37" s="86"/>
      <c r="F37" s="86"/>
      <c r="G37" s="242"/>
    </row>
    <row r="38" spans="1:7" ht="43.5" x14ac:dyDescent="0.35">
      <c r="A38" s="74" t="s">
        <v>161</v>
      </c>
      <c r="B38" s="71" t="s">
        <v>172</v>
      </c>
      <c r="C38" s="86"/>
      <c r="D38" s="86"/>
      <c r="E38" s="86"/>
      <c r="F38" s="86"/>
      <c r="G38" s="242"/>
    </row>
    <row r="39" spans="1:7" x14ac:dyDescent="0.35">
      <c r="A39" s="74" t="s">
        <v>162</v>
      </c>
      <c r="B39" s="71" t="s">
        <v>173</v>
      </c>
      <c r="C39" s="86"/>
      <c r="D39" s="86"/>
      <c r="E39" s="86"/>
      <c r="F39" s="86"/>
      <c r="G39" s="242"/>
    </row>
    <row r="40" spans="1:7" x14ac:dyDescent="0.35">
      <c r="A40" s="74" t="s">
        <v>163</v>
      </c>
      <c r="B40" s="71" t="s">
        <v>174</v>
      </c>
      <c r="C40" s="86"/>
      <c r="D40" s="86"/>
      <c r="E40" s="86"/>
      <c r="F40" s="86"/>
      <c r="G40" s="242"/>
    </row>
    <row r="41" spans="1:7" x14ac:dyDescent="0.35">
      <c r="A41" s="74" t="s">
        <v>164</v>
      </c>
      <c r="B41" s="71" t="s">
        <v>175</v>
      </c>
      <c r="C41" s="86"/>
      <c r="D41" s="86"/>
      <c r="E41" s="86"/>
      <c r="F41" s="86"/>
      <c r="G41" s="242"/>
    </row>
    <row r="42" spans="1:7" ht="29" x14ac:dyDescent="0.35">
      <c r="A42" s="74" t="s">
        <v>165</v>
      </c>
      <c r="B42" s="71" t="s">
        <v>176</v>
      </c>
      <c r="C42" s="86"/>
      <c r="D42" s="86"/>
      <c r="E42" s="86"/>
      <c r="F42" s="86"/>
      <c r="G42" s="242"/>
    </row>
    <row r="43" spans="1:7" ht="29" x14ac:dyDescent="0.35">
      <c r="A43" s="74" t="s">
        <v>166</v>
      </c>
      <c r="B43" s="71" t="s">
        <v>177</v>
      </c>
      <c r="C43" s="86"/>
      <c r="D43" s="86"/>
      <c r="E43" s="86"/>
      <c r="F43" s="86"/>
      <c r="G43" s="242"/>
    </row>
    <row r="44" spans="1:7" ht="29" x14ac:dyDescent="0.35">
      <c r="A44" s="74" t="s">
        <v>167</v>
      </c>
      <c r="B44" s="71" t="s">
        <v>178</v>
      </c>
      <c r="C44" s="86"/>
      <c r="D44" s="86"/>
      <c r="E44" s="86"/>
      <c r="F44" s="86"/>
      <c r="G44" s="242"/>
    </row>
    <row r="45" spans="1:7" ht="29" x14ac:dyDescent="0.35">
      <c r="A45" s="74" t="s">
        <v>147</v>
      </c>
      <c r="B45" s="71" t="s">
        <v>179</v>
      </c>
      <c r="C45" s="86"/>
      <c r="D45" s="86"/>
      <c r="E45" s="86"/>
      <c r="F45" s="86"/>
      <c r="G45" s="242"/>
    </row>
    <row r="46" spans="1:7" ht="29" x14ac:dyDescent="0.35">
      <c r="A46" s="74" t="s">
        <v>148</v>
      </c>
      <c r="B46" s="71" t="s">
        <v>180</v>
      </c>
      <c r="C46" s="86"/>
      <c r="D46" s="86"/>
      <c r="E46" s="86"/>
      <c r="F46" s="86"/>
      <c r="G46" s="242"/>
    </row>
    <row r="47" spans="1:7" ht="29" x14ac:dyDescent="0.35">
      <c r="A47" s="74" t="s">
        <v>149</v>
      </c>
      <c r="B47" s="71" t="s">
        <v>181</v>
      </c>
      <c r="C47" s="86"/>
      <c r="D47" s="86"/>
      <c r="E47" s="86"/>
      <c r="F47" s="86"/>
      <c r="G47" s="242"/>
    </row>
    <row r="48" spans="1:7" ht="29" x14ac:dyDescent="0.35">
      <c r="A48" s="74" t="s">
        <v>150</v>
      </c>
      <c r="B48" s="71" t="s">
        <v>182</v>
      </c>
      <c r="C48" s="86"/>
      <c r="D48" s="86"/>
      <c r="E48" s="86"/>
      <c r="F48" s="86"/>
      <c r="G48" s="242"/>
    </row>
    <row r="49" spans="1:7" ht="29" x14ac:dyDescent="0.35">
      <c r="A49" s="74" t="s">
        <v>151</v>
      </c>
      <c r="B49" s="71" t="s">
        <v>183</v>
      </c>
      <c r="C49" s="86"/>
      <c r="D49" s="86"/>
      <c r="E49" s="86"/>
      <c r="F49" s="86"/>
      <c r="G49" s="242"/>
    </row>
    <row r="50" spans="1:7" ht="29" x14ac:dyDescent="0.35">
      <c r="A50" s="74" t="s">
        <v>152</v>
      </c>
      <c r="B50" s="71" t="s">
        <v>184</v>
      </c>
      <c r="C50" s="86"/>
      <c r="D50" s="86"/>
      <c r="E50" s="86"/>
      <c r="F50" s="86"/>
      <c r="G50" s="242"/>
    </row>
    <row r="51" spans="1:7" ht="29" x14ac:dyDescent="0.35">
      <c r="A51" s="74" t="s">
        <v>153</v>
      </c>
      <c r="B51" s="71" t="s">
        <v>185</v>
      </c>
      <c r="C51" s="86"/>
      <c r="D51" s="86"/>
      <c r="E51" s="86"/>
      <c r="F51" s="86"/>
      <c r="G51" s="242"/>
    </row>
    <row r="52" spans="1:7" x14ac:dyDescent="0.35">
      <c r="A52" s="74" t="s">
        <v>154</v>
      </c>
      <c r="B52" s="71" t="s">
        <v>186</v>
      </c>
      <c r="C52" s="86"/>
      <c r="D52" s="86"/>
      <c r="E52" s="86"/>
      <c r="F52" s="86"/>
      <c r="G52" s="242"/>
    </row>
    <row r="53" spans="1:7" ht="29" x14ac:dyDescent="0.35">
      <c r="A53" s="74" t="s">
        <v>155</v>
      </c>
      <c r="B53" s="71" t="s">
        <v>187</v>
      </c>
      <c r="C53" s="86"/>
      <c r="D53" s="86"/>
      <c r="E53" s="86"/>
      <c r="F53" s="86"/>
      <c r="G53" s="242"/>
    </row>
    <row r="54" spans="1:7" ht="29" x14ac:dyDescent="0.35">
      <c r="A54" s="74" t="s">
        <v>156</v>
      </c>
      <c r="B54" s="71" t="s">
        <v>188</v>
      </c>
      <c r="C54" s="86"/>
      <c r="D54" s="86"/>
      <c r="E54" s="86"/>
      <c r="F54" s="86"/>
      <c r="G54" s="242"/>
    </row>
    <row r="55" spans="1:7" ht="29" x14ac:dyDescent="0.35">
      <c r="A55" s="106" t="s">
        <v>168</v>
      </c>
      <c r="B55" s="105" t="s">
        <v>189</v>
      </c>
      <c r="C55" s="86"/>
      <c r="D55" s="86"/>
      <c r="E55" s="86"/>
      <c r="F55" s="86"/>
      <c r="G55" s="242"/>
    </row>
    <row r="56" spans="1:7" x14ac:dyDescent="0.35">
      <c r="A56" s="74" t="s">
        <v>157</v>
      </c>
      <c r="B56" s="71" t="s">
        <v>190</v>
      </c>
      <c r="C56" s="86"/>
      <c r="D56" s="86"/>
      <c r="E56" s="86"/>
      <c r="F56" s="86"/>
      <c r="G56" s="242"/>
    </row>
    <row r="57" spans="1:7" x14ac:dyDescent="0.35">
      <c r="A57" s="243"/>
      <c r="B57" s="86"/>
      <c r="C57" s="86"/>
      <c r="D57" s="86"/>
      <c r="E57" s="86"/>
      <c r="F57" s="86"/>
      <c r="G57" s="242"/>
    </row>
    <row r="58" spans="1:7" x14ac:dyDescent="0.35">
      <c r="A58" s="243"/>
      <c r="B58" s="86"/>
      <c r="C58" s="86"/>
      <c r="D58" s="86"/>
      <c r="E58" s="86"/>
      <c r="F58" s="86"/>
      <c r="G58" s="242"/>
    </row>
    <row r="59" spans="1:7" ht="23.5" x14ac:dyDescent="0.55000000000000004">
      <c r="A59" s="259" t="s">
        <v>267</v>
      </c>
      <c r="B59" s="10"/>
      <c r="C59" s="86"/>
      <c r="D59" s="86"/>
      <c r="E59" s="86"/>
      <c r="F59" s="86"/>
      <c r="G59" s="242"/>
    </row>
    <row r="60" spans="1:7" ht="28.5" customHeight="1" x14ac:dyDescent="0.35">
      <c r="A60" s="88" t="s">
        <v>343</v>
      </c>
      <c r="B60" s="88" t="s">
        <v>344</v>
      </c>
      <c r="C60" s="86"/>
      <c r="D60" s="86"/>
      <c r="E60" s="86"/>
      <c r="F60" s="86"/>
      <c r="G60" s="242"/>
    </row>
    <row r="61" spans="1:7" ht="87" x14ac:dyDescent="0.35">
      <c r="A61" s="246" t="s">
        <v>342</v>
      </c>
      <c r="B61" s="247" t="s">
        <v>346</v>
      </c>
      <c r="C61" s="86"/>
      <c r="D61" s="86"/>
      <c r="E61" s="86"/>
      <c r="F61" s="86"/>
      <c r="G61" s="242"/>
    </row>
    <row r="62" spans="1:7" ht="87" x14ac:dyDescent="0.35">
      <c r="A62" s="246" t="s">
        <v>345</v>
      </c>
      <c r="B62" s="247" t="s">
        <v>338</v>
      </c>
      <c r="C62" s="241"/>
      <c r="D62" s="241"/>
      <c r="E62" s="86"/>
      <c r="F62" s="86"/>
      <c r="G62" s="242"/>
    </row>
    <row r="63" spans="1:7" ht="72.5" x14ac:dyDescent="0.35">
      <c r="A63" s="246" t="s">
        <v>339</v>
      </c>
      <c r="B63" s="248" t="s">
        <v>105</v>
      </c>
      <c r="C63" s="241"/>
      <c r="D63" s="241"/>
      <c r="E63" s="86"/>
      <c r="F63" s="86"/>
      <c r="G63" s="242"/>
    </row>
    <row r="64" spans="1:7" ht="58" x14ac:dyDescent="0.35">
      <c r="A64" s="246" t="s">
        <v>340</v>
      </c>
      <c r="B64" s="248" t="s">
        <v>109</v>
      </c>
      <c r="C64" s="241"/>
      <c r="D64" s="241"/>
      <c r="E64" s="86"/>
      <c r="F64" s="86"/>
      <c r="G64" s="242"/>
    </row>
    <row r="65" spans="1:7" ht="43.5" x14ac:dyDescent="0.35">
      <c r="A65" s="246" t="s">
        <v>347</v>
      </c>
      <c r="B65" s="247" t="s">
        <v>348</v>
      </c>
      <c r="C65" s="241"/>
      <c r="D65" s="241"/>
      <c r="E65" s="86"/>
      <c r="F65" s="86"/>
      <c r="G65" s="242"/>
    </row>
    <row r="66" spans="1:7" ht="72.5" x14ac:dyDescent="0.35">
      <c r="A66" s="246" t="s">
        <v>341</v>
      </c>
      <c r="B66" s="248" t="s">
        <v>74</v>
      </c>
      <c r="C66" s="86"/>
      <c r="D66" s="86"/>
      <c r="E66" s="86"/>
      <c r="F66" s="86"/>
      <c r="G66" s="242"/>
    </row>
    <row r="67" spans="1:7" ht="15.5" x14ac:dyDescent="0.35">
      <c r="A67" s="260"/>
      <c r="B67" s="86"/>
      <c r="C67" s="86"/>
      <c r="D67" s="86"/>
      <c r="E67" s="86"/>
      <c r="F67" s="86"/>
      <c r="G67" s="242"/>
    </row>
    <row r="68" spans="1:7" x14ac:dyDescent="0.35">
      <c r="A68" s="261"/>
      <c r="B68" s="86"/>
      <c r="C68" s="86"/>
      <c r="D68" s="86"/>
      <c r="E68" s="86"/>
      <c r="F68" s="86"/>
      <c r="G68" s="242"/>
    </row>
    <row r="69" spans="1:7" x14ac:dyDescent="0.35">
      <c r="A69" s="244"/>
      <c r="B69" s="124"/>
      <c r="C69" s="124"/>
      <c r="D69" s="124"/>
      <c r="E69" s="124"/>
      <c r="F69" s="124"/>
      <c r="G69" s="245"/>
    </row>
  </sheetData>
  <sortState ref="A60:B65">
    <sortCondition ref="A60:A65"/>
  </sortState>
  <mergeCells count="5">
    <mergeCell ref="B14:G14"/>
    <mergeCell ref="A5:G5"/>
    <mergeCell ref="A6:G6"/>
    <mergeCell ref="A8:G8"/>
    <mergeCell ref="A7:G7"/>
  </mergeCells>
  <hyperlinks>
    <hyperlink ref="B66" r:id="rId1" display="https://www.energy.gov/sites/default/files/2022-06/USEER 2022 National Report_1.pdf"/>
    <hyperlink ref="B63" r:id="rId2" display="https://www.eia.gov/electricity/data/eia860/"/>
    <hyperlink ref="B64" r:id="rId3" display="https://www.eia.gov/electricity/data/eia861/"/>
    <hyperlink ref="B62" r:id="rId4"/>
    <hyperlink ref="B61" r:id="rId5"/>
    <hyperlink ref="B65" r:id="rId6"/>
  </hyperlinks>
  <pageMargins left="0.7" right="0.7" top="0.75" bottom="0.75" header="0.3" footer="0.3"/>
  <legacy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X61"/>
  <sheetViews>
    <sheetView workbookViewId="0">
      <selection activeCell="A30" sqref="A30"/>
    </sheetView>
  </sheetViews>
  <sheetFormatPr defaultColWidth="9.1796875" defaultRowHeight="14.5" x14ac:dyDescent="0.35"/>
  <cols>
    <col min="1" max="1" width="34" style="10" customWidth="1"/>
    <col min="2" max="2" width="38.54296875" style="10" bestFit="1" customWidth="1"/>
    <col min="3" max="3" width="9.54296875" style="10" customWidth="1"/>
    <col min="4" max="24" width="8" style="10" customWidth="1"/>
    <col min="25" max="46" width="6.26953125" style="10" customWidth="1"/>
    <col min="47" max="16384" width="9.1796875" style="10"/>
  </cols>
  <sheetData>
    <row r="1" spans="1:12" ht="48.75" customHeight="1" x14ac:dyDescent="0.35">
      <c r="A1" s="24" t="s">
        <v>191</v>
      </c>
      <c r="B1" s="25" t="s">
        <v>192</v>
      </c>
      <c r="C1" s="26" t="s">
        <v>198</v>
      </c>
      <c r="E1" s="41"/>
      <c r="F1" s="28"/>
      <c r="G1" s="28"/>
      <c r="H1" s="28"/>
      <c r="I1" s="28"/>
      <c r="J1" s="28"/>
      <c r="K1" s="28"/>
      <c r="L1" s="28"/>
    </row>
    <row r="2" spans="1:12" x14ac:dyDescent="0.35">
      <c r="A2" s="27" t="s">
        <v>158</v>
      </c>
      <c r="B2" s="28" t="s">
        <v>169</v>
      </c>
      <c r="C2" s="125">
        <f t="array" ref="C2:C23">TRANSPOSE(C26:X26)</f>
        <v>72418</v>
      </c>
      <c r="E2" s="28"/>
      <c r="F2" s="28"/>
      <c r="G2" s="28"/>
      <c r="H2" s="28"/>
      <c r="I2" s="28"/>
      <c r="J2" s="28"/>
      <c r="K2" s="28"/>
      <c r="L2" s="28"/>
    </row>
    <row r="3" spans="1:12" x14ac:dyDescent="0.35">
      <c r="A3" s="27" t="s">
        <v>159</v>
      </c>
      <c r="B3" s="28" t="s">
        <v>170</v>
      </c>
      <c r="C3" s="125">
        <v>97093</v>
      </c>
      <c r="E3" s="28"/>
      <c r="F3" s="28"/>
      <c r="G3" s="28"/>
      <c r="H3" s="28"/>
      <c r="I3" s="28"/>
      <c r="J3" s="28"/>
      <c r="K3" s="28"/>
      <c r="L3" s="28"/>
    </row>
    <row r="4" spans="1:12" x14ac:dyDescent="0.35">
      <c r="A4" s="27" t="s">
        <v>160</v>
      </c>
      <c r="B4" s="28" t="s">
        <v>171</v>
      </c>
      <c r="C4" s="125">
        <v>94426</v>
      </c>
      <c r="E4" s="28"/>
      <c r="F4" s="28"/>
      <c r="G4" s="28"/>
      <c r="H4" s="28"/>
      <c r="I4" s="28"/>
      <c r="J4" s="28"/>
      <c r="K4" s="28"/>
      <c r="L4" s="28"/>
    </row>
    <row r="5" spans="1:12" x14ac:dyDescent="0.35">
      <c r="A5" s="27" t="s">
        <v>161</v>
      </c>
      <c r="B5" s="28" t="s">
        <v>172</v>
      </c>
      <c r="C5" s="125">
        <v>77137</v>
      </c>
      <c r="E5" s="28"/>
      <c r="F5" s="28"/>
      <c r="G5" s="28"/>
      <c r="H5" s="28"/>
      <c r="I5" s="28"/>
      <c r="J5" s="28"/>
      <c r="K5" s="28"/>
      <c r="L5" s="28"/>
    </row>
    <row r="6" spans="1:12" x14ac:dyDescent="0.35">
      <c r="A6" s="27" t="s">
        <v>162</v>
      </c>
      <c r="B6" s="28" t="s">
        <v>173</v>
      </c>
      <c r="C6" s="125">
        <v>72592</v>
      </c>
      <c r="E6" s="28"/>
      <c r="F6" s="28"/>
      <c r="G6" s="28"/>
      <c r="H6" s="28"/>
      <c r="I6" s="28"/>
      <c r="J6" s="28"/>
      <c r="K6" s="28"/>
      <c r="L6" s="28"/>
    </row>
    <row r="7" spans="1:12" x14ac:dyDescent="0.35">
      <c r="A7" s="27" t="s">
        <v>163</v>
      </c>
      <c r="B7" s="28" t="s">
        <v>174</v>
      </c>
      <c r="C7" s="125">
        <v>74757</v>
      </c>
      <c r="E7" s="28"/>
      <c r="F7" s="28"/>
      <c r="G7" s="28"/>
      <c r="H7" s="28"/>
      <c r="I7" s="28"/>
      <c r="J7" s="28"/>
      <c r="K7" s="28"/>
      <c r="L7" s="28"/>
    </row>
    <row r="8" spans="1:12" x14ac:dyDescent="0.35">
      <c r="A8" s="27" t="s">
        <v>164</v>
      </c>
      <c r="B8" s="28" t="s">
        <v>175</v>
      </c>
      <c r="C8" s="125">
        <v>71609</v>
      </c>
      <c r="E8" s="28"/>
      <c r="F8" s="28"/>
      <c r="G8" s="28"/>
      <c r="H8" s="28"/>
      <c r="I8" s="28"/>
      <c r="J8" s="28"/>
      <c r="K8" s="28"/>
      <c r="L8" s="28"/>
    </row>
    <row r="9" spans="1:12" x14ac:dyDescent="0.35">
      <c r="A9" s="27" t="s">
        <v>165</v>
      </c>
      <c r="B9" s="28" t="s">
        <v>176</v>
      </c>
      <c r="C9" s="125">
        <v>79976</v>
      </c>
      <c r="E9" s="28"/>
      <c r="F9" s="28"/>
      <c r="G9" s="28"/>
      <c r="H9" s="28"/>
      <c r="I9" s="28"/>
      <c r="J9" s="28"/>
      <c r="K9" s="28"/>
      <c r="L9" s="28"/>
    </row>
    <row r="10" spans="1:12" x14ac:dyDescent="0.35">
      <c r="A10" s="27" t="s">
        <v>166</v>
      </c>
      <c r="B10" s="28" t="s">
        <v>177</v>
      </c>
      <c r="C10" s="125">
        <v>73849</v>
      </c>
      <c r="E10" s="28"/>
      <c r="F10" s="28"/>
      <c r="G10" s="28"/>
      <c r="H10" s="28"/>
      <c r="I10" s="28"/>
      <c r="J10" s="28"/>
      <c r="K10" s="28"/>
      <c r="L10" s="28"/>
    </row>
    <row r="11" spans="1:12" x14ac:dyDescent="0.35">
      <c r="A11" s="27" t="s">
        <v>167</v>
      </c>
      <c r="B11" s="28" t="s">
        <v>178</v>
      </c>
      <c r="C11" s="125">
        <v>79639</v>
      </c>
      <c r="E11" s="28"/>
      <c r="F11" s="28"/>
      <c r="G11" s="28"/>
      <c r="H11" s="28"/>
      <c r="I11" s="28"/>
      <c r="J11" s="28"/>
      <c r="K11" s="28"/>
      <c r="L11" s="28"/>
    </row>
    <row r="12" spans="1:12" x14ac:dyDescent="0.35">
      <c r="A12" s="27" t="s">
        <v>147</v>
      </c>
      <c r="B12" s="28" t="s">
        <v>179</v>
      </c>
      <c r="C12" s="125">
        <v>442782</v>
      </c>
    </row>
    <row r="13" spans="1:12" x14ac:dyDescent="0.35">
      <c r="A13" s="27" t="s">
        <v>148</v>
      </c>
      <c r="B13" s="28" t="s">
        <v>180</v>
      </c>
      <c r="C13" s="125">
        <v>67283</v>
      </c>
    </row>
    <row r="14" spans="1:12" x14ac:dyDescent="0.35">
      <c r="A14" s="27" t="s">
        <v>149</v>
      </c>
      <c r="B14" s="28" t="s">
        <v>181</v>
      </c>
      <c r="C14" s="125">
        <v>420379</v>
      </c>
    </row>
    <row r="15" spans="1:12" x14ac:dyDescent="0.35">
      <c r="A15" s="27" t="s">
        <v>150</v>
      </c>
      <c r="B15" s="28" t="s">
        <v>182</v>
      </c>
      <c r="C15" s="125">
        <v>71073</v>
      </c>
    </row>
    <row r="16" spans="1:12" x14ac:dyDescent="0.35">
      <c r="A16" s="27" t="s">
        <v>151</v>
      </c>
      <c r="B16" s="28" t="s">
        <v>183</v>
      </c>
      <c r="C16" s="125">
        <v>128355</v>
      </c>
    </row>
    <row r="17" spans="1:24" x14ac:dyDescent="0.35">
      <c r="A17" s="27" t="s">
        <v>152</v>
      </c>
      <c r="B17" s="28" t="s">
        <v>184</v>
      </c>
      <c r="C17" s="125">
        <v>77662</v>
      </c>
    </row>
    <row r="18" spans="1:24" x14ac:dyDescent="0.35">
      <c r="A18" s="27" t="s">
        <v>153</v>
      </c>
      <c r="B18" s="28" t="s">
        <v>185</v>
      </c>
      <c r="C18" s="125">
        <v>129988</v>
      </c>
    </row>
    <row r="19" spans="1:24" x14ac:dyDescent="0.35">
      <c r="A19" s="27" t="s">
        <v>154</v>
      </c>
      <c r="B19" s="28" t="s">
        <v>186</v>
      </c>
      <c r="C19" s="125">
        <v>77877</v>
      </c>
    </row>
    <row r="20" spans="1:24" x14ac:dyDescent="0.35">
      <c r="A20" s="27" t="s">
        <v>155</v>
      </c>
      <c r="B20" s="28" t="s">
        <v>187</v>
      </c>
      <c r="C20" s="125">
        <v>77811</v>
      </c>
    </row>
    <row r="21" spans="1:24" x14ac:dyDescent="0.35">
      <c r="A21" s="27" t="s">
        <v>156</v>
      </c>
      <c r="B21" s="28" t="s">
        <v>188</v>
      </c>
      <c r="C21" s="125">
        <v>78643</v>
      </c>
    </row>
    <row r="22" spans="1:24" x14ac:dyDescent="0.35">
      <c r="A22" s="27" t="s">
        <v>168</v>
      </c>
      <c r="B22" s="28" t="s">
        <v>189</v>
      </c>
      <c r="C22" s="125">
        <v>77877</v>
      </c>
    </row>
    <row r="23" spans="1:24" x14ac:dyDescent="0.35">
      <c r="A23" s="30" t="s">
        <v>157</v>
      </c>
      <c r="B23" s="22" t="s">
        <v>190</v>
      </c>
      <c r="C23" s="126">
        <v>70311</v>
      </c>
    </row>
    <row r="24" spans="1:24" x14ac:dyDescent="0.35">
      <c r="A24" s="36"/>
      <c r="B24" s="28"/>
    </row>
    <row r="25" spans="1:24" x14ac:dyDescent="0.35">
      <c r="A25" s="39" t="s">
        <v>196</v>
      </c>
      <c r="B25" s="39" t="s">
        <v>43</v>
      </c>
      <c r="C25" s="32" t="s">
        <v>199</v>
      </c>
      <c r="D25" s="33"/>
      <c r="E25" s="33"/>
      <c r="F25" s="33"/>
      <c r="G25" s="33"/>
      <c r="H25" s="33"/>
      <c r="I25" s="33"/>
      <c r="J25" s="33"/>
      <c r="K25" s="33"/>
      <c r="L25" s="33"/>
      <c r="M25" s="33"/>
      <c r="N25" s="33"/>
      <c r="O25" s="33"/>
      <c r="P25" s="33"/>
      <c r="Q25" s="33"/>
      <c r="R25" s="33"/>
      <c r="S25" s="33"/>
      <c r="T25" s="33"/>
      <c r="U25" s="33"/>
      <c r="V25" s="33"/>
      <c r="W25" s="33"/>
      <c r="X25" s="34"/>
    </row>
    <row r="26" spans="1:24" x14ac:dyDescent="0.35">
      <c r="A26" s="29"/>
      <c r="B26" s="29"/>
      <c r="C26" s="192">
        <f>ROUNDDOWN(SUM(C28:C60),0)</f>
        <v>72418</v>
      </c>
      <c r="D26" s="193">
        <f t="shared" ref="D26:X26" si="0">ROUNDDOWN(SUM(D28:D60),0)</f>
        <v>97093</v>
      </c>
      <c r="E26" s="193">
        <f t="shared" si="0"/>
        <v>94426</v>
      </c>
      <c r="F26" s="193">
        <f t="shared" si="0"/>
        <v>77137</v>
      </c>
      <c r="G26" s="193">
        <f t="shared" si="0"/>
        <v>72592</v>
      </c>
      <c r="H26" s="193">
        <f t="shared" si="0"/>
        <v>74757</v>
      </c>
      <c r="I26" s="193">
        <f t="shared" si="0"/>
        <v>71609</v>
      </c>
      <c r="J26" s="193">
        <f t="shared" si="0"/>
        <v>79976</v>
      </c>
      <c r="K26" s="193">
        <f t="shared" si="0"/>
        <v>73849</v>
      </c>
      <c r="L26" s="193">
        <f t="shared" si="0"/>
        <v>79639</v>
      </c>
      <c r="M26" s="193">
        <f t="shared" si="0"/>
        <v>442782</v>
      </c>
      <c r="N26" s="193">
        <f t="shared" si="0"/>
        <v>67283</v>
      </c>
      <c r="O26" s="193">
        <f t="shared" si="0"/>
        <v>420379</v>
      </c>
      <c r="P26" s="193">
        <f t="shared" si="0"/>
        <v>71073</v>
      </c>
      <c r="Q26" s="193">
        <f t="shared" si="0"/>
        <v>128355</v>
      </c>
      <c r="R26" s="193">
        <f t="shared" si="0"/>
        <v>77662</v>
      </c>
      <c r="S26" s="193">
        <f t="shared" si="0"/>
        <v>129988</v>
      </c>
      <c r="T26" s="193">
        <f t="shared" si="0"/>
        <v>77877</v>
      </c>
      <c r="U26" s="193">
        <f t="shared" si="0"/>
        <v>77811</v>
      </c>
      <c r="V26" s="193">
        <f t="shared" si="0"/>
        <v>78643</v>
      </c>
      <c r="W26" s="193">
        <f t="shared" si="0"/>
        <v>77877</v>
      </c>
      <c r="X26" s="194">
        <f t="shared" si="0"/>
        <v>70311</v>
      </c>
    </row>
    <row r="27" spans="1:24" s="13" customFormat="1" x14ac:dyDescent="0.35">
      <c r="A27" s="38"/>
      <c r="B27" s="40"/>
      <c r="C27" s="131" t="s">
        <v>158</v>
      </c>
      <c r="D27" s="132" t="s">
        <v>159</v>
      </c>
      <c r="E27" s="132" t="s">
        <v>160</v>
      </c>
      <c r="F27" s="132" t="s">
        <v>161</v>
      </c>
      <c r="G27" s="132" t="s">
        <v>162</v>
      </c>
      <c r="H27" s="132" t="s">
        <v>163</v>
      </c>
      <c r="I27" s="132" t="s">
        <v>164</v>
      </c>
      <c r="J27" s="132" t="s">
        <v>165</v>
      </c>
      <c r="K27" s="132" t="s">
        <v>166</v>
      </c>
      <c r="L27" s="132" t="s">
        <v>167</v>
      </c>
      <c r="M27" s="132" t="s">
        <v>147</v>
      </c>
      <c r="N27" s="132" t="s">
        <v>148</v>
      </c>
      <c r="O27" s="132" t="s">
        <v>149</v>
      </c>
      <c r="P27" s="132" t="s">
        <v>150</v>
      </c>
      <c r="Q27" s="132" t="s">
        <v>151</v>
      </c>
      <c r="R27" s="132" t="s">
        <v>152</v>
      </c>
      <c r="S27" s="132" t="s">
        <v>153</v>
      </c>
      <c r="T27" s="132" t="s">
        <v>154</v>
      </c>
      <c r="U27" s="132" t="s">
        <v>155</v>
      </c>
      <c r="V27" s="132" t="s">
        <v>156</v>
      </c>
      <c r="W27" s="132" t="s">
        <v>168</v>
      </c>
      <c r="X27" s="133" t="s">
        <v>157</v>
      </c>
    </row>
    <row r="28" spans="1:24" x14ac:dyDescent="0.35">
      <c r="A28" s="92" t="s">
        <v>10</v>
      </c>
      <c r="B28" s="29">
        <f>Jobs_Per_MW!O15</f>
        <v>0.1997271973206857</v>
      </c>
      <c r="C28" s="155">
        <f>$B28*Cumulative_Capacity!B4</f>
        <v>0</v>
      </c>
      <c r="D28" s="156">
        <f>$B28*Cumulative_Capacity!C4</f>
        <v>0</v>
      </c>
      <c r="E28" s="156">
        <f>$B28*Cumulative_Capacity!D4</f>
        <v>0</v>
      </c>
      <c r="F28" s="156">
        <f>$B28*Cumulative_Capacity!E4</f>
        <v>0</v>
      </c>
      <c r="G28" s="156">
        <f>$B28*Cumulative_Capacity!F4</f>
        <v>0</v>
      </c>
      <c r="H28" s="156">
        <f>$B28*Cumulative_Capacity!G4</f>
        <v>0</v>
      </c>
      <c r="I28" s="156">
        <f>$B28*Cumulative_Capacity!H4</f>
        <v>0</v>
      </c>
      <c r="J28" s="156">
        <f>$B28*Cumulative_Capacity!I4</f>
        <v>0</v>
      </c>
      <c r="K28" s="156">
        <f>$B28*Cumulative_Capacity!J4</f>
        <v>0</v>
      </c>
      <c r="L28" s="156">
        <f>$B28*Cumulative_Capacity!K4</f>
        <v>0</v>
      </c>
      <c r="M28" s="156">
        <f>$B28*Cumulative_Capacity!L4</f>
        <v>0</v>
      </c>
      <c r="N28" s="156">
        <f>$B28*Cumulative_Capacity!M4</f>
        <v>0</v>
      </c>
      <c r="O28" s="156">
        <f>$B28*Cumulative_Capacity!N4</f>
        <v>0</v>
      </c>
      <c r="P28" s="156">
        <f>$B28*Cumulative_Capacity!O4</f>
        <v>0</v>
      </c>
      <c r="Q28" s="156">
        <f>$B28*Cumulative_Capacity!P4</f>
        <v>0</v>
      </c>
      <c r="R28" s="156">
        <f>$B28*Cumulative_Capacity!Q4</f>
        <v>0</v>
      </c>
      <c r="S28" s="156">
        <f>$B28*Cumulative_Capacity!R4</f>
        <v>0</v>
      </c>
      <c r="T28" s="156">
        <f>$B28*Cumulative_Capacity!S4</f>
        <v>0</v>
      </c>
      <c r="U28" s="156">
        <f>$B28*Cumulative_Capacity!T4</f>
        <v>0</v>
      </c>
      <c r="V28" s="156">
        <f>$B28*Cumulative_Capacity!U4</f>
        <v>0</v>
      </c>
      <c r="W28" s="156">
        <f>$B28*Cumulative_Capacity!V4</f>
        <v>0</v>
      </c>
      <c r="X28" s="157">
        <f>$B28*Cumulative_Capacity!W4</f>
        <v>0</v>
      </c>
    </row>
    <row r="29" spans="1:24" x14ac:dyDescent="0.35">
      <c r="A29" s="93" t="s">
        <v>11</v>
      </c>
      <c r="B29" s="29">
        <f>Jobs_Per_MW!O16</f>
        <v>0.1997271973206857</v>
      </c>
      <c r="C29" s="155">
        <f>$B29*Cumulative_Capacity!B5</f>
        <v>189.34138306001003</v>
      </c>
      <c r="D29" s="156">
        <f>$B29*Cumulative_Capacity!C5</f>
        <v>47.335345765002508</v>
      </c>
      <c r="E29" s="156">
        <f>$B29*Cumulative_Capacity!D5</f>
        <v>189.34138306001003</v>
      </c>
      <c r="F29" s="156">
        <f>$B29*Cumulative_Capacity!E5</f>
        <v>189.34138306001003</v>
      </c>
      <c r="G29" s="156">
        <f>$B29*Cumulative_Capacity!F5</f>
        <v>189.34138306001003</v>
      </c>
      <c r="H29" s="156">
        <f>$B29*Cumulative_Capacity!G5</f>
        <v>189.34138306001003</v>
      </c>
      <c r="I29" s="156">
        <f>$B29*Cumulative_Capacity!H5</f>
        <v>189.34138306001003</v>
      </c>
      <c r="J29" s="156">
        <f>$B29*Cumulative_Capacity!I5</f>
        <v>142.00603729500753</v>
      </c>
      <c r="K29" s="156">
        <f>$B29*Cumulative_Capacity!J5</f>
        <v>189.34138306001003</v>
      </c>
      <c r="L29" s="156">
        <f>$B29*Cumulative_Capacity!K5</f>
        <v>189.34138306001003</v>
      </c>
      <c r="M29" s="156">
        <f>$B29*Cumulative_Capacity!L5</f>
        <v>0</v>
      </c>
      <c r="N29" s="156">
        <f>$B29*Cumulative_Capacity!M5</f>
        <v>0</v>
      </c>
      <c r="O29" s="156">
        <f>$B29*Cumulative_Capacity!N5</f>
        <v>0</v>
      </c>
      <c r="P29" s="156">
        <f>$B29*Cumulative_Capacity!O5</f>
        <v>0</v>
      </c>
      <c r="Q29" s="156">
        <f>$B29*Cumulative_Capacity!P5</f>
        <v>94.670691530005016</v>
      </c>
      <c r="R29" s="156">
        <f>$B29*Cumulative_Capacity!Q5</f>
        <v>0</v>
      </c>
      <c r="S29" s="156">
        <f>$B29*Cumulative_Capacity!R5</f>
        <v>0</v>
      </c>
      <c r="T29" s="156">
        <f>$B29*Cumulative_Capacity!S5</f>
        <v>189.34138306001003</v>
      </c>
      <c r="U29" s="156">
        <f>$B29*Cumulative_Capacity!T5</f>
        <v>189.34138306001003</v>
      </c>
      <c r="V29" s="156">
        <f>$B29*Cumulative_Capacity!U5</f>
        <v>189.34138306001003</v>
      </c>
      <c r="W29" s="156">
        <f>$B29*Cumulative_Capacity!V5</f>
        <v>189.34138306001003</v>
      </c>
      <c r="X29" s="157">
        <f>$B29*Cumulative_Capacity!W5</f>
        <v>189.34138306001003</v>
      </c>
    </row>
    <row r="30" spans="1:24" x14ac:dyDescent="0.35">
      <c r="A30" s="93" t="s">
        <v>12</v>
      </c>
      <c r="B30" s="29">
        <f>Jobs_Per_MW!O17</f>
        <v>0.1997271973206857</v>
      </c>
      <c r="C30" s="155">
        <f>$B30*Cumulative_Capacity!B6</f>
        <v>0</v>
      </c>
      <c r="D30" s="156">
        <f>$B30*Cumulative_Capacity!C6</f>
        <v>47.255456867011091</v>
      </c>
      <c r="E30" s="156">
        <f>$B30*Cumulative_Capacity!D6</f>
        <v>10.905105430848712</v>
      </c>
      <c r="F30" s="156">
        <f>$B30*Cumulative_Capacity!E6</f>
        <v>0</v>
      </c>
      <c r="G30" s="156">
        <f>$B30*Cumulative_Capacity!F6</f>
        <v>3.6350351436162378</v>
      </c>
      <c r="H30" s="156">
        <f>$B30*Cumulative_Capacity!G6</f>
        <v>0</v>
      </c>
      <c r="I30" s="156">
        <f>$B30*Cumulative_Capacity!H6</f>
        <v>3.6350351436162378</v>
      </c>
      <c r="J30" s="156">
        <f>$B30*Cumulative_Capacity!I6</f>
        <v>10.905105430848712</v>
      </c>
      <c r="K30" s="156">
        <f>$B30*Cumulative_Capacity!J6</f>
        <v>0</v>
      </c>
      <c r="L30" s="156">
        <f>$B30*Cumulative_Capacity!K6</f>
        <v>0</v>
      </c>
      <c r="M30" s="156">
        <f>$B30*Cumulative_Capacity!L6</f>
        <v>0</v>
      </c>
      <c r="N30" s="156">
        <f>$B30*Cumulative_Capacity!M6</f>
        <v>0</v>
      </c>
      <c r="O30" s="156">
        <f>$B30*Cumulative_Capacity!N6</f>
        <v>0</v>
      </c>
      <c r="P30" s="156">
        <f>$B30*Cumulative_Capacity!O6</f>
        <v>0</v>
      </c>
      <c r="Q30" s="156">
        <f>$B30*Cumulative_Capacity!P6</f>
        <v>0</v>
      </c>
      <c r="R30" s="156">
        <f>$B30*Cumulative_Capacity!Q6</f>
        <v>3.6350351436162378</v>
      </c>
      <c r="S30" s="156">
        <f>$B30*Cumulative_Capacity!R6</f>
        <v>0</v>
      </c>
      <c r="T30" s="156">
        <f>$B30*Cumulative_Capacity!S6</f>
        <v>3.6350351436162378</v>
      </c>
      <c r="U30" s="156">
        <f>$B30*Cumulative_Capacity!T6</f>
        <v>0</v>
      </c>
      <c r="V30" s="156">
        <f>$B30*Cumulative_Capacity!U6</f>
        <v>10.905105430848712</v>
      </c>
      <c r="W30" s="156">
        <f>$B30*Cumulative_Capacity!V6</f>
        <v>3.6350351436162378</v>
      </c>
      <c r="X30" s="157">
        <f>$B30*Cumulative_Capacity!W6</f>
        <v>0</v>
      </c>
    </row>
    <row r="31" spans="1:24" x14ac:dyDescent="0.35">
      <c r="A31" s="93" t="s">
        <v>13</v>
      </c>
      <c r="B31" s="29">
        <f>Jobs_Per_MW!O18</f>
        <v>0.90072289301123487</v>
      </c>
      <c r="C31" s="155">
        <f>$B31*Cumulative_Capacity!B7</f>
        <v>1711.3734967213463</v>
      </c>
      <c r="D31" s="156">
        <f>$B31*Cumulative_Capacity!C7</f>
        <v>720.57831440898792</v>
      </c>
      <c r="E31" s="156">
        <f>$B31*Cumulative_Capacity!D7</f>
        <v>1711.3734967213463</v>
      </c>
      <c r="F31" s="156">
        <f>$B31*Cumulative_Capacity!E7</f>
        <v>1981.5903646247168</v>
      </c>
      <c r="G31" s="156">
        <f>$B31*Cumulative_Capacity!F7</f>
        <v>1531.2289181190993</v>
      </c>
      <c r="H31" s="156">
        <f>$B31*Cumulative_Capacity!G7</f>
        <v>1711.3734967213463</v>
      </c>
      <c r="I31" s="156">
        <f>$B31*Cumulative_Capacity!H7</f>
        <v>1801.4457860224697</v>
      </c>
      <c r="J31" s="156">
        <f>$B31*Cumulative_Capacity!I7</f>
        <v>1531.2289181190993</v>
      </c>
      <c r="K31" s="156">
        <f>$B31*Cumulative_Capacity!J7</f>
        <v>1531.2289181190993</v>
      </c>
      <c r="L31" s="156">
        <f>$B31*Cumulative_Capacity!K7</f>
        <v>1531.2289181190993</v>
      </c>
      <c r="M31" s="156">
        <f>$B31*Cumulative_Capacity!L7</f>
        <v>2792.2409683348283</v>
      </c>
      <c r="N31" s="156">
        <f>$B31*Cumulative_Capacity!M7</f>
        <v>2522.0241004314576</v>
      </c>
      <c r="O31" s="156">
        <f>$B31*Cumulative_Capacity!N7</f>
        <v>2882.3132576359517</v>
      </c>
      <c r="P31" s="156">
        <f>$B31*Cumulative_Capacity!O7</f>
        <v>2251.8072325280873</v>
      </c>
      <c r="Q31" s="156">
        <f>$B31*Cumulative_Capacity!P7</f>
        <v>1981.5903646247168</v>
      </c>
      <c r="R31" s="156">
        <f>$B31*Cumulative_Capacity!Q7</f>
        <v>2431.9518111303341</v>
      </c>
      <c r="S31" s="156">
        <f>$B31*Cumulative_Capacity!R7</f>
        <v>1801.4457860224697</v>
      </c>
      <c r="T31" s="156">
        <f>$B31*Cumulative_Capacity!S7</f>
        <v>1621.3012074202227</v>
      </c>
      <c r="U31" s="156">
        <f>$B31*Cumulative_Capacity!T7</f>
        <v>1711.3734967213463</v>
      </c>
      <c r="V31" s="156">
        <f>$B31*Cumulative_Capacity!U7</f>
        <v>1801.4457860224697</v>
      </c>
      <c r="W31" s="156">
        <f>$B31*Cumulative_Capacity!V7</f>
        <v>1621.3012074202227</v>
      </c>
      <c r="X31" s="157">
        <f>$B31*Cumulative_Capacity!W7</f>
        <v>1891.5180753235932</v>
      </c>
    </row>
    <row r="32" spans="1:24" x14ac:dyDescent="0.35">
      <c r="A32" s="93" t="s">
        <v>14</v>
      </c>
      <c r="B32" s="29">
        <f>Jobs_Per_MW!O19</f>
        <v>0.90072289301123487</v>
      </c>
      <c r="C32" s="155">
        <f>$B32*Cumulative_Capacity!B8</f>
        <v>180.14457860224698</v>
      </c>
      <c r="D32" s="156">
        <f>$B32*Cumulative_Capacity!C8</f>
        <v>180.14457860224698</v>
      </c>
      <c r="E32" s="156">
        <f>$B32*Cumulative_Capacity!D8</f>
        <v>193.65542199741549</v>
      </c>
      <c r="F32" s="156">
        <f>$B32*Cumulative_Capacity!E8</f>
        <v>180.14457860224698</v>
      </c>
      <c r="G32" s="156">
        <f>$B32*Cumulative_Capacity!F8</f>
        <v>180.14457860224698</v>
      </c>
      <c r="H32" s="156">
        <f>$B32*Cumulative_Capacity!G8</f>
        <v>180.14457860224698</v>
      </c>
      <c r="I32" s="156">
        <f>$B32*Cumulative_Capacity!H8</f>
        <v>180.14457860224698</v>
      </c>
      <c r="J32" s="156">
        <f>$B32*Cumulative_Capacity!I8</f>
        <v>180.14457860224698</v>
      </c>
      <c r="K32" s="156">
        <f>$B32*Cumulative_Capacity!J8</f>
        <v>180.14457860224698</v>
      </c>
      <c r="L32" s="156">
        <f>$B32*Cumulative_Capacity!K8</f>
        <v>180.14457860224698</v>
      </c>
      <c r="M32" s="156">
        <f>$B32*Cumulative_Capacity!L8</f>
        <v>180.14457860224698</v>
      </c>
      <c r="N32" s="156">
        <f>$B32*Cumulative_Capacity!M8</f>
        <v>180.14457860224698</v>
      </c>
      <c r="O32" s="156">
        <f>$B32*Cumulative_Capacity!N8</f>
        <v>180.14457860224698</v>
      </c>
      <c r="P32" s="156">
        <f>$B32*Cumulative_Capacity!O8</f>
        <v>180.14457860224698</v>
      </c>
      <c r="Q32" s="156">
        <f>$B32*Cumulative_Capacity!P8</f>
        <v>180.14457860224698</v>
      </c>
      <c r="R32" s="156">
        <f>$B32*Cumulative_Capacity!Q8</f>
        <v>180.14457860224698</v>
      </c>
      <c r="S32" s="156">
        <f>$B32*Cumulative_Capacity!R8</f>
        <v>180.14457860224698</v>
      </c>
      <c r="T32" s="156">
        <f>$B32*Cumulative_Capacity!S8</f>
        <v>180.14457860224698</v>
      </c>
      <c r="U32" s="156">
        <f>$B32*Cumulative_Capacity!T8</f>
        <v>0</v>
      </c>
      <c r="V32" s="156">
        <f>$B32*Cumulative_Capacity!U8</f>
        <v>180.14457860224698</v>
      </c>
      <c r="W32" s="156">
        <f>$B32*Cumulative_Capacity!V8</f>
        <v>180.14457860224698</v>
      </c>
      <c r="X32" s="157">
        <f>$B32*Cumulative_Capacity!W8</f>
        <v>0</v>
      </c>
    </row>
    <row r="33" spans="1:24" x14ac:dyDescent="0.35">
      <c r="A33" s="93" t="s">
        <v>15</v>
      </c>
      <c r="B33" s="29">
        <f>Jobs_Per_MW!O20</f>
        <v>0.90072289301123487</v>
      </c>
      <c r="C33" s="155">
        <f>$B33*Cumulative_Capacity!B9</f>
        <v>180.14457860224698</v>
      </c>
      <c r="D33" s="156">
        <f>$B33*Cumulative_Capacity!C9</f>
        <v>180.14457860224698</v>
      </c>
      <c r="E33" s="156">
        <f>$B33*Cumulative_Capacity!D9</f>
        <v>0</v>
      </c>
      <c r="F33" s="156">
        <f>$B33*Cumulative_Capacity!E9</f>
        <v>180.14457860224698</v>
      </c>
      <c r="G33" s="156">
        <f>$B33*Cumulative_Capacity!F9</f>
        <v>180.14457860224698</v>
      </c>
      <c r="H33" s="156">
        <f>$B33*Cumulative_Capacity!G9</f>
        <v>180.14457860224698</v>
      </c>
      <c r="I33" s="156">
        <f>$B33*Cumulative_Capacity!H9</f>
        <v>180.14457860224698</v>
      </c>
      <c r="J33" s="156">
        <f>$B33*Cumulative_Capacity!I9</f>
        <v>180.14457860224698</v>
      </c>
      <c r="K33" s="156">
        <f>$B33*Cumulative_Capacity!J9</f>
        <v>180.14457860224698</v>
      </c>
      <c r="L33" s="156">
        <f>$B33*Cumulative_Capacity!K9</f>
        <v>180.14457860224698</v>
      </c>
      <c r="M33" s="156">
        <f>$B33*Cumulative_Capacity!L9</f>
        <v>180.14457860224698</v>
      </c>
      <c r="N33" s="156">
        <f>$B33*Cumulative_Capacity!M9</f>
        <v>180.14457860224698</v>
      </c>
      <c r="O33" s="156">
        <f>$B33*Cumulative_Capacity!N9</f>
        <v>180.14457860224698</v>
      </c>
      <c r="P33" s="156">
        <f>$B33*Cumulative_Capacity!O9</f>
        <v>180.14457860224698</v>
      </c>
      <c r="Q33" s="156">
        <f>$B33*Cumulative_Capacity!P9</f>
        <v>180.14457860224698</v>
      </c>
      <c r="R33" s="156">
        <f>$B33*Cumulative_Capacity!Q9</f>
        <v>180.14457860224698</v>
      </c>
      <c r="S33" s="156">
        <f>$B33*Cumulative_Capacity!R9</f>
        <v>180.14457860224698</v>
      </c>
      <c r="T33" s="156">
        <f>$B33*Cumulative_Capacity!S9</f>
        <v>180.14457860224698</v>
      </c>
      <c r="U33" s="156">
        <f>$B33*Cumulative_Capacity!T9</f>
        <v>180.14457860224698</v>
      </c>
      <c r="V33" s="156">
        <f>$B33*Cumulative_Capacity!U9</f>
        <v>180.14457860224698</v>
      </c>
      <c r="W33" s="156">
        <f>$B33*Cumulative_Capacity!V9</f>
        <v>180.14457860224698</v>
      </c>
      <c r="X33" s="157">
        <f>$B33*Cumulative_Capacity!W9</f>
        <v>180.14457860224698</v>
      </c>
    </row>
    <row r="34" spans="1:24" x14ac:dyDescent="0.35">
      <c r="A34" s="93" t="s">
        <v>16</v>
      </c>
      <c r="B34" s="29">
        <f>Jobs_Per_MW!O21</f>
        <v>0.90072289301123487</v>
      </c>
      <c r="C34" s="155">
        <f>$B34*Cumulative_Capacity!B10</f>
        <v>315.25301255393219</v>
      </c>
      <c r="D34" s="156">
        <f>$B34*Cumulative_Capacity!C10</f>
        <v>315.25301255393219</v>
      </c>
      <c r="E34" s="156">
        <f>$B34*Cumulative_Capacity!D10</f>
        <v>0</v>
      </c>
      <c r="F34" s="156">
        <f>$B34*Cumulative_Capacity!E10</f>
        <v>0</v>
      </c>
      <c r="G34" s="156">
        <f>$B34*Cumulative_Capacity!F10</f>
        <v>315.25301255393219</v>
      </c>
      <c r="H34" s="156">
        <f>$B34*Cumulative_Capacity!G10</f>
        <v>315.25301255393219</v>
      </c>
      <c r="I34" s="156">
        <f>$B34*Cumulative_Capacity!H10</f>
        <v>315.25301255393219</v>
      </c>
      <c r="J34" s="156">
        <f>$B34*Cumulative_Capacity!I10</f>
        <v>315.25301255393219</v>
      </c>
      <c r="K34" s="156">
        <f>$B34*Cumulative_Capacity!J10</f>
        <v>315.25301255393219</v>
      </c>
      <c r="L34" s="156">
        <f>$B34*Cumulative_Capacity!K10</f>
        <v>315.25301255393219</v>
      </c>
      <c r="M34" s="156">
        <f>$B34*Cumulative_Capacity!L10</f>
        <v>315.25301255393219</v>
      </c>
      <c r="N34" s="156">
        <f>$B34*Cumulative_Capacity!M10</f>
        <v>0</v>
      </c>
      <c r="O34" s="156">
        <f>$B34*Cumulative_Capacity!N10</f>
        <v>315.25301255393219</v>
      </c>
      <c r="P34" s="156">
        <f>$B34*Cumulative_Capacity!O10</f>
        <v>315.25301255393219</v>
      </c>
      <c r="Q34" s="156">
        <f>$B34*Cumulative_Capacity!P10</f>
        <v>315.25301255393219</v>
      </c>
      <c r="R34" s="156">
        <f>$B34*Cumulative_Capacity!Q10</f>
        <v>315.25301255393219</v>
      </c>
      <c r="S34" s="156">
        <f>$B34*Cumulative_Capacity!R10</f>
        <v>315.25301255393219</v>
      </c>
      <c r="T34" s="156">
        <f>$B34*Cumulative_Capacity!S10</f>
        <v>315.25301255393219</v>
      </c>
      <c r="U34" s="156">
        <f>$B34*Cumulative_Capacity!T10</f>
        <v>315.25301255393219</v>
      </c>
      <c r="V34" s="156">
        <f>$B34*Cumulative_Capacity!U10</f>
        <v>315.25301255393219</v>
      </c>
      <c r="W34" s="156">
        <f>$B34*Cumulative_Capacity!V10</f>
        <v>315.25301255393219</v>
      </c>
      <c r="X34" s="157">
        <f>$B34*Cumulative_Capacity!W10</f>
        <v>315.25301255393219</v>
      </c>
    </row>
    <row r="35" spans="1:24" x14ac:dyDescent="0.35">
      <c r="A35" s="93" t="s">
        <v>17</v>
      </c>
      <c r="B35" s="29">
        <f>Jobs_Per_MW!O22</f>
        <v>0.90072289301123487</v>
      </c>
      <c r="C35" s="155">
        <f>$B35*Cumulative_Capacity!B11</f>
        <v>0</v>
      </c>
      <c r="D35" s="156">
        <f>$B35*Cumulative_Capacity!C11</f>
        <v>0</v>
      </c>
      <c r="E35" s="156">
        <f>$B35*Cumulative_Capacity!D11</f>
        <v>0</v>
      </c>
      <c r="F35" s="156">
        <f>$B35*Cumulative_Capacity!E11</f>
        <v>0</v>
      </c>
      <c r="G35" s="156">
        <f>$B35*Cumulative_Capacity!F11</f>
        <v>0</v>
      </c>
      <c r="H35" s="156">
        <f>$B35*Cumulative_Capacity!G11</f>
        <v>0</v>
      </c>
      <c r="I35" s="156">
        <f>$B35*Cumulative_Capacity!H11</f>
        <v>0</v>
      </c>
      <c r="J35" s="156">
        <f>$B35*Cumulative_Capacity!I11</f>
        <v>0</v>
      </c>
      <c r="K35" s="156">
        <f>$B35*Cumulative_Capacity!J11</f>
        <v>0</v>
      </c>
      <c r="L35" s="156">
        <f>$B35*Cumulative_Capacity!K11</f>
        <v>0</v>
      </c>
      <c r="M35" s="156">
        <f>$B35*Cumulative_Capacity!L11</f>
        <v>0</v>
      </c>
      <c r="N35" s="156">
        <f>$B35*Cumulative_Capacity!M11</f>
        <v>0</v>
      </c>
      <c r="O35" s="156">
        <f>$B35*Cumulative_Capacity!N11</f>
        <v>0</v>
      </c>
      <c r="P35" s="156">
        <f>$B35*Cumulative_Capacity!O11</f>
        <v>0</v>
      </c>
      <c r="Q35" s="156">
        <f>$B35*Cumulative_Capacity!P11</f>
        <v>0</v>
      </c>
      <c r="R35" s="156">
        <f>$B35*Cumulative_Capacity!Q11</f>
        <v>0</v>
      </c>
      <c r="S35" s="156">
        <f>$B35*Cumulative_Capacity!R11</f>
        <v>0</v>
      </c>
      <c r="T35" s="156">
        <f>$B35*Cumulative_Capacity!S11</f>
        <v>0</v>
      </c>
      <c r="U35" s="156">
        <f>$B35*Cumulative_Capacity!T11</f>
        <v>0</v>
      </c>
      <c r="V35" s="156">
        <f>$B35*Cumulative_Capacity!U11</f>
        <v>0</v>
      </c>
      <c r="W35" s="156">
        <f>$B35*Cumulative_Capacity!V11</f>
        <v>0</v>
      </c>
      <c r="X35" s="157">
        <f>$B35*Cumulative_Capacity!W11</f>
        <v>0</v>
      </c>
    </row>
    <row r="36" spans="1:24" x14ac:dyDescent="0.35">
      <c r="A36" s="93" t="s">
        <v>18</v>
      </c>
      <c r="B36" s="29">
        <f>Jobs_Per_MW!O23</f>
        <v>0.90072289301123487</v>
      </c>
      <c r="C36" s="155">
        <f>$B36*Cumulative_Capacity!B12</f>
        <v>360.28915720449396</v>
      </c>
      <c r="D36" s="156">
        <f>$B36*Cumulative_Capacity!C12</f>
        <v>360.28915720449396</v>
      </c>
      <c r="E36" s="156">
        <f>$B36*Cumulative_Capacity!D12</f>
        <v>360.28915720449396</v>
      </c>
      <c r="F36" s="156">
        <f>$B36*Cumulative_Capacity!E12</f>
        <v>360.28915720449396</v>
      </c>
      <c r="G36" s="156">
        <f>$B36*Cumulative_Capacity!F12</f>
        <v>360.28915720449396</v>
      </c>
      <c r="H36" s="156">
        <f>$B36*Cumulative_Capacity!G12</f>
        <v>360.28915720449396</v>
      </c>
      <c r="I36" s="156">
        <f>$B36*Cumulative_Capacity!H12</f>
        <v>360.28915720449396</v>
      </c>
      <c r="J36" s="156">
        <f>$B36*Cumulative_Capacity!I12</f>
        <v>360.28915720449396</v>
      </c>
      <c r="K36" s="156">
        <f>$B36*Cumulative_Capacity!J12</f>
        <v>360.28915720449396</v>
      </c>
      <c r="L36" s="156">
        <f>$B36*Cumulative_Capacity!K12</f>
        <v>360.28915720449396</v>
      </c>
      <c r="M36" s="156">
        <f>$B36*Cumulative_Capacity!L12</f>
        <v>0</v>
      </c>
      <c r="N36" s="156">
        <f>$B36*Cumulative_Capacity!M12</f>
        <v>360.28915720449396</v>
      </c>
      <c r="O36" s="156">
        <f>$B36*Cumulative_Capacity!N12</f>
        <v>0</v>
      </c>
      <c r="P36" s="156">
        <f>$B36*Cumulative_Capacity!O12</f>
        <v>360.28915720449396</v>
      </c>
      <c r="Q36" s="156">
        <f>$B36*Cumulative_Capacity!P12</f>
        <v>360.28915720449396</v>
      </c>
      <c r="R36" s="156">
        <f>$B36*Cumulative_Capacity!Q12</f>
        <v>0</v>
      </c>
      <c r="S36" s="156">
        <f>$B36*Cumulative_Capacity!R12</f>
        <v>360.28915720449396</v>
      </c>
      <c r="T36" s="156">
        <f>$B36*Cumulative_Capacity!S12</f>
        <v>360.28915720449396</v>
      </c>
      <c r="U36" s="156">
        <f>$B36*Cumulative_Capacity!T12</f>
        <v>360.28915720449396</v>
      </c>
      <c r="V36" s="156">
        <f>$B36*Cumulative_Capacity!U12</f>
        <v>360.28915720449396</v>
      </c>
      <c r="W36" s="156">
        <f>$B36*Cumulative_Capacity!V12</f>
        <v>360.28915720449396</v>
      </c>
      <c r="X36" s="157">
        <f>$B36*Cumulative_Capacity!W12</f>
        <v>360.28915720449396</v>
      </c>
    </row>
    <row r="37" spans="1:24" x14ac:dyDescent="0.35">
      <c r="A37" s="93" t="s">
        <v>19</v>
      </c>
      <c r="B37" s="29">
        <f>Jobs_Per_MW!O24</f>
        <v>0.90072289301123487</v>
      </c>
      <c r="C37" s="155">
        <f>$B37*Cumulative_Capacity!B13</f>
        <v>0</v>
      </c>
      <c r="D37" s="156">
        <f>$B37*Cumulative_Capacity!C13</f>
        <v>0</v>
      </c>
      <c r="E37" s="156">
        <f>$B37*Cumulative_Capacity!D13</f>
        <v>0</v>
      </c>
      <c r="F37" s="156">
        <f>$B37*Cumulative_Capacity!E13</f>
        <v>0</v>
      </c>
      <c r="G37" s="156">
        <f>$B37*Cumulative_Capacity!F13</f>
        <v>0</v>
      </c>
      <c r="H37" s="156">
        <f>$B37*Cumulative_Capacity!G13</f>
        <v>0</v>
      </c>
      <c r="I37" s="156">
        <f>$B37*Cumulative_Capacity!H13</f>
        <v>0</v>
      </c>
      <c r="J37" s="156">
        <f>$B37*Cumulative_Capacity!I13</f>
        <v>0</v>
      </c>
      <c r="K37" s="156">
        <f>$B37*Cumulative_Capacity!J13</f>
        <v>0</v>
      </c>
      <c r="L37" s="156">
        <f>$B37*Cumulative_Capacity!K13</f>
        <v>0</v>
      </c>
      <c r="M37" s="156">
        <f>$B37*Cumulative_Capacity!L13</f>
        <v>0</v>
      </c>
      <c r="N37" s="156">
        <f>$B37*Cumulative_Capacity!M13</f>
        <v>0</v>
      </c>
      <c r="O37" s="156">
        <f>$B37*Cumulative_Capacity!N13</f>
        <v>0</v>
      </c>
      <c r="P37" s="156">
        <f>$B37*Cumulative_Capacity!O13</f>
        <v>0</v>
      </c>
      <c r="Q37" s="156">
        <f>$B37*Cumulative_Capacity!P13</f>
        <v>0</v>
      </c>
      <c r="R37" s="156">
        <f>$B37*Cumulative_Capacity!Q13</f>
        <v>0</v>
      </c>
      <c r="S37" s="156">
        <f>$B37*Cumulative_Capacity!R13</f>
        <v>0</v>
      </c>
      <c r="T37" s="156">
        <f>$B37*Cumulative_Capacity!S13</f>
        <v>0</v>
      </c>
      <c r="U37" s="156">
        <f>$B37*Cumulative_Capacity!T13</f>
        <v>0</v>
      </c>
      <c r="V37" s="156">
        <f>$B37*Cumulative_Capacity!U13</f>
        <v>0</v>
      </c>
      <c r="W37" s="156">
        <f>$B37*Cumulative_Capacity!V13</f>
        <v>0</v>
      </c>
      <c r="X37" s="157">
        <f>$B37*Cumulative_Capacity!W13</f>
        <v>0</v>
      </c>
    </row>
    <row r="38" spans="1:24" x14ac:dyDescent="0.35">
      <c r="A38" s="93" t="s">
        <v>20</v>
      </c>
      <c r="B38" s="29">
        <f>Jobs_Per_MW!O25</f>
        <v>0.90072289301123487</v>
      </c>
      <c r="C38" s="155">
        <f>$B38*Cumulative_Capacity!B14</f>
        <v>270.21686790337048</v>
      </c>
      <c r="D38" s="156">
        <f>$B38*Cumulative_Capacity!C14</f>
        <v>270.21686790337048</v>
      </c>
      <c r="E38" s="156">
        <f>$B38*Cumulative_Capacity!D14</f>
        <v>90.07228930112349</v>
      </c>
      <c r="F38" s="156">
        <f>$B38*Cumulative_Capacity!E14</f>
        <v>270.21686790337048</v>
      </c>
      <c r="G38" s="156">
        <f>$B38*Cumulative_Capacity!F14</f>
        <v>270.21686790337048</v>
      </c>
      <c r="H38" s="156">
        <f>$B38*Cumulative_Capacity!G14</f>
        <v>270.21686790337048</v>
      </c>
      <c r="I38" s="156">
        <f>$B38*Cumulative_Capacity!H14</f>
        <v>270.21686790337048</v>
      </c>
      <c r="J38" s="156">
        <f>$B38*Cumulative_Capacity!I14</f>
        <v>270.21686790337048</v>
      </c>
      <c r="K38" s="156">
        <f>$B38*Cumulative_Capacity!J14</f>
        <v>270.21686790337048</v>
      </c>
      <c r="L38" s="156">
        <f>$B38*Cumulative_Capacity!K14</f>
        <v>270.21686790337048</v>
      </c>
      <c r="M38" s="156">
        <f>$B38*Cumulative_Capacity!L14</f>
        <v>0</v>
      </c>
      <c r="N38" s="156">
        <f>$B38*Cumulative_Capacity!M14</f>
        <v>0</v>
      </c>
      <c r="O38" s="156">
        <f>$B38*Cumulative_Capacity!N14</f>
        <v>0</v>
      </c>
      <c r="P38" s="156">
        <f>$B38*Cumulative_Capacity!O14</f>
        <v>0</v>
      </c>
      <c r="Q38" s="156">
        <f>$B38*Cumulative_Capacity!P14</f>
        <v>180.14457860224698</v>
      </c>
      <c r="R38" s="156">
        <f>$B38*Cumulative_Capacity!Q14</f>
        <v>90.07228930112349</v>
      </c>
      <c r="S38" s="156">
        <f>$B38*Cumulative_Capacity!R14</f>
        <v>90.07228930112349</v>
      </c>
      <c r="T38" s="156">
        <f>$B38*Cumulative_Capacity!S14</f>
        <v>270.21686790337048</v>
      </c>
      <c r="U38" s="156">
        <f>$B38*Cumulative_Capacity!T14</f>
        <v>270.21686790337048</v>
      </c>
      <c r="V38" s="156">
        <f>$B38*Cumulative_Capacity!U14</f>
        <v>270.21686790337048</v>
      </c>
      <c r="W38" s="156">
        <f>$B38*Cumulative_Capacity!V14</f>
        <v>270.21686790337048</v>
      </c>
      <c r="X38" s="157">
        <f>$B38*Cumulative_Capacity!W14</f>
        <v>270.21686790337048</v>
      </c>
    </row>
    <row r="39" spans="1:24" x14ac:dyDescent="0.35">
      <c r="A39" s="93" t="s">
        <v>21</v>
      </c>
      <c r="B39" s="29">
        <f>Jobs_Per_MW!O26</f>
        <v>5.4102222992800604</v>
      </c>
      <c r="C39" s="155">
        <f>$B39*Cumulative_Capacity!B15</f>
        <v>7536.4395803436837</v>
      </c>
      <c r="D39" s="156">
        <f>$B39*Cumulative_Capacity!C15</f>
        <v>11298.43764789273</v>
      </c>
      <c r="E39" s="156">
        <f>$B39*Cumulative_Capacity!D15</f>
        <v>0</v>
      </c>
      <c r="F39" s="156">
        <f>$B39*Cumulative_Capacity!E15</f>
        <v>7006.50840519333</v>
      </c>
      <c r="G39" s="156">
        <f>$B39*Cumulative_Capacity!F15</f>
        <v>7539.685746744628</v>
      </c>
      <c r="H39" s="156">
        <f>$B39*Cumulative_Capacity!G15</f>
        <v>8070.1580596997255</v>
      </c>
      <c r="I39" s="156">
        <f>$B39*Cumulative_Capacity!H15</f>
        <v>8075.8388096246581</v>
      </c>
      <c r="J39" s="156">
        <f>$B39*Cumulative_Capacity!I15</f>
        <v>7002.9917524434541</v>
      </c>
      <c r="K39" s="156">
        <f>$B39*Cumulative_Capacity!J15</f>
        <v>7534.2755657220678</v>
      </c>
      <c r="L39" s="156">
        <f>$B39*Cumulative_Capacity!K15</f>
        <v>8620.1071234001683</v>
      </c>
      <c r="M39" s="156">
        <f>$B39*Cumulative_Capacity!L15</f>
        <v>10785.27819489152</v>
      </c>
      <c r="N39" s="156">
        <f>$B39*Cumulative_Capacity!M15</f>
        <v>16073.554408806365</v>
      </c>
      <c r="O39" s="156">
        <f>$B39*Cumulative_Capacity!N15</f>
        <v>9154.6371030797254</v>
      </c>
      <c r="P39" s="156">
        <f>$B39*Cumulative_Capacity!O15</f>
        <v>535.61200762872602</v>
      </c>
      <c r="Q39" s="156">
        <f>$B39*Cumulative_Capacity!P15</f>
        <v>9172.2203668291058</v>
      </c>
      <c r="R39" s="156">
        <f>$B39*Cumulative_Capacity!Q15</f>
        <v>12409.697398973638</v>
      </c>
      <c r="S39" s="156">
        <f>$B39*Cumulative_Capacity!R15</f>
        <v>12400.50003757555</v>
      </c>
      <c r="T39" s="156">
        <f>$B39*Cumulative_Capacity!S15</f>
        <v>3767.6787761972578</v>
      </c>
      <c r="U39" s="156">
        <f>$B39*Cumulative_Capacity!T15</f>
        <v>4843.5015547071944</v>
      </c>
      <c r="V39" s="156">
        <f>$B39*Cumulative_Capacity!U15</f>
        <v>4843.230985804822</v>
      </c>
      <c r="W39" s="156">
        <f>$B39*Cumulative_Capacity!V15</f>
        <v>3767.6787761972578</v>
      </c>
      <c r="X39" s="157">
        <f>$B39*Cumulative_Capacity!W15</f>
        <v>5921.2178202130945</v>
      </c>
    </row>
    <row r="40" spans="1:24" x14ac:dyDescent="0.35">
      <c r="A40" s="93" t="s">
        <v>22</v>
      </c>
      <c r="B40" s="29">
        <f>Jobs_Per_MW!O27</f>
        <v>5.4102222992800604</v>
      </c>
      <c r="C40" s="155">
        <f>$B40*Cumulative_Capacity!B16</f>
        <v>0</v>
      </c>
      <c r="D40" s="156">
        <f>$B40*Cumulative_Capacity!C16</f>
        <v>1621.7141342091982</v>
      </c>
      <c r="E40" s="156">
        <f>$B40*Cumulative_Capacity!D16</f>
        <v>2703.7585115117695</v>
      </c>
      <c r="F40" s="156">
        <f>$B40*Cumulative_Capacity!E16</f>
        <v>0</v>
      </c>
      <c r="G40" s="156">
        <f>$B40*Cumulative_Capacity!F16</f>
        <v>0</v>
      </c>
      <c r="H40" s="156">
        <f>$B40*Cumulative_Capacity!G16</f>
        <v>0</v>
      </c>
      <c r="I40" s="156">
        <f>$B40*Cumulative_Capacity!H16</f>
        <v>0</v>
      </c>
      <c r="J40" s="156">
        <f>$B40*Cumulative_Capacity!I16</f>
        <v>0</v>
      </c>
      <c r="K40" s="156">
        <f>$B40*Cumulative_Capacity!J16</f>
        <v>0</v>
      </c>
      <c r="L40" s="156">
        <f>$B40*Cumulative_Capacity!K16</f>
        <v>0</v>
      </c>
      <c r="M40" s="156">
        <f>$B40*Cumulative_Capacity!L16</f>
        <v>0</v>
      </c>
      <c r="N40" s="156">
        <f>$B40*Cumulative_Capacity!M16</f>
        <v>1606.8360228861779</v>
      </c>
      <c r="O40" s="156">
        <f>$B40*Cumulative_Capacity!N16</f>
        <v>0</v>
      </c>
      <c r="P40" s="156">
        <f>$B40*Cumulative_Capacity!O16</f>
        <v>0</v>
      </c>
      <c r="Q40" s="156">
        <f>$B40*Cumulative_Capacity!P16</f>
        <v>0</v>
      </c>
      <c r="R40" s="156">
        <f>$B40*Cumulative_Capacity!Q16</f>
        <v>0</v>
      </c>
      <c r="S40" s="156">
        <f>$B40*Cumulative_Capacity!R16</f>
        <v>0</v>
      </c>
      <c r="T40" s="156">
        <f>$B40*Cumulative_Capacity!S16</f>
        <v>0</v>
      </c>
      <c r="U40" s="156">
        <f>$B40*Cumulative_Capacity!T16</f>
        <v>0</v>
      </c>
      <c r="V40" s="156">
        <f>$B40*Cumulative_Capacity!U16</f>
        <v>0</v>
      </c>
      <c r="W40" s="156">
        <f>$B40*Cumulative_Capacity!V16</f>
        <v>0</v>
      </c>
      <c r="X40" s="157">
        <f>$B40*Cumulative_Capacity!W16</f>
        <v>0</v>
      </c>
    </row>
    <row r="41" spans="1:24" x14ac:dyDescent="0.35">
      <c r="A41" s="93" t="s">
        <v>23</v>
      </c>
      <c r="B41" s="29">
        <f>Jobs_Per_MW!O28</f>
        <v>5.4102222992800604</v>
      </c>
      <c r="C41" s="155">
        <f>$B41*Cumulative_Capacity!B17</f>
        <v>0</v>
      </c>
      <c r="D41" s="156">
        <f>$B41*Cumulative_Capacity!C17</f>
        <v>0</v>
      </c>
      <c r="E41" s="156">
        <f>$B41*Cumulative_Capacity!D17</f>
        <v>0</v>
      </c>
      <c r="F41" s="156">
        <f>$B41*Cumulative_Capacity!E17</f>
        <v>0</v>
      </c>
      <c r="G41" s="156">
        <f>$B41*Cumulative_Capacity!F17</f>
        <v>0</v>
      </c>
      <c r="H41" s="156">
        <f>$B41*Cumulative_Capacity!G17</f>
        <v>0</v>
      </c>
      <c r="I41" s="156">
        <f>$B41*Cumulative_Capacity!H17</f>
        <v>0</v>
      </c>
      <c r="J41" s="156">
        <f>$B41*Cumulative_Capacity!I17</f>
        <v>0</v>
      </c>
      <c r="K41" s="156">
        <f>$B41*Cumulative_Capacity!J17</f>
        <v>0</v>
      </c>
      <c r="L41" s="156">
        <f>$B41*Cumulative_Capacity!K17</f>
        <v>0</v>
      </c>
      <c r="M41" s="156">
        <f>$B41*Cumulative_Capacity!L17</f>
        <v>0</v>
      </c>
      <c r="N41" s="156">
        <f>$B41*Cumulative_Capacity!M17</f>
        <v>0</v>
      </c>
      <c r="O41" s="156">
        <f>$B41*Cumulative_Capacity!N17</f>
        <v>0</v>
      </c>
      <c r="P41" s="156">
        <f>$B41*Cumulative_Capacity!O17</f>
        <v>0</v>
      </c>
      <c r="Q41" s="156">
        <f>$B41*Cumulative_Capacity!P17</f>
        <v>0</v>
      </c>
      <c r="R41" s="156">
        <f>$B41*Cumulative_Capacity!Q17</f>
        <v>0</v>
      </c>
      <c r="S41" s="156">
        <f>$B41*Cumulative_Capacity!R17</f>
        <v>0</v>
      </c>
      <c r="T41" s="156">
        <f>$B41*Cumulative_Capacity!S17</f>
        <v>0</v>
      </c>
      <c r="U41" s="156">
        <f>$B41*Cumulative_Capacity!T17</f>
        <v>0</v>
      </c>
      <c r="V41" s="156">
        <f>$B41*Cumulative_Capacity!U17</f>
        <v>0</v>
      </c>
      <c r="W41" s="156">
        <f>$B41*Cumulative_Capacity!V17</f>
        <v>0</v>
      </c>
      <c r="X41" s="157">
        <f>$B41*Cumulative_Capacity!W17</f>
        <v>0</v>
      </c>
    </row>
    <row r="42" spans="1:24" x14ac:dyDescent="0.35">
      <c r="A42" s="93" t="s">
        <v>24</v>
      </c>
      <c r="B42" s="29">
        <f>Jobs_Per_MW!O29</f>
        <v>5.4102222992800604</v>
      </c>
      <c r="C42" s="155">
        <f>$B42*Cumulative_Capacity!B18</f>
        <v>0</v>
      </c>
      <c r="D42" s="156">
        <f>$B42*Cumulative_Capacity!C18</f>
        <v>0</v>
      </c>
      <c r="E42" s="156">
        <f>$B42*Cumulative_Capacity!D18</f>
        <v>0</v>
      </c>
      <c r="F42" s="156">
        <f>$B42*Cumulative_Capacity!E18</f>
        <v>0</v>
      </c>
      <c r="G42" s="156">
        <f>$B42*Cumulative_Capacity!F18</f>
        <v>0</v>
      </c>
      <c r="H42" s="156">
        <f>$B42*Cumulative_Capacity!G18</f>
        <v>0</v>
      </c>
      <c r="I42" s="156">
        <f>$B42*Cumulative_Capacity!H18</f>
        <v>0</v>
      </c>
      <c r="J42" s="156">
        <f>$B42*Cumulative_Capacity!I18</f>
        <v>0</v>
      </c>
      <c r="K42" s="156">
        <f>$B42*Cumulative_Capacity!J18</f>
        <v>0</v>
      </c>
      <c r="L42" s="156">
        <f>$B42*Cumulative_Capacity!K18</f>
        <v>0</v>
      </c>
      <c r="M42" s="156">
        <f>$B42*Cumulative_Capacity!L18</f>
        <v>0</v>
      </c>
      <c r="N42" s="156">
        <f>$B42*Cumulative_Capacity!M18</f>
        <v>0</v>
      </c>
      <c r="O42" s="156">
        <f>$B42*Cumulative_Capacity!N18</f>
        <v>0</v>
      </c>
      <c r="P42" s="156">
        <f>$B42*Cumulative_Capacity!O18</f>
        <v>0</v>
      </c>
      <c r="Q42" s="156">
        <f>$B42*Cumulative_Capacity!P18</f>
        <v>0</v>
      </c>
      <c r="R42" s="156">
        <f>$B42*Cumulative_Capacity!Q18</f>
        <v>0</v>
      </c>
      <c r="S42" s="156">
        <f>$B42*Cumulative_Capacity!R18</f>
        <v>0</v>
      </c>
      <c r="T42" s="156">
        <f>$B42*Cumulative_Capacity!S18</f>
        <v>0</v>
      </c>
      <c r="U42" s="156">
        <f>$B42*Cumulative_Capacity!T18</f>
        <v>0</v>
      </c>
      <c r="V42" s="156">
        <f>$B42*Cumulative_Capacity!U18</f>
        <v>0</v>
      </c>
      <c r="W42" s="156">
        <f>$B42*Cumulative_Capacity!V18</f>
        <v>0</v>
      </c>
      <c r="X42" s="157">
        <f>$B42*Cumulative_Capacity!W18</f>
        <v>0</v>
      </c>
    </row>
    <row r="43" spans="1:24" x14ac:dyDescent="0.35">
      <c r="A43" s="93" t="s">
        <v>25</v>
      </c>
      <c r="B43" s="29">
        <f>Jobs_Per_MW!O30</f>
        <v>5.4102222992800604</v>
      </c>
      <c r="C43" s="155">
        <f>$B43*Cumulative_Capacity!B19</f>
        <v>0</v>
      </c>
      <c r="D43" s="156">
        <f>$B43*Cumulative_Capacity!C19</f>
        <v>0</v>
      </c>
      <c r="E43" s="156">
        <f>$B43*Cumulative_Capacity!D19</f>
        <v>0</v>
      </c>
      <c r="F43" s="156">
        <f>$B43*Cumulative_Capacity!E19</f>
        <v>0</v>
      </c>
      <c r="G43" s="156">
        <f>$B43*Cumulative_Capacity!F19</f>
        <v>0</v>
      </c>
      <c r="H43" s="156">
        <f>$B43*Cumulative_Capacity!G19</f>
        <v>0</v>
      </c>
      <c r="I43" s="156">
        <f>$B43*Cumulative_Capacity!H19</f>
        <v>0</v>
      </c>
      <c r="J43" s="156">
        <f>$B43*Cumulative_Capacity!I19</f>
        <v>0</v>
      </c>
      <c r="K43" s="156">
        <f>$B43*Cumulative_Capacity!J19</f>
        <v>0</v>
      </c>
      <c r="L43" s="156">
        <f>$B43*Cumulative_Capacity!K19</f>
        <v>0</v>
      </c>
      <c r="M43" s="156">
        <f>$B43*Cumulative_Capacity!L19</f>
        <v>0</v>
      </c>
      <c r="N43" s="156">
        <f>$B43*Cumulative_Capacity!M19</f>
        <v>0</v>
      </c>
      <c r="O43" s="156">
        <f>$B43*Cumulative_Capacity!N19</f>
        <v>0</v>
      </c>
      <c r="P43" s="156">
        <f>$B43*Cumulative_Capacity!O19</f>
        <v>0</v>
      </c>
      <c r="Q43" s="156">
        <f>$B43*Cumulative_Capacity!P19</f>
        <v>0</v>
      </c>
      <c r="R43" s="156">
        <f>$B43*Cumulative_Capacity!Q19</f>
        <v>0</v>
      </c>
      <c r="S43" s="156">
        <f>$B43*Cumulative_Capacity!R19</f>
        <v>0</v>
      </c>
      <c r="T43" s="156">
        <f>$B43*Cumulative_Capacity!S19</f>
        <v>0</v>
      </c>
      <c r="U43" s="156">
        <f>$B43*Cumulative_Capacity!T19</f>
        <v>0</v>
      </c>
      <c r="V43" s="156">
        <f>$B43*Cumulative_Capacity!U19</f>
        <v>0</v>
      </c>
      <c r="W43" s="156">
        <f>$B43*Cumulative_Capacity!V19</f>
        <v>0</v>
      </c>
      <c r="X43" s="157">
        <f>$B43*Cumulative_Capacity!W19</f>
        <v>0</v>
      </c>
    </row>
    <row r="44" spans="1:24" x14ac:dyDescent="0.35">
      <c r="A44" s="93" t="s">
        <v>26</v>
      </c>
      <c r="B44" s="29">
        <f>Jobs_Per_MW!O31</f>
        <v>14.749338694318062</v>
      </c>
      <c r="C44" s="155">
        <f>$B44*Cumulative_Capacity!B20</f>
        <v>2949.8677388636124</v>
      </c>
      <c r="D44" s="156">
        <f>$B44*Cumulative_Capacity!C20</f>
        <v>4056.068140937467</v>
      </c>
      <c r="E44" s="156">
        <f>$B44*Cumulative_Capacity!D20</f>
        <v>0</v>
      </c>
      <c r="F44" s="156">
        <f>$B44*Cumulative_Capacity!E20</f>
        <v>2581.1342715056608</v>
      </c>
      <c r="G44" s="156">
        <f>$B44*Cumulative_Capacity!F20</f>
        <v>5162.2685430113215</v>
      </c>
      <c r="H44" s="156">
        <f>$B44*Cumulative_Capacity!G20</f>
        <v>3318.6012062215641</v>
      </c>
      <c r="I44" s="156">
        <f>$B44*Cumulative_Capacity!H20</f>
        <v>2581.1342715056608</v>
      </c>
      <c r="J44" s="156">
        <f>$B44*Cumulative_Capacity!I20</f>
        <v>1843.6673367897579</v>
      </c>
      <c r="K44" s="156">
        <f>$B44*Cumulative_Capacity!J20</f>
        <v>2949.8677388636124</v>
      </c>
      <c r="L44" s="156">
        <f>$B44*Cumulative_Capacity!K20</f>
        <v>1474.9338694318062</v>
      </c>
      <c r="M44" s="156">
        <f>$B44*Cumulative_Capacity!L20</f>
        <v>324485.45127499738</v>
      </c>
      <c r="N44" s="156">
        <f>$B44*Cumulative_Capacity!M20</f>
        <v>0</v>
      </c>
      <c r="O44" s="156">
        <f>$B44*Cumulative_Capacity!N20</f>
        <v>361358.79801079253</v>
      </c>
      <c r="P44" s="156">
        <f>$B44*Cumulative_Capacity!O20</f>
        <v>0</v>
      </c>
      <c r="Q44" s="156">
        <f>$B44*Cumulative_Capacity!P20</f>
        <v>63053.422918209719</v>
      </c>
      <c r="R44" s="156">
        <f>$B44*Cumulative_Capacity!Q20</f>
        <v>15118.072161676015</v>
      </c>
      <c r="S44" s="156">
        <f>$B44*Cumulative_Capacity!R20</f>
        <v>12905.671357528305</v>
      </c>
      <c r="T44" s="156">
        <f>$B44*Cumulative_Capacity!S20</f>
        <v>2949.8677388636124</v>
      </c>
      <c r="U44" s="156">
        <f>$B44*Cumulative_Capacity!T20</f>
        <v>4424.8016082954191</v>
      </c>
      <c r="V44" s="156">
        <f>$B44*Cumulative_Capacity!U20</f>
        <v>4793.5350756533699</v>
      </c>
      <c r="W44" s="156">
        <f>$B44*Cumulative_Capacity!V20</f>
        <v>2949.8677388636124</v>
      </c>
      <c r="X44" s="157">
        <f>$B44*Cumulative_Capacity!W20</f>
        <v>1843.6673367897579</v>
      </c>
    </row>
    <row r="45" spans="1:24" x14ac:dyDescent="0.35">
      <c r="A45" s="93" t="s">
        <v>27</v>
      </c>
      <c r="B45" s="29">
        <f>Jobs_Per_MW!O32</f>
        <v>14.749338694318062</v>
      </c>
      <c r="C45" s="155">
        <f>$B45*Cumulative_Capacity!B21</f>
        <v>737.46693471590311</v>
      </c>
      <c r="D45" s="156">
        <f>$B45*Cumulative_Capacity!C21</f>
        <v>368.73346735795155</v>
      </c>
      <c r="E45" s="156">
        <f>$B45*Cumulative_Capacity!D21</f>
        <v>2212.4008041477096</v>
      </c>
      <c r="F45" s="156">
        <f>$B45*Cumulative_Capacity!E21</f>
        <v>737.46693471590311</v>
      </c>
      <c r="G45" s="156">
        <f>$B45*Cumulative_Capacity!F21</f>
        <v>1474.9338694318062</v>
      </c>
      <c r="H45" s="156">
        <f>$B45*Cumulative_Capacity!G21</f>
        <v>5162.2685430113215</v>
      </c>
      <c r="I45" s="156">
        <f>$B45*Cumulative_Capacity!H21</f>
        <v>1843.6673367897579</v>
      </c>
      <c r="J45" s="156">
        <f>$B45*Cumulative_Capacity!I21</f>
        <v>8480.8697492328865</v>
      </c>
      <c r="K45" s="156">
        <f>$B45*Cumulative_Capacity!J21</f>
        <v>1474.9338694318062</v>
      </c>
      <c r="L45" s="156">
        <f>$B45*Cumulative_Capacity!K21</f>
        <v>4793.5350756533699</v>
      </c>
      <c r="M45" s="156">
        <f>$B45*Cumulative_Capacity!L21</f>
        <v>61947.222516135866</v>
      </c>
      <c r="N45" s="156">
        <f>$B45*Cumulative_Capacity!M21</f>
        <v>0</v>
      </c>
      <c r="O45" s="156">
        <f>$B45*Cumulative_Capacity!N21</f>
        <v>0</v>
      </c>
      <c r="P45" s="156">
        <f>$B45*Cumulative_Capacity!O21</f>
        <v>0</v>
      </c>
      <c r="Q45" s="156">
        <f>$B45*Cumulative_Capacity!P21</f>
        <v>368.73346735795155</v>
      </c>
      <c r="R45" s="156">
        <f>$B45*Cumulative_Capacity!Q21</f>
        <v>0</v>
      </c>
      <c r="S45" s="156">
        <f>$B45*Cumulative_Capacity!R21</f>
        <v>52360.152364829119</v>
      </c>
      <c r="T45" s="156">
        <f>$B45*Cumulative_Capacity!S21</f>
        <v>0</v>
      </c>
      <c r="U45" s="156">
        <f>$B45*Cumulative_Capacity!T21</f>
        <v>0</v>
      </c>
      <c r="V45" s="156">
        <f>$B45*Cumulative_Capacity!U21</f>
        <v>2212.4008041477096</v>
      </c>
      <c r="W45" s="156">
        <f>$B45*Cumulative_Capacity!V21</f>
        <v>0</v>
      </c>
      <c r="X45" s="157">
        <f>$B45*Cumulative_Capacity!W21</f>
        <v>368.73346735795155</v>
      </c>
    </row>
    <row r="46" spans="1:24" x14ac:dyDescent="0.35">
      <c r="A46" s="93" t="s">
        <v>28</v>
      </c>
      <c r="B46" s="29">
        <f>Jobs_Per_MW!O33</f>
        <v>14.749338694318062</v>
      </c>
      <c r="C46" s="155">
        <f>$B46*Cumulative_Capacity!B22</f>
        <v>4424.8016082954191</v>
      </c>
      <c r="D46" s="156">
        <f>$B46*Cumulative_Capacity!C22</f>
        <v>3318.6012062215641</v>
      </c>
      <c r="E46" s="156">
        <f>$B46*Cumulative_Capacity!D22</f>
        <v>9218.3366839487899</v>
      </c>
      <c r="F46" s="156">
        <f>$B46*Cumulative_Capacity!E22</f>
        <v>1106.2004020738548</v>
      </c>
      <c r="G46" s="156">
        <f>$B46*Cumulative_Capacity!F22</f>
        <v>368.73346735795155</v>
      </c>
      <c r="H46" s="156">
        <f>$B46*Cumulative_Capacity!G22</f>
        <v>0</v>
      </c>
      <c r="I46" s="156">
        <f>$B46*Cumulative_Capacity!H22</f>
        <v>2949.8677388636124</v>
      </c>
      <c r="J46" s="156">
        <f>$B46*Cumulative_Capacity!I22</f>
        <v>1106.2004020738548</v>
      </c>
      <c r="K46" s="156">
        <f>$B46*Cumulative_Capacity!J22</f>
        <v>2581.1342715056608</v>
      </c>
      <c r="L46" s="156">
        <f>$B46*Cumulative_Capacity!K22</f>
        <v>2949.8677388636124</v>
      </c>
      <c r="M46" s="156">
        <f>$B46*Cumulative_Capacity!L22</f>
        <v>0</v>
      </c>
      <c r="N46" s="156">
        <f>$B46*Cumulative_Capacity!M22</f>
        <v>0</v>
      </c>
      <c r="O46" s="156">
        <f>$B46*Cumulative_Capacity!N22</f>
        <v>0</v>
      </c>
      <c r="P46" s="156">
        <f>$B46*Cumulative_Capacity!O22</f>
        <v>0</v>
      </c>
      <c r="Q46" s="156">
        <f>$B46*Cumulative_Capacity!P22</f>
        <v>0</v>
      </c>
      <c r="R46" s="156">
        <f>$B46*Cumulative_Capacity!Q22</f>
        <v>0</v>
      </c>
      <c r="S46" s="156">
        <f>$B46*Cumulative_Capacity!R22</f>
        <v>0</v>
      </c>
      <c r="T46" s="156">
        <f>$B46*Cumulative_Capacity!S22</f>
        <v>3687.3346735795158</v>
      </c>
      <c r="U46" s="156">
        <f>$B46*Cumulative_Capacity!T22</f>
        <v>0</v>
      </c>
      <c r="V46" s="156">
        <f>$B46*Cumulative_Capacity!U22</f>
        <v>737.46693471590311</v>
      </c>
      <c r="W46" s="156">
        <f>$B46*Cumulative_Capacity!V22</f>
        <v>3687.3346735795158</v>
      </c>
      <c r="X46" s="157">
        <f>$B46*Cumulative_Capacity!W22</f>
        <v>2212.4008041477096</v>
      </c>
    </row>
    <row r="47" spans="1:24" x14ac:dyDescent="0.35">
      <c r="A47" s="93" t="s">
        <v>29</v>
      </c>
      <c r="B47" s="29">
        <f>Jobs_Per_MW!O34</f>
        <v>14.749338694318062</v>
      </c>
      <c r="C47" s="155">
        <f>$B47*Cumulative_Capacity!B23</f>
        <v>0</v>
      </c>
      <c r="D47" s="156">
        <f>$B47*Cumulative_Capacity!C23</f>
        <v>14749.338694318063</v>
      </c>
      <c r="E47" s="156">
        <f>$B47*Cumulative_Capacity!D23</f>
        <v>4056.068140937467</v>
      </c>
      <c r="F47" s="156">
        <f>$B47*Cumulative_Capacity!E23</f>
        <v>5162.2685430113215</v>
      </c>
      <c r="G47" s="156">
        <f>$B47*Cumulative_Capacity!F23</f>
        <v>2212.4008041477096</v>
      </c>
      <c r="H47" s="156">
        <f>$B47*Cumulative_Capacity!G23</f>
        <v>3687.3346735795158</v>
      </c>
      <c r="I47" s="156">
        <f>$B47*Cumulative_Capacity!H23</f>
        <v>6268.4689450851765</v>
      </c>
      <c r="J47" s="156">
        <f>$B47*Cumulative_Capacity!I23</f>
        <v>1474.9338694318062</v>
      </c>
      <c r="K47" s="156">
        <f>$B47*Cumulative_Capacity!J23</f>
        <v>2212.4008041477096</v>
      </c>
      <c r="L47" s="156">
        <f>$B47*Cumulative_Capacity!K23</f>
        <v>1106.2004020738548</v>
      </c>
      <c r="M47" s="156">
        <f>$B47*Cumulative_Capacity!L23</f>
        <v>0</v>
      </c>
      <c r="N47" s="156">
        <f>$B47*Cumulative_Capacity!M23</f>
        <v>0</v>
      </c>
      <c r="O47" s="156">
        <f>$B47*Cumulative_Capacity!N23</f>
        <v>0</v>
      </c>
      <c r="P47" s="156">
        <f>$B47*Cumulative_Capacity!O23</f>
        <v>0</v>
      </c>
      <c r="Q47" s="156">
        <f>$B47*Cumulative_Capacity!P23</f>
        <v>0</v>
      </c>
      <c r="R47" s="156">
        <f>$B47*Cumulative_Capacity!Q23</f>
        <v>0</v>
      </c>
      <c r="S47" s="156">
        <f>$B47*Cumulative_Capacity!R23</f>
        <v>0</v>
      </c>
      <c r="T47" s="156">
        <f>$B47*Cumulative_Capacity!S23</f>
        <v>0</v>
      </c>
      <c r="U47" s="156">
        <f>$B47*Cumulative_Capacity!T23</f>
        <v>1106.2004020738548</v>
      </c>
      <c r="V47" s="156">
        <f>$B47*Cumulative_Capacity!U23</f>
        <v>2212.4008041477096</v>
      </c>
      <c r="W47" s="156">
        <f>$B47*Cumulative_Capacity!V23</f>
        <v>0</v>
      </c>
      <c r="X47" s="157">
        <f>$B47*Cumulative_Capacity!W23</f>
        <v>0</v>
      </c>
    </row>
    <row r="48" spans="1:24" x14ac:dyDescent="0.35">
      <c r="A48" s="93" t="s">
        <v>30</v>
      </c>
      <c r="B48" s="29">
        <f>Jobs_Per_MW!O35</f>
        <v>0.35900418482286067</v>
      </c>
      <c r="C48" s="155">
        <f>$B48*Cumulative_Capacity!B24</f>
        <v>0</v>
      </c>
      <c r="D48" s="156">
        <f>$B48*Cumulative_Capacity!C24</f>
        <v>0</v>
      </c>
      <c r="E48" s="156">
        <f>$B48*Cumulative_Capacity!D24</f>
        <v>0</v>
      </c>
      <c r="F48" s="156">
        <f>$B48*Cumulative_Capacity!E24</f>
        <v>0</v>
      </c>
      <c r="G48" s="156">
        <f>$B48*Cumulative_Capacity!F24</f>
        <v>0</v>
      </c>
      <c r="H48" s="156">
        <f>$B48*Cumulative_Capacity!G24</f>
        <v>0</v>
      </c>
      <c r="I48" s="156">
        <f>$B48*Cumulative_Capacity!H24</f>
        <v>0</v>
      </c>
      <c r="J48" s="156">
        <f>$B48*Cumulative_Capacity!I24</f>
        <v>0</v>
      </c>
      <c r="K48" s="156">
        <f>$B48*Cumulative_Capacity!J24</f>
        <v>0</v>
      </c>
      <c r="L48" s="156">
        <f>$B48*Cumulative_Capacity!K24</f>
        <v>0</v>
      </c>
      <c r="M48" s="156">
        <f>$B48*Cumulative_Capacity!L24</f>
        <v>0</v>
      </c>
      <c r="N48" s="156">
        <f>$B48*Cumulative_Capacity!M24</f>
        <v>7646.7891367269322</v>
      </c>
      <c r="O48" s="156">
        <f>$B48*Cumulative_Capacity!N24</f>
        <v>0</v>
      </c>
      <c r="P48" s="156">
        <f>$B48*Cumulative_Capacity!O24</f>
        <v>7036.4820225280691</v>
      </c>
      <c r="Q48" s="156">
        <f>$B48*Cumulative_Capacity!P24</f>
        <v>0</v>
      </c>
      <c r="R48" s="156">
        <f>$B48*Cumulative_Capacity!Q24</f>
        <v>969.31129902172381</v>
      </c>
      <c r="S48" s="156">
        <f>$B48*Cumulative_Capacity!R24</f>
        <v>0</v>
      </c>
      <c r="T48" s="156">
        <f>$B48*Cumulative_Capacity!S24</f>
        <v>0</v>
      </c>
      <c r="U48" s="156">
        <f>$B48*Cumulative_Capacity!T24</f>
        <v>0</v>
      </c>
      <c r="V48" s="156">
        <f>$B48*Cumulative_Capacity!U24</f>
        <v>0</v>
      </c>
      <c r="W48" s="156">
        <f>$B48*Cumulative_Capacity!V24</f>
        <v>0</v>
      </c>
      <c r="X48" s="157">
        <f>$B48*Cumulative_Capacity!W24</f>
        <v>0</v>
      </c>
    </row>
    <row r="49" spans="1:24" x14ac:dyDescent="0.35">
      <c r="A49" s="93" t="s">
        <v>31</v>
      </c>
      <c r="B49" s="29">
        <f>Jobs_Per_MW!O36</f>
        <v>14.749338694318062</v>
      </c>
      <c r="C49" s="155">
        <f>$B49*Cumulative_Capacity!B25</f>
        <v>1318.7384266726694</v>
      </c>
      <c r="D49" s="156">
        <f>$B49*Cumulative_Capacity!C25</f>
        <v>1318.7384266726694</v>
      </c>
      <c r="E49" s="156">
        <f>$B49*Cumulative_Capacity!D25</f>
        <v>1318.7384266726694</v>
      </c>
      <c r="F49" s="156">
        <f>$B49*Cumulative_Capacity!E25</f>
        <v>1318.7384266726694</v>
      </c>
      <c r="G49" s="156">
        <f>$B49*Cumulative_Capacity!F25</f>
        <v>1318.7384266726694</v>
      </c>
      <c r="H49" s="156">
        <f>$B49*Cumulative_Capacity!G25</f>
        <v>1318.7384266726694</v>
      </c>
      <c r="I49" s="156">
        <f>$B49*Cumulative_Capacity!H25</f>
        <v>1318.7384266726694</v>
      </c>
      <c r="J49" s="156">
        <f>$B49*Cumulative_Capacity!I25</f>
        <v>1318.7384266726694</v>
      </c>
      <c r="K49" s="156">
        <f>$B49*Cumulative_Capacity!J25</f>
        <v>1318.7384266726694</v>
      </c>
      <c r="L49" s="156">
        <f>$B49*Cumulative_Capacity!K25</f>
        <v>1318.7384266726694</v>
      </c>
      <c r="M49" s="156">
        <f>$B49*Cumulative_Capacity!L25</f>
        <v>1318.7384266726694</v>
      </c>
      <c r="N49" s="156">
        <f>$B49*Cumulative_Capacity!M25</f>
        <v>1318.7384266726694</v>
      </c>
      <c r="O49" s="156">
        <f>$B49*Cumulative_Capacity!N25</f>
        <v>1318.7384266726694</v>
      </c>
      <c r="P49" s="156">
        <f>$B49*Cumulative_Capacity!O25</f>
        <v>1318.7384266726694</v>
      </c>
      <c r="Q49" s="156">
        <f>$B49*Cumulative_Capacity!P25</f>
        <v>1318.7384266726694</v>
      </c>
      <c r="R49" s="156">
        <f>$B49*Cumulative_Capacity!Q25</f>
        <v>1318.7384266726694</v>
      </c>
      <c r="S49" s="156">
        <f>$B49*Cumulative_Capacity!R25</f>
        <v>1318.7384266726694</v>
      </c>
      <c r="T49" s="156">
        <f>$B49*Cumulative_Capacity!S25</f>
        <v>1318.7384266726694</v>
      </c>
      <c r="U49" s="156">
        <f>$B49*Cumulative_Capacity!T25</f>
        <v>1318.7384266726694</v>
      </c>
      <c r="V49" s="156">
        <f>$B49*Cumulative_Capacity!U25</f>
        <v>1318.7384266726694</v>
      </c>
      <c r="W49" s="156">
        <f>$B49*Cumulative_Capacity!V25</f>
        <v>1318.7384266726694</v>
      </c>
      <c r="X49" s="157">
        <f>$B49*Cumulative_Capacity!W25</f>
        <v>1318.7384266726694</v>
      </c>
    </row>
    <row r="50" spans="1:24" x14ac:dyDescent="0.35">
      <c r="A50" s="93" t="s">
        <v>32</v>
      </c>
      <c r="B50" s="29">
        <f>Jobs_Per_MW!O37</f>
        <v>0.90072289301123487</v>
      </c>
      <c r="C50" s="155">
        <f>$B50*Cumulative_Capacity!B26</f>
        <v>112.59036162640436</v>
      </c>
      <c r="D50" s="156">
        <f>$B50*Cumulative_Capacity!C26</f>
        <v>450.36144650561744</v>
      </c>
      <c r="E50" s="156">
        <f>$B50*Cumulative_Capacity!D26</f>
        <v>112.59036162640436</v>
      </c>
      <c r="F50" s="156">
        <f>$B50*Cumulative_Capacity!E26</f>
        <v>225.18072325280872</v>
      </c>
      <c r="G50" s="156">
        <f>$B50*Cumulative_Capacity!F26</f>
        <v>450.36144650561744</v>
      </c>
      <c r="H50" s="156">
        <f>$B50*Cumulative_Capacity!G26</f>
        <v>225.18072325280872</v>
      </c>
      <c r="I50" s="156">
        <f>$B50*Cumulative_Capacity!H26</f>
        <v>450.36144650561744</v>
      </c>
      <c r="J50" s="156">
        <f>$B50*Cumulative_Capacity!I26</f>
        <v>337.77108487921305</v>
      </c>
      <c r="K50" s="156">
        <f>$B50*Cumulative_Capacity!J26</f>
        <v>225.18072325280872</v>
      </c>
      <c r="L50" s="156">
        <f>$B50*Cumulative_Capacity!K26</f>
        <v>225.18072325280872</v>
      </c>
      <c r="M50" s="156">
        <f>$B50*Cumulative_Capacity!L26</f>
        <v>0</v>
      </c>
      <c r="N50" s="156">
        <f>$B50*Cumulative_Capacity!M26</f>
        <v>225.18072325280872</v>
      </c>
      <c r="O50" s="156">
        <f>$B50*Cumulative_Capacity!N26</f>
        <v>0</v>
      </c>
      <c r="P50" s="156">
        <f>$B50*Cumulative_Capacity!O26</f>
        <v>1013.3132546376393</v>
      </c>
      <c r="Q50" s="156">
        <f>$B50*Cumulative_Capacity!P26</f>
        <v>112.59036162640436</v>
      </c>
      <c r="R50" s="156">
        <f>$B50*Cumulative_Capacity!Q26</f>
        <v>0</v>
      </c>
      <c r="S50" s="156">
        <f>$B50*Cumulative_Capacity!R26</f>
        <v>0</v>
      </c>
      <c r="T50" s="156">
        <f>$B50*Cumulative_Capacity!S26</f>
        <v>337.77108487921305</v>
      </c>
      <c r="U50" s="156">
        <f>$B50*Cumulative_Capacity!T26</f>
        <v>112.59036162640436</v>
      </c>
      <c r="V50" s="156">
        <f>$B50*Cumulative_Capacity!U26</f>
        <v>112.59036162640436</v>
      </c>
      <c r="W50" s="156">
        <f>$B50*Cumulative_Capacity!V26</f>
        <v>337.77108487921305</v>
      </c>
      <c r="X50" s="157">
        <f>$B50*Cumulative_Capacity!W26</f>
        <v>112.59036162640436</v>
      </c>
    </row>
    <row r="51" spans="1:24" x14ac:dyDescent="0.35">
      <c r="A51" s="93" t="s">
        <v>33</v>
      </c>
      <c r="B51" s="29">
        <f>Jobs_Per_MW!O38</f>
        <v>5.4102222992800604</v>
      </c>
      <c r="C51" s="155">
        <f>$B51*Cumulative_Capacity!B27</f>
        <v>674.11369023495149</v>
      </c>
      <c r="D51" s="156">
        <f>$B51*Cumulative_Capacity!C27</f>
        <v>1216.4884757377774</v>
      </c>
      <c r="E51" s="156">
        <f>$B51*Cumulative_Capacity!D27</f>
        <v>0</v>
      </c>
      <c r="F51" s="156">
        <f>$B51*Cumulative_Capacity!E27</f>
        <v>0</v>
      </c>
      <c r="G51" s="156">
        <f>$B51*Cumulative_Capacity!F27</f>
        <v>0</v>
      </c>
      <c r="H51" s="156">
        <f>$B51*Cumulative_Capacity!G27</f>
        <v>0</v>
      </c>
      <c r="I51" s="156">
        <f>$B51*Cumulative_Capacity!H27</f>
        <v>0</v>
      </c>
      <c r="J51" s="156">
        <f>$B51*Cumulative_Capacity!I27</f>
        <v>0</v>
      </c>
      <c r="K51" s="156">
        <f>$B51*Cumulative_Capacity!J27</f>
        <v>0</v>
      </c>
      <c r="L51" s="156">
        <f>$B51*Cumulative_Capacity!K27</f>
        <v>0</v>
      </c>
      <c r="M51" s="156">
        <f>$B51*Cumulative_Capacity!L27</f>
        <v>0</v>
      </c>
      <c r="N51" s="156">
        <f>$B51*Cumulative_Capacity!M27</f>
        <v>2012.6568091126569</v>
      </c>
      <c r="O51" s="156">
        <f>$B51*Cumulative_Capacity!N27</f>
        <v>0</v>
      </c>
      <c r="P51" s="156">
        <f>$B51*Cumulative_Capacity!O27</f>
        <v>671.40857908531143</v>
      </c>
      <c r="Q51" s="156">
        <f>$B51*Cumulative_Capacity!P27</f>
        <v>0</v>
      </c>
      <c r="R51" s="156">
        <f>$B51*Cumulative_Capacity!Q27</f>
        <v>0</v>
      </c>
      <c r="S51" s="156">
        <f>$B51*Cumulative_Capacity!R27</f>
        <v>0</v>
      </c>
      <c r="T51" s="156">
        <f>$B51*Cumulative_Capacity!S27</f>
        <v>0</v>
      </c>
      <c r="U51" s="156">
        <f>$B51*Cumulative_Capacity!T27</f>
        <v>0</v>
      </c>
      <c r="V51" s="156">
        <f>$B51*Cumulative_Capacity!U27</f>
        <v>0</v>
      </c>
      <c r="W51" s="156">
        <f>$B51*Cumulative_Capacity!V27</f>
        <v>0</v>
      </c>
      <c r="X51" s="157">
        <f>$B51*Cumulative_Capacity!W27</f>
        <v>0</v>
      </c>
    </row>
    <row r="52" spans="1:24" x14ac:dyDescent="0.35">
      <c r="A52" s="93" t="s">
        <v>34</v>
      </c>
      <c r="B52" s="29">
        <f>Jobs_Per_MW!O39</f>
        <v>0.90072289301123487</v>
      </c>
      <c r="C52" s="155">
        <f>$B52*Cumulative_Capacity!B28</f>
        <v>0</v>
      </c>
      <c r="D52" s="156">
        <f>$B52*Cumulative_Capacity!C28</f>
        <v>0</v>
      </c>
      <c r="E52" s="156">
        <f>$B52*Cumulative_Capacity!D28</f>
        <v>0</v>
      </c>
      <c r="F52" s="156">
        <f>$B52*Cumulative_Capacity!E28</f>
        <v>0</v>
      </c>
      <c r="G52" s="156">
        <f>$B52*Cumulative_Capacity!F28</f>
        <v>0</v>
      </c>
      <c r="H52" s="156">
        <f>$B52*Cumulative_Capacity!G28</f>
        <v>0</v>
      </c>
      <c r="I52" s="156">
        <f>$B52*Cumulative_Capacity!H28</f>
        <v>0</v>
      </c>
      <c r="J52" s="156">
        <f>$B52*Cumulative_Capacity!I28</f>
        <v>0</v>
      </c>
      <c r="K52" s="156">
        <f>$B52*Cumulative_Capacity!J28</f>
        <v>0</v>
      </c>
      <c r="L52" s="156">
        <f>$B52*Cumulative_Capacity!K28</f>
        <v>0</v>
      </c>
      <c r="M52" s="156">
        <f>$B52*Cumulative_Capacity!L28</f>
        <v>0</v>
      </c>
      <c r="N52" s="156">
        <f>$B52*Cumulative_Capacity!M28</f>
        <v>0</v>
      </c>
      <c r="O52" s="156">
        <f>$B52*Cumulative_Capacity!N28</f>
        <v>0</v>
      </c>
      <c r="P52" s="156">
        <f>$B52*Cumulative_Capacity!O28</f>
        <v>0</v>
      </c>
      <c r="Q52" s="156">
        <f>$B52*Cumulative_Capacity!P28</f>
        <v>0</v>
      </c>
      <c r="R52" s="156">
        <f>$B52*Cumulative_Capacity!Q28</f>
        <v>0</v>
      </c>
      <c r="S52" s="156">
        <f>$B52*Cumulative_Capacity!R28</f>
        <v>0</v>
      </c>
      <c r="T52" s="156">
        <f>$B52*Cumulative_Capacity!S28</f>
        <v>0</v>
      </c>
      <c r="U52" s="156">
        <f>$B52*Cumulative_Capacity!T28</f>
        <v>270.21686790337048</v>
      </c>
      <c r="V52" s="156">
        <f>$B52*Cumulative_Capacity!U28</f>
        <v>0</v>
      </c>
      <c r="W52" s="156">
        <f>$B52*Cumulative_Capacity!V28</f>
        <v>0</v>
      </c>
      <c r="X52" s="157">
        <f>$B52*Cumulative_Capacity!W28</f>
        <v>270.21686790337048</v>
      </c>
    </row>
    <row r="53" spans="1:24" x14ac:dyDescent="0.35">
      <c r="A53" s="93" t="s">
        <v>35</v>
      </c>
      <c r="B53" s="29">
        <f>Jobs_Per_MW!O40</f>
        <v>0.85963901822951316</v>
      </c>
      <c r="C53" s="155">
        <f>$B53*Cumulative_Capacity!B29</f>
        <v>77.36751164065619</v>
      </c>
      <c r="D53" s="156">
        <f>$B53*Cumulative_Capacity!C29</f>
        <v>128.94585273442698</v>
      </c>
      <c r="E53" s="156">
        <f>$B53*Cumulative_Capacity!D29</f>
        <v>128.94585273442698</v>
      </c>
      <c r="F53" s="156">
        <f>$B53*Cumulative_Capacity!E29</f>
        <v>116.05126746098428</v>
      </c>
      <c r="G53" s="156">
        <f>$B53*Cumulative_Capacity!F29</f>
        <v>128.94585273442698</v>
      </c>
      <c r="H53" s="156">
        <f>$B53*Cumulative_Capacity!G29</f>
        <v>128.94585273442698</v>
      </c>
      <c r="I53" s="156">
        <f>$B53*Cumulative_Capacity!H29</f>
        <v>116.05126746098428</v>
      </c>
      <c r="J53" s="156">
        <f>$B53*Cumulative_Capacity!I29</f>
        <v>116.05126746098428</v>
      </c>
      <c r="K53" s="156">
        <f>$B53*Cumulative_Capacity!J29</f>
        <v>128.94585273442698</v>
      </c>
      <c r="L53" s="156">
        <f>$B53*Cumulative_Capacity!K29</f>
        <v>64.472926367213489</v>
      </c>
      <c r="M53" s="156">
        <f>$B53*Cumulative_Capacity!L29</f>
        <v>0</v>
      </c>
      <c r="N53" s="156">
        <f>$B53*Cumulative_Capacity!M29</f>
        <v>64.472926367213489</v>
      </c>
      <c r="O53" s="156">
        <f>$B53*Cumulative_Capacity!N29</f>
        <v>0</v>
      </c>
      <c r="P53" s="156">
        <f>$B53*Cumulative_Capacity!O29</f>
        <v>0</v>
      </c>
      <c r="Q53" s="156">
        <f>$B53*Cumulative_Capacity!P29</f>
        <v>12.894585273442697</v>
      </c>
      <c r="R53" s="156">
        <f>$B53*Cumulative_Capacity!Q29</f>
        <v>12.894585273442697</v>
      </c>
      <c r="S53" s="156">
        <f>$B53*Cumulative_Capacity!R29</f>
        <v>0</v>
      </c>
      <c r="T53" s="156">
        <f>$B53*Cumulative_Capacity!S29</f>
        <v>90.262096914098876</v>
      </c>
      <c r="U53" s="156">
        <f>$B53*Cumulative_Capacity!T29</f>
        <v>103.15668218754158</v>
      </c>
      <c r="V53" s="156">
        <f>$B53*Cumulative_Capacity!U29</f>
        <v>103.15668218754158</v>
      </c>
      <c r="W53" s="156">
        <f>$B53*Cumulative_Capacity!V29</f>
        <v>90.262096914098876</v>
      </c>
      <c r="X53" s="157">
        <f>$B53*Cumulative_Capacity!W29</f>
        <v>128.94585273442698</v>
      </c>
    </row>
    <row r="54" spans="1:24" x14ac:dyDescent="0.35">
      <c r="A54" s="93" t="s">
        <v>36</v>
      </c>
      <c r="B54" s="29">
        <f>Jobs_Per_MW!O41</f>
        <v>0.90072289301123487</v>
      </c>
      <c r="C54" s="155">
        <f>$B54*Cumulative_Capacity!B30</f>
        <v>0</v>
      </c>
      <c r="D54" s="156">
        <f>$B54*Cumulative_Capacity!C30</f>
        <v>0</v>
      </c>
      <c r="E54" s="156">
        <f>$B54*Cumulative_Capacity!D30</f>
        <v>0</v>
      </c>
      <c r="F54" s="156">
        <f>$B54*Cumulative_Capacity!E30</f>
        <v>0</v>
      </c>
      <c r="G54" s="156">
        <f>$B54*Cumulative_Capacity!F30</f>
        <v>0</v>
      </c>
      <c r="H54" s="156">
        <f>$B54*Cumulative_Capacity!G30</f>
        <v>0</v>
      </c>
      <c r="I54" s="156">
        <f>$B54*Cumulative_Capacity!H30</f>
        <v>0</v>
      </c>
      <c r="J54" s="156">
        <f>$B54*Cumulative_Capacity!I30</f>
        <v>0</v>
      </c>
      <c r="K54" s="156">
        <f>$B54*Cumulative_Capacity!J30</f>
        <v>0</v>
      </c>
      <c r="L54" s="156">
        <f>$B54*Cumulative_Capacity!K30</f>
        <v>0</v>
      </c>
      <c r="M54" s="156">
        <f>$B54*Cumulative_Capacity!L30</f>
        <v>0</v>
      </c>
      <c r="N54" s="156">
        <f>$B54*Cumulative_Capacity!M30</f>
        <v>0</v>
      </c>
      <c r="O54" s="156">
        <f>$B54*Cumulative_Capacity!N30</f>
        <v>0</v>
      </c>
      <c r="P54" s="156">
        <f>$B54*Cumulative_Capacity!O30</f>
        <v>0</v>
      </c>
      <c r="Q54" s="156">
        <f>$B54*Cumulative_Capacity!P30</f>
        <v>0</v>
      </c>
      <c r="R54" s="156">
        <f>$B54*Cumulative_Capacity!Q30</f>
        <v>0</v>
      </c>
      <c r="S54" s="156">
        <f>$B54*Cumulative_Capacity!R30</f>
        <v>0</v>
      </c>
      <c r="T54" s="156">
        <f>$B54*Cumulative_Capacity!S30</f>
        <v>0</v>
      </c>
      <c r="U54" s="156">
        <f>$B54*Cumulative_Capacity!T30</f>
        <v>0</v>
      </c>
      <c r="V54" s="156">
        <f>$B54*Cumulative_Capacity!U30</f>
        <v>0</v>
      </c>
      <c r="W54" s="156">
        <f>$B54*Cumulative_Capacity!V30</f>
        <v>0</v>
      </c>
      <c r="X54" s="157">
        <f>$B54*Cumulative_Capacity!W30</f>
        <v>0</v>
      </c>
    </row>
    <row r="55" spans="1:24" x14ac:dyDescent="0.35">
      <c r="A55" s="93" t="s">
        <v>37</v>
      </c>
      <c r="B55" s="29">
        <f>Jobs_Per_MW!O42</f>
        <v>5.4102222992800604</v>
      </c>
      <c r="C55" s="155">
        <f>$B55*Cumulative_Capacity!B31</f>
        <v>0</v>
      </c>
      <c r="D55" s="156">
        <f>$B55*Cumulative_Capacity!C31</f>
        <v>0</v>
      </c>
      <c r="E55" s="156">
        <f>$B55*Cumulative_Capacity!D31</f>
        <v>9738.400138704108</v>
      </c>
      <c r="F55" s="156">
        <f>$B55*Cumulative_Capacity!E31</f>
        <v>0</v>
      </c>
      <c r="G55" s="156">
        <f>$B55*Cumulative_Capacity!F31</f>
        <v>0</v>
      </c>
      <c r="H55" s="156">
        <f>$B55*Cumulative_Capacity!G31</f>
        <v>0</v>
      </c>
      <c r="I55" s="156">
        <f>$B55*Cumulative_Capacity!H31</f>
        <v>0</v>
      </c>
      <c r="J55" s="156">
        <f>$B55*Cumulative_Capacity!I31</f>
        <v>0</v>
      </c>
      <c r="K55" s="156">
        <f>$B55*Cumulative_Capacity!J31</f>
        <v>0</v>
      </c>
      <c r="L55" s="156">
        <f>$B55*Cumulative_Capacity!K31</f>
        <v>0</v>
      </c>
      <c r="M55" s="156">
        <f>$B55*Cumulative_Capacity!L31</f>
        <v>0</v>
      </c>
      <c r="N55" s="156">
        <f>$B55*Cumulative_Capacity!M31</f>
        <v>0</v>
      </c>
      <c r="O55" s="156">
        <f>$B55*Cumulative_Capacity!N31</f>
        <v>0</v>
      </c>
      <c r="P55" s="156">
        <f>$B55*Cumulative_Capacity!O31</f>
        <v>0</v>
      </c>
      <c r="Q55" s="156">
        <f>$B55*Cumulative_Capacity!P31</f>
        <v>0</v>
      </c>
      <c r="R55" s="156">
        <f>$B55*Cumulative_Capacity!Q31</f>
        <v>0</v>
      </c>
      <c r="S55" s="156">
        <f>$B55*Cumulative_Capacity!R31</f>
        <v>0</v>
      </c>
      <c r="T55" s="156">
        <f>$B55*Cumulative_Capacity!S31</f>
        <v>270.51111496400301</v>
      </c>
      <c r="U55" s="156">
        <f>$B55*Cumulative_Capacity!T31</f>
        <v>270.51111496400301</v>
      </c>
      <c r="V55" s="156">
        <f>$B55*Cumulative_Capacity!U31</f>
        <v>270.51111496400301</v>
      </c>
      <c r="W55" s="156">
        <f>$B55*Cumulative_Capacity!V31</f>
        <v>270.51111496400301</v>
      </c>
      <c r="X55" s="157">
        <f>$B55*Cumulative_Capacity!W31</f>
        <v>0</v>
      </c>
    </row>
    <row r="56" spans="1:24" x14ac:dyDescent="0.35">
      <c r="A56" s="93" t="s">
        <v>38</v>
      </c>
      <c r="B56" s="29">
        <f>Jobs_Per_MW!O43</f>
        <v>5.4102222992800604</v>
      </c>
      <c r="C56" s="155">
        <f>$B56*Cumulative_Capacity!B32</f>
        <v>0</v>
      </c>
      <c r="D56" s="156">
        <f>$B56*Cumulative_Capacity!C32</f>
        <v>0</v>
      </c>
      <c r="E56" s="156">
        <f>$B56*Cumulative_Capacity!D32</f>
        <v>4869.200069352054</v>
      </c>
      <c r="F56" s="156">
        <f>$B56*Cumulative_Capacity!E32</f>
        <v>0</v>
      </c>
      <c r="G56" s="156">
        <f>$B56*Cumulative_Capacity!F32</f>
        <v>0</v>
      </c>
      <c r="H56" s="156">
        <f>$B56*Cumulative_Capacity!G32</f>
        <v>0</v>
      </c>
      <c r="I56" s="156">
        <f>$B56*Cumulative_Capacity!H32</f>
        <v>0</v>
      </c>
      <c r="J56" s="156">
        <f>$B56*Cumulative_Capacity!I32</f>
        <v>0</v>
      </c>
      <c r="K56" s="156">
        <f>$B56*Cumulative_Capacity!J32</f>
        <v>0</v>
      </c>
      <c r="L56" s="156">
        <f>$B56*Cumulative_Capacity!K32</f>
        <v>0</v>
      </c>
      <c r="M56" s="156">
        <f>$B56*Cumulative_Capacity!L32</f>
        <v>0</v>
      </c>
      <c r="N56" s="156">
        <f>$B56*Cumulative_Capacity!M32</f>
        <v>0</v>
      </c>
      <c r="O56" s="156">
        <f>$B56*Cumulative_Capacity!N32</f>
        <v>0</v>
      </c>
      <c r="P56" s="156">
        <f>$B56*Cumulative_Capacity!O32</f>
        <v>0</v>
      </c>
      <c r="Q56" s="156">
        <f>$B56*Cumulative_Capacity!P32</f>
        <v>0</v>
      </c>
      <c r="R56" s="156">
        <f>$B56*Cumulative_Capacity!Q32</f>
        <v>0</v>
      </c>
      <c r="S56" s="156">
        <f>$B56*Cumulative_Capacity!R32</f>
        <v>0</v>
      </c>
      <c r="T56" s="156">
        <f>$B56*Cumulative_Capacity!S32</f>
        <v>3408.440048546438</v>
      </c>
      <c r="U56" s="156">
        <f>$B56*Cumulative_Capacity!T32</f>
        <v>3408.440048546438</v>
      </c>
      <c r="V56" s="156">
        <f>$B56*Cumulative_Capacity!U32</f>
        <v>3408.440048546438</v>
      </c>
      <c r="W56" s="156">
        <f>$B56*Cumulative_Capacity!V32</f>
        <v>3408.440048546438</v>
      </c>
      <c r="X56" s="157">
        <f>$B56*Cumulative_Capacity!W32</f>
        <v>0</v>
      </c>
    </row>
    <row r="57" spans="1:24" x14ac:dyDescent="0.35">
      <c r="A57" s="93" t="s">
        <v>39</v>
      </c>
      <c r="B57" s="29">
        <f>Jobs_Per_MW!O44</f>
        <v>5.4102222992800604</v>
      </c>
      <c r="C57" s="155">
        <f>$B57*Cumulative_Capacity!B33</f>
        <v>153.43390770972013</v>
      </c>
      <c r="D57" s="156">
        <f>$B57*Cumulative_Capacity!C33</f>
        <v>153.43390770972013</v>
      </c>
      <c r="E57" s="156">
        <f>$B57*Cumulative_Capacity!D33</f>
        <v>153.43390770972013</v>
      </c>
      <c r="F57" s="156">
        <f>$B57*Cumulative_Capacity!E33</f>
        <v>153.43390770972013</v>
      </c>
      <c r="G57" s="156">
        <f>$B57*Cumulative_Capacity!F33</f>
        <v>153.43390770972013</v>
      </c>
      <c r="H57" s="156">
        <f>$B57*Cumulative_Capacity!G33</f>
        <v>153.43390770972013</v>
      </c>
      <c r="I57" s="156">
        <f>$B57*Cumulative_Capacity!H33</f>
        <v>153.43390770972013</v>
      </c>
      <c r="J57" s="156">
        <f>$B57*Cumulative_Capacity!I33</f>
        <v>153.43390770972013</v>
      </c>
      <c r="K57" s="156">
        <f>$B57*Cumulative_Capacity!J33</f>
        <v>153.43390770972013</v>
      </c>
      <c r="L57" s="156">
        <f>$B57*Cumulative_Capacity!K33</f>
        <v>153.43390770972013</v>
      </c>
      <c r="M57" s="156">
        <f>$B57*Cumulative_Capacity!L33</f>
        <v>153.43390770972013</v>
      </c>
      <c r="N57" s="156">
        <f>$B57*Cumulative_Capacity!M33</f>
        <v>153.43390770972013</v>
      </c>
      <c r="O57" s="156">
        <f>$B57*Cumulative_Capacity!N33</f>
        <v>153.43390770972013</v>
      </c>
      <c r="P57" s="156">
        <f>$B57*Cumulative_Capacity!O33</f>
        <v>153.43390770972013</v>
      </c>
      <c r="Q57" s="156">
        <f>$B57*Cumulative_Capacity!P33</f>
        <v>153.43390770972013</v>
      </c>
      <c r="R57" s="156">
        <f>$B57*Cumulative_Capacity!Q33</f>
        <v>153.43390770972013</v>
      </c>
      <c r="S57" s="156">
        <f>$B57*Cumulative_Capacity!R33</f>
        <v>153.43390770972013</v>
      </c>
      <c r="T57" s="156">
        <f>$B57*Cumulative_Capacity!S33</f>
        <v>153.43390770972013</v>
      </c>
      <c r="U57" s="156">
        <f>$B57*Cumulative_Capacity!T33</f>
        <v>153.43390770972013</v>
      </c>
      <c r="V57" s="156">
        <f>$B57*Cumulative_Capacity!U33</f>
        <v>153.43390770972013</v>
      </c>
      <c r="W57" s="156">
        <f>$B57*Cumulative_Capacity!V33</f>
        <v>153.43390770972013</v>
      </c>
      <c r="X57" s="157">
        <f>$B57*Cumulative_Capacity!W33</f>
        <v>153.43390770972013</v>
      </c>
    </row>
    <row r="58" spans="1:24" x14ac:dyDescent="0.35">
      <c r="A58" s="93" t="s">
        <v>40</v>
      </c>
      <c r="B58" s="29">
        <f>Jobs_Per_MW!O45</f>
        <v>60.545669315055285</v>
      </c>
      <c r="C58" s="155">
        <f>$B58*Cumulative_Capacity!B34</f>
        <v>7449.539244043649</v>
      </c>
      <c r="D58" s="156">
        <f>$B58*Cumulative_Capacity!C34</f>
        <v>11610.237547277593</v>
      </c>
      <c r="E58" s="156">
        <f>$B58*Cumulative_Capacity!D34</f>
        <v>10801.347505408829</v>
      </c>
      <c r="F58" s="156">
        <f>$B58*Cumulative_Capacity!E34</f>
        <v>10887.322439849144</v>
      </c>
      <c r="G58" s="156">
        <f>$B58*Cumulative_Capacity!F34</f>
        <v>10577.934061565493</v>
      </c>
      <c r="H58" s="156">
        <f>$B58*Cumulative_Capacity!G34</f>
        <v>11505.493653689429</v>
      </c>
      <c r="I58" s="156">
        <f>$B58*Cumulative_Capacity!H34</f>
        <v>11919.625939996457</v>
      </c>
      <c r="J58" s="156">
        <f>$B58*Cumulative_Capacity!I34</f>
        <v>11374.109402304368</v>
      </c>
      <c r="K58" s="156">
        <f>$B58*Cumulative_Capacity!J34</f>
        <v>8466.706507302355</v>
      </c>
      <c r="L58" s="156">
        <f>$B58*Cumulative_Capacity!K34</f>
        <v>11224.561720063261</v>
      </c>
      <c r="M58" s="156">
        <f>$B58*Cumulative_Capacity!L34</f>
        <v>3546.1598693937472</v>
      </c>
      <c r="N58" s="156">
        <f>$B58*Cumulative_Capacity!M34</f>
        <v>3546.1598693937472</v>
      </c>
      <c r="O58" s="156">
        <f>$B58*Cumulative_Capacity!N34</f>
        <v>7758.3221662115584</v>
      </c>
      <c r="P58" s="156">
        <f>$B58*Cumulative_Capacity!O34</f>
        <v>12374.929494790162</v>
      </c>
      <c r="Q58" s="156">
        <f>$B58*Cumulative_Capacity!P34</f>
        <v>10772.285669594059</v>
      </c>
      <c r="R58" s="156">
        <f>$B58*Cumulative_Capacity!Q34</f>
        <v>7401.1025238208858</v>
      </c>
      <c r="S58" s="156">
        <f>$B58*Cumulative_Capacity!R34</f>
        <v>7823.1058478966524</v>
      </c>
      <c r="T58" s="156">
        <f>$B58*Cumulative_Capacity!S34</f>
        <v>13119.035685360086</v>
      </c>
      <c r="U58" s="156">
        <f>$B58*Cumulative_Capacity!T34</f>
        <v>13119.035685360086</v>
      </c>
      <c r="V58" s="156">
        <f>$B58*Cumulative_Capacity!U34</f>
        <v>13119.035685360086</v>
      </c>
      <c r="W58" s="156">
        <f>$B58*Cumulative_Capacity!V34</f>
        <v>13119.035685360086</v>
      </c>
      <c r="X58" s="157">
        <f>$B58*Cumulative_Capacity!W34</f>
        <v>10996.910018451274</v>
      </c>
    </row>
    <row r="59" spans="1:24" x14ac:dyDescent="0.35">
      <c r="A59" s="93" t="s">
        <v>41</v>
      </c>
      <c r="B59" s="29">
        <f>Jobs_Per_MW!O46</f>
        <v>60.545669315055285</v>
      </c>
      <c r="C59" s="155">
        <f>$B59*Cumulative_Capacity!B35</f>
        <v>31042.849856682154</v>
      </c>
      <c r="D59" s="156">
        <f>$B59*Cumulative_Capacity!C35</f>
        <v>31946.77766355257</v>
      </c>
      <c r="E59" s="156">
        <f>$B59*Cumulative_Capacity!D35</f>
        <v>31946.77766355257</v>
      </c>
      <c r="F59" s="156">
        <f>$B59*Cumulative_Capacity!E35</f>
        <v>31946.77766355257</v>
      </c>
      <c r="G59" s="156">
        <f>$B59*Cumulative_Capacity!F35</f>
        <v>27439.708408015005</v>
      </c>
      <c r="H59" s="156">
        <f>$B59*Cumulative_Capacity!G35</f>
        <v>25245.832117052047</v>
      </c>
      <c r="I59" s="156">
        <f>$B59*Cumulative_Capacity!H35</f>
        <v>19897.543782803732</v>
      </c>
      <c r="J59" s="156">
        <f>$B59*Cumulative_Capacity!I35</f>
        <v>31042.849856682154</v>
      </c>
      <c r="K59" s="156">
        <f>$B59*Cumulative_Capacity!J35</f>
        <v>31042.849856682154</v>
      </c>
      <c r="L59" s="156">
        <f>$B59*Cumulative_Capacity!K35</f>
        <v>31946.77766355257</v>
      </c>
      <c r="M59" s="156">
        <f>$B59*Cumulative_Capacity!L35</f>
        <v>24343.261046929274</v>
      </c>
      <c r="N59" s="156">
        <f>$B59*Cumulative_Capacity!M35</f>
        <v>18658.638845079662</v>
      </c>
      <c r="O59" s="156">
        <f>$B59*Cumulative_Capacity!N35</f>
        <v>24343.261046929274</v>
      </c>
      <c r="P59" s="156">
        <f>$B59*Cumulative_Capacity!O35</f>
        <v>31946.77766355257</v>
      </c>
      <c r="Q59" s="156">
        <f>$B59*Cumulative_Capacity!P35</f>
        <v>27364.42860187171</v>
      </c>
      <c r="R59" s="156">
        <f>$B59*Cumulative_Capacity!Q35</f>
        <v>24343.261046929274</v>
      </c>
      <c r="S59" s="156">
        <f>$B59*Cumulative_Capacity!R35</f>
        <v>27364.42860187171</v>
      </c>
      <c r="T59" s="156">
        <f>$B59*Cumulative_Capacity!S35</f>
        <v>31042.849856682154</v>
      </c>
      <c r="U59" s="156">
        <f>$B59*Cumulative_Capacity!T35</f>
        <v>31042.849856682154</v>
      </c>
      <c r="V59" s="156">
        <f>$B59*Cumulative_Capacity!U35</f>
        <v>27439.708408015005</v>
      </c>
      <c r="W59" s="156">
        <f>$B59*Cumulative_Capacity!V35</f>
        <v>31042.849856682154</v>
      </c>
      <c r="X59" s="157">
        <f>$B59*Cumulative_Capacity!W35</f>
        <v>31042.849856682154</v>
      </c>
    </row>
    <row r="60" spans="1:24" x14ac:dyDescent="0.35">
      <c r="A60" s="93" t="s">
        <v>42</v>
      </c>
      <c r="B60" s="29">
        <f>Jobs_Per_MW!O47</f>
        <v>60.545669315055285</v>
      </c>
      <c r="C60" s="155">
        <f>$B60*Cumulative_Capacity!B36</f>
        <v>12734.778373993871</v>
      </c>
      <c r="D60" s="156">
        <f>$B60*Cumulative_Capacity!C36</f>
        <v>12734.778373993871</v>
      </c>
      <c r="E60" s="156">
        <f>$B60*Cumulative_Capacity!D36</f>
        <v>14611.167295247053</v>
      </c>
      <c r="F60" s="156">
        <f>$B60*Cumulative_Capacity!E36</f>
        <v>12734.778373993871</v>
      </c>
      <c r="G60" s="156">
        <f>$B60*Cumulative_Capacity!F36</f>
        <v>12734.778373993871</v>
      </c>
      <c r="H60" s="156">
        <f>$B60*Cumulative_Capacity!G36</f>
        <v>12734.778373993871</v>
      </c>
      <c r="I60" s="156">
        <f>$B60*Cumulative_Capacity!H36</f>
        <v>12734.778373993871</v>
      </c>
      <c r="J60" s="156">
        <f>$B60*Cumulative_Capacity!I36</f>
        <v>12734.778373993871</v>
      </c>
      <c r="K60" s="156">
        <f>$B60*Cumulative_Capacity!J36</f>
        <v>12734.778373993871</v>
      </c>
      <c r="L60" s="156">
        <f>$B60*Cumulative_Capacity!K36</f>
        <v>12734.778373993871</v>
      </c>
      <c r="M60" s="156">
        <f>$B60*Cumulative_Capacity!L36</f>
        <v>12734.778373993871</v>
      </c>
      <c r="N60" s="156">
        <f>$B60*Cumulative_Capacity!M36</f>
        <v>12734.778373993871</v>
      </c>
      <c r="O60" s="156">
        <f>$B60*Cumulative_Capacity!N36</f>
        <v>12734.778373993871</v>
      </c>
      <c r="P60" s="156">
        <f>$B60*Cumulative_Capacity!O36</f>
        <v>12734.778373993871</v>
      </c>
      <c r="Q60" s="156">
        <f>$B60*Cumulative_Capacity!P36</f>
        <v>12734.778373993871</v>
      </c>
      <c r="R60" s="156">
        <f>$B60*Cumulative_Capacity!Q36</f>
        <v>12734.778373993871</v>
      </c>
      <c r="S60" s="156">
        <f>$B60*Cumulative_Capacity!R36</f>
        <v>12734.778373993871</v>
      </c>
      <c r="T60" s="156">
        <f>$B60*Cumulative_Capacity!S36</f>
        <v>14611.167295247053</v>
      </c>
      <c r="U60" s="156">
        <f>$B60*Cumulative_Capacity!T36</f>
        <v>14611.167295247053</v>
      </c>
      <c r="V60" s="156">
        <f>$B60*Cumulative_Capacity!U36</f>
        <v>14611.167295247053</v>
      </c>
      <c r="W60" s="156">
        <f>$B60*Cumulative_Capacity!V36</f>
        <v>14611.167295247053</v>
      </c>
      <c r="X60" s="157">
        <f>$B60*Cumulative_Capacity!W36</f>
        <v>12734.778373993871</v>
      </c>
    </row>
    <row r="61" spans="1:24" x14ac:dyDescent="0.35">
      <c r="A61" s="94" t="s">
        <v>47</v>
      </c>
      <c r="B61" s="31">
        <f>Jobs_Per_MW!O48</f>
        <v>0</v>
      </c>
      <c r="C61" s="98"/>
      <c r="D61" s="99"/>
      <c r="E61" s="99"/>
      <c r="F61" s="99"/>
      <c r="G61" s="99"/>
      <c r="H61" s="99"/>
      <c r="I61" s="99"/>
      <c r="J61" s="99"/>
      <c r="K61" s="99"/>
      <c r="L61" s="99"/>
      <c r="M61" s="99"/>
      <c r="N61" s="99"/>
      <c r="O61" s="99"/>
      <c r="P61" s="99"/>
      <c r="Q61" s="99"/>
      <c r="R61" s="99"/>
      <c r="S61" s="99"/>
      <c r="T61" s="99"/>
      <c r="U61" s="99"/>
      <c r="V61" s="99"/>
      <c r="W61" s="99"/>
      <c r="X61" s="100"/>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W30"/>
  <sheetViews>
    <sheetView topLeftCell="A4" workbookViewId="0">
      <selection activeCell="B11" sqref="B11"/>
    </sheetView>
  </sheetViews>
  <sheetFormatPr defaultRowHeight="14.5" x14ac:dyDescent="0.35"/>
  <cols>
    <col min="1" max="1" width="34" style="10" customWidth="1"/>
    <col min="2" max="2" width="9.453125" style="10" customWidth="1"/>
    <col min="3" max="4" width="9.453125" customWidth="1"/>
  </cols>
  <sheetData>
    <row r="1" spans="1:3" ht="43.5" x14ac:dyDescent="0.35">
      <c r="A1" s="24" t="s">
        <v>191</v>
      </c>
      <c r="B1" s="25" t="s">
        <v>192</v>
      </c>
      <c r="C1" s="26" t="s">
        <v>146</v>
      </c>
    </row>
    <row r="2" spans="1:3" x14ac:dyDescent="0.35">
      <c r="A2" s="27" t="s">
        <v>158</v>
      </c>
      <c r="B2" s="28" t="s">
        <v>169</v>
      </c>
      <c r="C2" s="157">
        <f t="array" ref="C2:C23">TRANSPOSE(B28:W28)</f>
        <v>39.372800483703614</v>
      </c>
    </row>
    <row r="3" spans="1:3" x14ac:dyDescent="0.35">
      <c r="A3" s="27" t="s">
        <v>159</v>
      </c>
      <c r="B3" s="28" t="s">
        <v>170</v>
      </c>
      <c r="C3" s="157">
        <v>61.363199996948246</v>
      </c>
    </row>
    <row r="4" spans="1:3" x14ac:dyDescent="0.35">
      <c r="A4" s="27" t="s">
        <v>160</v>
      </c>
      <c r="B4" s="28" t="s">
        <v>171</v>
      </c>
      <c r="C4" s="157">
        <v>57.088000526428225</v>
      </c>
    </row>
    <row r="5" spans="1:3" x14ac:dyDescent="0.35">
      <c r="A5" s="27" t="s">
        <v>161</v>
      </c>
      <c r="B5" s="28" t="s">
        <v>172</v>
      </c>
      <c r="C5" s="157">
        <v>57.542400970458985</v>
      </c>
    </row>
    <row r="6" spans="1:3" x14ac:dyDescent="0.35">
      <c r="A6" s="27" t="s">
        <v>162</v>
      </c>
      <c r="B6" s="28" t="s">
        <v>173</v>
      </c>
      <c r="C6" s="157">
        <v>55.90720092773438</v>
      </c>
    </row>
    <row r="7" spans="1:3" x14ac:dyDescent="0.35">
      <c r="A7" s="27" t="s">
        <v>163</v>
      </c>
      <c r="B7" s="28" t="s">
        <v>174</v>
      </c>
      <c r="C7" s="157">
        <v>60.809600601196287</v>
      </c>
    </row>
    <row r="8" spans="1:3" x14ac:dyDescent="0.35">
      <c r="A8" s="27" t="s">
        <v>164</v>
      </c>
      <c r="B8" s="28" t="s">
        <v>175</v>
      </c>
      <c r="C8" s="157">
        <v>62.998400115966795</v>
      </c>
    </row>
    <row r="9" spans="1:3" x14ac:dyDescent="0.35">
      <c r="A9" s="27" t="s">
        <v>165</v>
      </c>
      <c r="B9" s="28" t="s">
        <v>176</v>
      </c>
      <c r="C9" s="157">
        <v>60.115199813842771</v>
      </c>
    </row>
    <row r="10" spans="1:3" x14ac:dyDescent="0.35">
      <c r="A10" s="27" t="s">
        <v>166</v>
      </c>
      <c r="B10" s="28" t="s">
        <v>177</v>
      </c>
      <c r="C10" s="157">
        <v>44.748800582885742</v>
      </c>
    </row>
    <row r="11" spans="1:3" x14ac:dyDescent="0.35">
      <c r="A11" s="27" t="s">
        <v>167</v>
      </c>
      <c r="B11" s="28" t="s">
        <v>178</v>
      </c>
      <c r="C11" s="157">
        <v>59.324800453186036</v>
      </c>
    </row>
    <row r="12" spans="1:3" x14ac:dyDescent="0.35">
      <c r="A12" s="27" t="s">
        <v>147</v>
      </c>
      <c r="B12" s="28" t="s">
        <v>179</v>
      </c>
      <c r="C12" s="157">
        <v>18.742400093078615</v>
      </c>
    </row>
    <row r="13" spans="1:3" x14ac:dyDescent="0.35">
      <c r="A13" s="27" t="s">
        <v>148</v>
      </c>
      <c r="B13" s="28" t="s">
        <v>180</v>
      </c>
      <c r="C13" s="157">
        <v>18.742400093078615</v>
      </c>
    </row>
    <row r="14" spans="1:3" x14ac:dyDescent="0.35">
      <c r="A14" s="27" t="s">
        <v>149</v>
      </c>
      <c r="B14" s="28" t="s">
        <v>181</v>
      </c>
      <c r="C14" s="157">
        <v>41.004800529479979</v>
      </c>
    </row>
    <row r="15" spans="1:3" x14ac:dyDescent="0.35">
      <c r="A15" s="27" t="s">
        <v>150</v>
      </c>
      <c r="B15" s="28" t="s">
        <v>182</v>
      </c>
      <c r="C15" s="157">
        <v>65.404800758361816</v>
      </c>
    </row>
    <row r="16" spans="1:3" x14ac:dyDescent="0.35">
      <c r="A16" s="27" t="s">
        <v>151</v>
      </c>
      <c r="B16" s="28" t="s">
        <v>183</v>
      </c>
      <c r="C16" s="157">
        <v>56.934400978088377</v>
      </c>
    </row>
    <row r="17" spans="1:23" x14ac:dyDescent="0.35">
      <c r="A17" s="27" t="s">
        <v>152</v>
      </c>
      <c r="B17" s="28" t="s">
        <v>184</v>
      </c>
      <c r="C17" s="157">
        <v>39.116799507141117</v>
      </c>
    </row>
    <row r="18" spans="1:23" x14ac:dyDescent="0.35">
      <c r="A18" s="27" t="s">
        <v>153</v>
      </c>
      <c r="B18" s="28" t="s">
        <v>185</v>
      </c>
      <c r="C18" s="157">
        <v>41.347199554443357</v>
      </c>
    </row>
    <row r="19" spans="1:23" x14ac:dyDescent="0.35">
      <c r="A19" s="27" t="s">
        <v>154</v>
      </c>
      <c r="B19" s="28" t="s">
        <v>186</v>
      </c>
      <c r="C19" s="157">
        <v>69.337600307464598</v>
      </c>
    </row>
    <row r="20" spans="1:23" x14ac:dyDescent="0.35">
      <c r="A20" s="27" t="s">
        <v>155</v>
      </c>
      <c r="B20" s="28" t="s">
        <v>187</v>
      </c>
      <c r="C20" s="157">
        <v>69.337600307464598</v>
      </c>
    </row>
    <row r="21" spans="1:23" x14ac:dyDescent="0.35">
      <c r="A21" s="27" t="s">
        <v>156</v>
      </c>
      <c r="B21" s="28" t="s">
        <v>188</v>
      </c>
      <c r="C21" s="157">
        <v>69.337600307464598</v>
      </c>
    </row>
    <row r="22" spans="1:23" x14ac:dyDescent="0.35">
      <c r="A22" s="27" t="s">
        <v>168</v>
      </c>
      <c r="B22" s="28" t="s">
        <v>189</v>
      </c>
      <c r="C22" s="157">
        <v>69.337600307464598</v>
      </c>
    </row>
    <row r="23" spans="1:23" x14ac:dyDescent="0.35">
      <c r="A23" s="30" t="s">
        <v>157</v>
      </c>
      <c r="B23" s="22" t="s">
        <v>190</v>
      </c>
      <c r="C23" s="158">
        <v>58.121600532531737</v>
      </c>
    </row>
    <row r="24" spans="1:23" x14ac:dyDescent="0.35">
      <c r="A24"/>
      <c r="B24" s="2"/>
    </row>
    <row r="25" spans="1:23" s="10" customFormat="1" x14ac:dyDescent="0.35">
      <c r="A25" s="50" t="s">
        <v>201</v>
      </c>
      <c r="B25" s="13">
        <v>0.32</v>
      </c>
    </row>
    <row r="26" spans="1:23" s="10" customFormat="1" x14ac:dyDescent="0.35"/>
    <row r="27" spans="1:23" s="10" customFormat="1" x14ac:dyDescent="0.35">
      <c r="A27" s="51" t="s">
        <v>0</v>
      </c>
      <c r="B27" s="162" t="s">
        <v>158</v>
      </c>
      <c r="C27" s="162" t="s">
        <v>159</v>
      </c>
      <c r="D27" s="162" t="s">
        <v>160</v>
      </c>
      <c r="E27" s="162" t="s">
        <v>161</v>
      </c>
      <c r="F27" s="162" t="s">
        <v>162</v>
      </c>
      <c r="G27" s="162" t="s">
        <v>163</v>
      </c>
      <c r="H27" s="162" t="s">
        <v>164</v>
      </c>
      <c r="I27" s="162" t="s">
        <v>165</v>
      </c>
      <c r="J27" s="162" t="s">
        <v>166</v>
      </c>
      <c r="K27" s="162" t="s">
        <v>167</v>
      </c>
      <c r="L27" s="162" t="s">
        <v>147</v>
      </c>
      <c r="M27" s="162" t="s">
        <v>148</v>
      </c>
      <c r="N27" s="162" t="s">
        <v>149</v>
      </c>
      <c r="O27" s="162" t="s">
        <v>150</v>
      </c>
      <c r="P27" s="162" t="s">
        <v>151</v>
      </c>
      <c r="Q27" s="162" t="s">
        <v>152</v>
      </c>
      <c r="R27" s="162" t="s">
        <v>153</v>
      </c>
      <c r="S27" s="162" t="s">
        <v>154</v>
      </c>
      <c r="T27" s="162" t="s">
        <v>155</v>
      </c>
      <c r="U27" s="162" t="s">
        <v>156</v>
      </c>
      <c r="V27" s="162" t="s">
        <v>168</v>
      </c>
      <c r="W27" s="163" t="s">
        <v>157</v>
      </c>
    </row>
    <row r="28" spans="1:23" s="10" customFormat="1" x14ac:dyDescent="0.35">
      <c r="A28" s="114" t="s">
        <v>40</v>
      </c>
      <c r="B28" s="195">
        <f>Cumulative_Capacity!B34*DR_Peak_Capacity!$B$25</f>
        <v>39.372800483703614</v>
      </c>
      <c r="C28" s="195">
        <f>Cumulative_Capacity!C34*DR_Peak_Capacity!$B$25</f>
        <v>61.363199996948246</v>
      </c>
      <c r="D28" s="195">
        <f>Cumulative_Capacity!D34*DR_Peak_Capacity!$B$25</f>
        <v>57.088000526428225</v>
      </c>
      <c r="E28" s="195">
        <f>Cumulative_Capacity!E34*DR_Peak_Capacity!$B$25</f>
        <v>57.542400970458985</v>
      </c>
      <c r="F28" s="195">
        <f>Cumulative_Capacity!F34*DR_Peak_Capacity!$B$25</f>
        <v>55.90720092773438</v>
      </c>
      <c r="G28" s="195">
        <f>Cumulative_Capacity!G34*DR_Peak_Capacity!$B$25</f>
        <v>60.809600601196287</v>
      </c>
      <c r="H28" s="195">
        <f>Cumulative_Capacity!H34*DR_Peak_Capacity!$B$25</f>
        <v>62.998400115966795</v>
      </c>
      <c r="I28" s="195">
        <f>Cumulative_Capacity!I34*DR_Peak_Capacity!$B$25</f>
        <v>60.115199813842771</v>
      </c>
      <c r="J28" s="195">
        <f>Cumulative_Capacity!J34*DR_Peak_Capacity!$B$25</f>
        <v>44.748800582885742</v>
      </c>
      <c r="K28" s="195">
        <f>Cumulative_Capacity!K34*DR_Peak_Capacity!$B$25</f>
        <v>59.324800453186036</v>
      </c>
      <c r="L28" s="195">
        <f>Cumulative_Capacity!L34*DR_Peak_Capacity!$B$25</f>
        <v>18.742400093078615</v>
      </c>
      <c r="M28" s="195">
        <f>Cumulative_Capacity!M34*DR_Peak_Capacity!$B$25</f>
        <v>18.742400093078615</v>
      </c>
      <c r="N28" s="195">
        <f>Cumulative_Capacity!N34*DR_Peak_Capacity!$B$25</f>
        <v>41.004800529479979</v>
      </c>
      <c r="O28" s="195">
        <f>Cumulative_Capacity!O34*DR_Peak_Capacity!$B$25</f>
        <v>65.404800758361816</v>
      </c>
      <c r="P28" s="195">
        <f>Cumulative_Capacity!P34*DR_Peak_Capacity!$B$25</f>
        <v>56.934400978088377</v>
      </c>
      <c r="Q28" s="195">
        <f>Cumulative_Capacity!Q34*DR_Peak_Capacity!$B$25</f>
        <v>39.116799507141117</v>
      </c>
      <c r="R28" s="195">
        <f>Cumulative_Capacity!R34*DR_Peak_Capacity!$B$25</f>
        <v>41.347199554443357</v>
      </c>
      <c r="S28" s="195">
        <f>Cumulative_Capacity!S34*DR_Peak_Capacity!$B$25</f>
        <v>69.337600307464598</v>
      </c>
      <c r="T28" s="195">
        <f>Cumulative_Capacity!T34*DR_Peak_Capacity!$B$25</f>
        <v>69.337600307464598</v>
      </c>
      <c r="U28" s="195">
        <f>Cumulative_Capacity!U34*DR_Peak_Capacity!$B$25</f>
        <v>69.337600307464598</v>
      </c>
      <c r="V28" s="195">
        <f>Cumulative_Capacity!V34*DR_Peak_Capacity!$B$25</f>
        <v>69.337600307464598</v>
      </c>
      <c r="W28" s="196">
        <f>Cumulative_Capacity!W34*DR_Peak_Capacity!$B$25</f>
        <v>58.121600532531737</v>
      </c>
    </row>
    <row r="29" spans="1:23" s="10" customFormat="1" x14ac:dyDescent="0.35"/>
    <row r="30" spans="1:23" s="10" customFormat="1" x14ac:dyDescent="0.35"/>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I50"/>
  <sheetViews>
    <sheetView topLeftCell="A22" workbookViewId="0">
      <selection activeCell="E38" sqref="E38"/>
    </sheetView>
  </sheetViews>
  <sheetFormatPr defaultRowHeight="14.5" x14ac:dyDescent="0.35"/>
  <cols>
    <col min="1" max="1" width="22" customWidth="1"/>
    <col min="2" max="10" width="15.453125" customWidth="1"/>
    <col min="11" max="11" width="16.81640625" customWidth="1"/>
    <col min="12" max="12" width="9.26953125" bestFit="1" customWidth="1"/>
    <col min="13" max="17" width="17.81640625" customWidth="1"/>
    <col min="18" max="22" width="14.81640625" customWidth="1"/>
    <col min="23" max="23" width="11" bestFit="1" customWidth="1"/>
    <col min="24" max="24" width="11.54296875" bestFit="1" customWidth="1"/>
    <col min="25" max="25" width="9.453125" bestFit="1" customWidth="1"/>
    <col min="26" max="26" width="14.1796875" bestFit="1" customWidth="1"/>
    <col min="27" max="27" width="5.453125" bestFit="1" customWidth="1"/>
    <col min="28" max="28" width="11" bestFit="1" customWidth="1"/>
    <col min="29" max="29" width="11.54296875" bestFit="1" customWidth="1"/>
    <col min="30" max="30" width="9.453125" bestFit="1" customWidth="1"/>
    <col min="31" max="31" width="14.1796875" bestFit="1" customWidth="1"/>
    <col min="32" max="32" width="5.54296875" bestFit="1" customWidth="1"/>
    <col min="33" max="87" width="14.81640625" customWidth="1"/>
  </cols>
  <sheetData>
    <row r="1" spans="1:3" ht="29" x14ac:dyDescent="0.35">
      <c r="A1" s="24" t="s">
        <v>191</v>
      </c>
      <c r="B1" s="25" t="s">
        <v>192</v>
      </c>
      <c r="C1" s="26" t="s">
        <v>146</v>
      </c>
    </row>
    <row r="2" spans="1:3" x14ac:dyDescent="0.35">
      <c r="A2" s="27" t="s">
        <v>158</v>
      </c>
      <c r="B2" s="28" t="s">
        <v>169</v>
      </c>
      <c r="C2" s="125">
        <f t="array" ref="C2:C23">TRANSPOSE(B29:W29)</f>
        <v>3393.1432043682003</v>
      </c>
    </row>
    <row r="3" spans="1:3" x14ac:dyDescent="0.35">
      <c r="A3" s="27" t="s">
        <v>159</v>
      </c>
      <c r="B3" s="28" t="s">
        <v>170</v>
      </c>
      <c r="C3" s="125">
        <v>3393.1432043682003</v>
      </c>
    </row>
    <row r="4" spans="1:3" x14ac:dyDescent="0.35">
      <c r="A4" s="27" t="s">
        <v>160</v>
      </c>
      <c r="B4" s="28" t="s">
        <v>171</v>
      </c>
      <c r="C4" s="125">
        <v>326435.68391750724</v>
      </c>
    </row>
    <row r="5" spans="1:3" x14ac:dyDescent="0.35">
      <c r="A5" s="27" t="s">
        <v>161</v>
      </c>
      <c r="B5" s="28" t="s">
        <v>172</v>
      </c>
      <c r="C5" s="125">
        <v>3393.1432043682003</v>
      </c>
    </row>
    <row r="6" spans="1:3" x14ac:dyDescent="0.35">
      <c r="A6" s="27" t="s">
        <v>162</v>
      </c>
      <c r="B6" s="28" t="s">
        <v>173</v>
      </c>
      <c r="C6" s="125">
        <v>3393.1432043682003</v>
      </c>
    </row>
    <row r="7" spans="1:3" x14ac:dyDescent="0.35">
      <c r="A7" s="27" t="s">
        <v>163</v>
      </c>
      <c r="B7" s="28" t="s">
        <v>174</v>
      </c>
      <c r="C7" s="125">
        <v>3393.1432043682003</v>
      </c>
    </row>
    <row r="8" spans="1:3" x14ac:dyDescent="0.35">
      <c r="A8" s="27" t="s">
        <v>164</v>
      </c>
      <c r="B8" s="28" t="s">
        <v>175</v>
      </c>
      <c r="C8" s="125">
        <v>3393.1432043682003</v>
      </c>
    </row>
    <row r="9" spans="1:3" x14ac:dyDescent="0.35">
      <c r="A9" s="27" t="s">
        <v>165</v>
      </c>
      <c r="B9" s="28" t="s">
        <v>176</v>
      </c>
      <c r="C9" s="125">
        <v>3393.1432043682003</v>
      </c>
    </row>
    <row r="10" spans="1:3" x14ac:dyDescent="0.35">
      <c r="A10" s="27" t="s">
        <v>166</v>
      </c>
      <c r="B10" s="28" t="s">
        <v>177</v>
      </c>
      <c r="C10" s="125">
        <v>3393.1432043682003</v>
      </c>
    </row>
    <row r="11" spans="1:3" x14ac:dyDescent="0.35">
      <c r="A11" s="27" t="s">
        <v>167</v>
      </c>
      <c r="B11" s="28" t="s">
        <v>178</v>
      </c>
      <c r="C11" s="125">
        <v>3393.1432043682003</v>
      </c>
    </row>
    <row r="12" spans="1:3" x14ac:dyDescent="0.35">
      <c r="A12" s="27" t="s">
        <v>147</v>
      </c>
      <c r="B12" s="28" t="s">
        <v>179</v>
      </c>
      <c r="C12" s="125">
        <v>3393.1432043682003</v>
      </c>
    </row>
    <row r="13" spans="1:3" x14ac:dyDescent="0.35">
      <c r="A13" s="27" t="s">
        <v>148</v>
      </c>
      <c r="B13" s="28" t="s">
        <v>180</v>
      </c>
      <c r="C13" s="125">
        <v>3393.1432043682003</v>
      </c>
    </row>
    <row r="14" spans="1:3" x14ac:dyDescent="0.35">
      <c r="A14" s="27" t="s">
        <v>149</v>
      </c>
      <c r="B14" s="28" t="s">
        <v>181</v>
      </c>
      <c r="C14" s="125">
        <v>3393.1432043682003</v>
      </c>
    </row>
    <row r="15" spans="1:3" x14ac:dyDescent="0.35">
      <c r="A15" s="27" t="s">
        <v>150</v>
      </c>
      <c r="B15" s="28" t="s">
        <v>182</v>
      </c>
      <c r="C15" s="125">
        <v>3393.1432043682003</v>
      </c>
    </row>
    <row r="16" spans="1:3" x14ac:dyDescent="0.35">
      <c r="A16" s="27" t="s">
        <v>151</v>
      </c>
      <c r="B16" s="28" t="s">
        <v>183</v>
      </c>
      <c r="C16" s="125">
        <v>3393.1432043682003</v>
      </c>
    </row>
    <row r="17" spans="1:23" x14ac:dyDescent="0.35">
      <c r="A17" s="27" t="s">
        <v>152</v>
      </c>
      <c r="B17" s="28" t="s">
        <v>184</v>
      </c>
      <c r="C17" s="125">
        <v>3393.1432043682003</v>
      </c>
    </row>
    <row r="18" spans="1:23" x14ac:dyDescent="0.35">
      <c r="A18" s="27" t="s">
        <v>153</v>
      </c>
      <c r="B18" s="28" t="s">
        <v>185</v>
      </c>
      <c r="C18" s="125">
        <v>3393.1432043682003</v>
      </c>
    </row>
    <row r="19" spans="1:23" x14ac:dyDescent="0.35">
      <c r="A19" s="27" t="s">
        <v>154</v>
      </c>
      <c r="B19" s="28" t="s">
        <v>186</v>
      </c>
      <c r="C19" s="125">
        <v>84752.005309899512</v>
      </c>
    </row>
    <row r="20" spans="1:23" x14ac:dyDescent="0.35">
      <c r="A20" s="27" t="s">
        <v>155</v>
      </c>
      <c r="B20" s="28" t="s">
        <v>187</v>
      </c>
      <c r="C20" s="125">
        <v>84752.005309899512</v>
      </c>
    </row>
    <row r="21" spans="1:23" x14ac:dyDescent="0.35">
      <c r="A21" s="27" t="s">
        <v>156</v>
      </c>
      <c r="B21" s="28" t="s">
        <v>188</v>
      </c>
      <c r="C21" s="125">
        <v>84752.005309899512</v>
      </c>
    </row>
    <row r="22" spans="1:23" x14ac:dyDescent="0.35">
      <c r="A22" s="27" t="s">
        <v>168</v>
      </c>
      <c r="B22" s="28" t="s">
        <v>189</v>
      </c>
      <c r="C22" s="125">
        <v>84752.005309899512</v>
      </c>
    </row>
    <row r="23" spans="1:23" x14ac:dyDescent="0.35">
      <c r="A23" s="30" t="s">
        <v>157</v>
      </c>
      <c r="B23" s="22" t="s">
        <v>190</v>
      </c>
      <c r="C23" s="126">
        <v>3393.1432043682003</v>
      </c>
    </row>
    <row r="24" spans="1:23" x14ac:dyDescent="0.35">
      <c r="B24" s="33"/>
    </row>
    <row r="25" spans="1:23" x14ac:dyDescent="0.35">
      <c r="A25" s="51" t="s">
        <v>0</v>
      </c>
      <c r="B25" s="162" t="s">
        <v>158</v>
      </c>
      <c r="C25" s="162" t="s">
        <v>159</v>
      </c>
      <c r="D25" s="162" t="s">
        <v>160</v>
      </c>
      <c r="E25" s="162" t="s">
        <v>161</v>
      </c>
      <c r="F25" s="162" t="s">
        <v>162</v>
      </c>
      <c r="G25" s="162" t="s">
        <v>163</v>
      </c>
      <c r="H25" s="162" t="s">
        <v>164</v>
      </c>
      <c r="I25" s="162" t="s">
        <v>165</v>
      </c>
      <c r="J25" s="162" t="s">
        <v>166</v>
      </c>
      <c r="K25" s="162" t="s">
        <v>167</v>
      </c>
      <c r="L25" s="162" t="s">
        <v>147</v>
      </c>
      <c r="M25" s="162" t="s">
        <v>148</v>
      </c>
      <c r="N25" s="162" t="s">
        <v>149</v>
      </c>
      <c r="O25" s="162" t="s">
        <v>150</v>
      </c>
      <c r="P25" s="162" t="s">
        <v>151</v>
      </c>
      <c r="Q25" s="162" t="s">
        <v>152</v>
      </c>
      <c r="R25" s="162" t="s">
        <v>153</v>
      </c>
      <c r="S25" s="162" t="s">
        <v>154</v>
      </c>
      <c r="T25" s="162" t="s">
        <v>155</v>
      </c>
      <c r="U25" s="162" t="s">
        <v>156</v>
      </c>
      <c r="V25" s="162" t="s">
        <v>168</v>
      </c>
      <c r="W25" s="163" t="s">
        <v>157</v>
      </c>
    </row>
    <row r="26" spans="1:23" x14ac:dyDescent="0.35">
      <c r="A26" s="54" t="s">
        <v>37</v>
      </c>
      <c r="B26" s="101">
        <f>Cumulative_Capacity!B31*DER_Participation!$F$47</f>
        <v>0</v>
      </c>
      <c r="C26" s="101">
        <f>Cumulative_Capacity!C31*DER_Participation!$F$47</f>
        <v>0</v>
      </c>
      <c r="D26" s="101">
        <f>Cumulative_Capacity!D31*DER_Participation!$F$47</f>
        <v>215361.69380875936</v>
      </c>
      <c r="E26" s="101">
        <f>Cumulative_Capacity!E31*DER_Participation!$F$47</f>
        <v>0</v>
      </c>
      <c r="F26" s="101">
        <f>Cumulative_Capacity!F31*DER_Participation!$F$47</f>
        <v>0</v>
      </c>
      <c r="G26" s="101">
        <f>Cumulative_Capacity!G31*DER_Participation!$F$47</f>
        <v>0</v>
      </c>
      <c r="H26" s="101">
        <f>Cumulative_Capacity!H31*DER_Participation!$F$47</f>
        <v>0</v>
      </c>
      <c r="I26" s="101">
        <f>Cumulative_Capacity!I31*DER_Participation!$F$47</f>
        <v>0</v>
      </c>
      <c r="J26" s="101">
        <f>Cumulative_Capacity!J31*DER_Participation!$F$47</f>
        <v>0</v>
      </c>
      <c r="K26" s="101">
        <f>Cumulative_Capacity!K31*DER_Participation!$F$47</f>
        <v>0</v>
      </c>
      <c r="L26" s="101">
        <f>Cumulative_Capacity!L31*DER_Participation!$F$47</f>
        <v>0</v>
      </c>
      <c r="M26" s="101">
        <f>Cumulative_Capacity!M31*DER_Participation!$F$47</f>
        <v>0</v>
      </c>
      <c r="N26" s="101">
        <f>Cumulative_Capacity!N31*DER_Participation!$F$47</f>
        <v>0</v>
      </c>
      <c r="O26" s="101">
        <f>Cumulative_Capacity!O31*DER_Participation!$F$47</f>
        <v>0</v>
      </c>
      <c r="P26" s="101">
        <f>Cumulative_Capacity!P31*DER_Participation!$F$47</f>
        <v>0</v>
      </c>
      <c r="Q26" s="101">
        <f>Cumulative_Capacity!Q31*DER_Participation!$F$47</f>
        <v>0</v>
      </c>
      <c r="R26" s="101">
        <f>Cumulative_Capacity!R31*DER_Participation!$F$47</f>
        <v>0</v>
      </c>
      <c r="S26" s="101">
        <f>Cumulative_Capacity!S31*DER_Participation!$F$47</f>
        <v>5982.2692724655371</v>
      </c>
      <c r="T26" s="101">
        <f>Cumulative_Capacity!T31*DER_Participation!$F$47</f>
        <v>5982.2692724655371</v>
      </c>
      <c r="U26" s="101">
        <f>Cumulative_Capacity!U31*DER_Participation!$F$47</f>
        <v>5982.2692724655371</v>
      </c>
      <c r="V26" s="101">
        <f>Cumulative_Capacity!V31*DER_Participation!$F$47</f>
        <v>5982.2692724655371</v>
      </c>
      <c r="W26" s="125">
        <f>Cumulative_Capacity!W31*DER_Participation!$F$47</f>
        <v>0</v>
      </c>
    </row>
    <row r="27" spans="1:23" x14ac:dyDescent="0.35">
      <c r="A27" s="54" t="s">
        <v>38</v>
      </c>
      <c r="B27" s="101">
        <f>Cumulative_Capacity!B32*DER_Participation!$F$47</f>
        <v>0</v>
      </c>
      <c r="C27" s="101">
        <f>Cumulative_Capacity!C32*DER_Participation!$F$47</f>
        <v>0</v>
      </c>
      <c r="D27" s="101">
        <f>Cumulative_Capacity!D32*DER_Participation!$F$47</f>
        <v>107680.84690437968</v>
      </c>
      <c r="E27" s="101">
        <f>Cumulative_Capacity!E32*DER_Participation!$F$47</f>
        <v>0</v>
      </c>
      <c r="F27" s="101">
        <f>Cumulative_Capacity!F32*DER_Participation!$F$47</f>
        <v>0</v>
      </c>
      <c r="G27" s="101">
        <f>Cumulative_Capacity!G32*DER_Participation!$F$47</f>
        <v>0</v>
      </c>
      <c r="H27" s="101">
        <f>Cumulative_Capacity!H32*DER_Participation!$F$47</f>
        <v>0</v>
      </c>
      <c r="I27" s="101">
        <f>Cumulative_Capacity!I32*DER_Participation!$F$47</f>
        <v>0</v>
      </c>
      <c r="J27" s="101">
        <f>Cumulative_Capacity!J32*DER_Participation!$F$47</f>
        <v>0</v>
      </c>
      <c r="K27" s="101">
        <f>Cumulative_Capacity!K32*DER_Participation!$F$47</f>
        <v>0</v>
      </c>
      <c r="L27" s="101">
        <f>Cumulative_Capacity!L32*DER_Participation!$F$47</f>
        <v>0</v>
      </c>
      <c r="M27" s="101">
        <f>Cumulative_Capacity!M32*DER_Participation!$F$47</f>
        <v>0</v>
      </c>
      <c r="N27" s="101">
        <f>Cumulative_Capacity!N32*DER_Participation!$F$47</f>
        <v>0</v>
      </c>
      <c r="O27" s="101">
        <f>Cumulative_Capacity!O32*DER_Participation!$F$47</f>
        <v>0</v>
      </c>
      <c r="P27" s="101">
        <f>Cumulative_Capacity!P32*DER_Participation!$F$47</f>
        <v>0</v>
      </c>
      <c r="Q27" s="101">
        <f>Cumulative_Capacity!Q32*DER_Participation!$F$47</f>
        <v>0</v>
      </c>
      <c r="R27" s="101">
        <f>Cumulative_Capacity!R32*DER_Participation!$F$47</f>
        <v>0</v>
      </c>
      <c r="S27" s="101">
        <f>Cumulative_Capacity!S32*DER_Participation!$F$47</f>
        <v>75376.592833065777</v>
      </c>
      <c r="T27" s="101">
        <f>Cumulative_Capacity!T32*DER_Participation!$F$47</f>
        <v>75376.592833065777</v>
      </c>
      <c r="U27" s="101">
        <f>Cumulative_Capacity!U32*DER_Participation!$F$47</f>
        <v>75376.592833065777</v>
      </c>
      <c r="V27" s="101">
        <f>Cumulative_Capacity!V32*DER_Participation!$F$47</f>
        <v>75376.592833065777</v>
      </c>
      <c r="W27" s="125">
        <f>Cumulative_Capacity!W32*DER_Participation!$F$47</f>
        <v>0</v>
      </c>
    </row>
    <row r="28" spans="1:23" x14ac:dyDescent="0.35">
      <c r="A28" s="55" t="s">
        <v>39</v>
      </c>
      <c r="B28" s="102">
        <f>Cumulative_Capacity!B33*DER_Participation!$F$47</f>
        <v>3393.1432043682003</v>
      </c>
      <c r="C28" s="102">
        <f>Cumulative_Capacity!C33*DER_Participation!$F$47</f>
        <v>3393.1432043682003</v>
      </c>
      <c r="D28" s="102">
        <f>Cumulative_Capacity!D33*DER_Participation!$F$47</f>
        <v>3393.1432043682003</v>
      </c>
      <c r="E28" s="102">
        <f>Cumulative_Capacity!E33*DER_Participation!$F$47</f>
        <v>3393.1432043682003</v>
      </c>
      <c r="F28" s="102">
        <f>Cumulative_Capacity!F33*DER_Participation!$F$47</f>
        <v>3393.1432043682003</v>
      </c>
      <c r="G28" s="102">
        <f>Cumulative_Capacity!G33*DER_Participation!$F$47</f>
        <v>3393.1432043682003</v>
      </c>
      <c r="H28" s="102">
        <f>Cumulative_Capacity!H33*DER_Participation!$F$47</f>
        <v>3393.1432043682003</v>
      </c>
      <c r="I28" s="102">
        <f>Cumulative_Capacity!I33*DER_Participation!$F$47</f>
        <v>3393.1432043682003</v>
      </c>
      <c r="J28" s="102">
        <f>Cumulative_Capacity!J33*DER_Participation!$F$47</f>
        <v>3393.1432043682003</v>
      </c>
      <c r="K28" s="102">
        <f>Cumulative_Capacity!K33*DER_Participation!$F$47</f>
        <v>3393.1432043682003</v>
      </c>
      <c r="L28" s="102">
        <f>Cumulative_Capacity!L33*DER_Participation!$F$47</f>
        <v>3393.1432043682003</v>
      </c>
      <c r="M28" s="102">
        <f>Cumulative_Capacity!M33*DER_Participation!$F$47</f>
        <v>3393.1432043682003</v>
      </c>
      <c r="N28" s="102">
        <f>Cumulative_Capacity!N33*DER_Participation!$F$47</f>
        <v>3393.1432043682003</v>
      </c>
      <c r="O28" s="102">
        <f>Cumulative_Capacity!O33*DER_Participation!$F$47</f>
        <v>3393.1432043682003</v>
      </c>
      <c r="P28" s="102">
        <f>Cumulative_Capacity!P33*DER_Participation!$F$47</f>
        <v>3393.1432043682003</v>
      </c>
      <c r="Q28" s="102">
        <f>Cumulative_Capacity!Q33*DER_Participation!$F$47</f>
        <v>3393.1432043682003</v>
      </c>
      <c r="R28" s="102">
        <f>Cumulative_Capacity!R33*DER_Participation!$F$47</f>
        <v>3393.1432043682003</v>
      </c>
      <c r="S28" s="102">
        <f>Cumulative_Capacity!S33*DER_Participation!$F$47</f>
        <v>3393.1432043682003</v>
      </c>
      <c r="T28" s="102">
        <f>Cumulative_Capacity!T33*DER_Participation!$F$47</f>
        <v>3393.1432043682003</v>
      </c>
      <c r="U28" s="102">
        <f>Cumulative_Capacity!U33*DER_Participation!$F$47</f>
        <v>3393.1432043682003</v>
      </c>
      <c r="V28" s="102">
        <f>Cumulative_Capacity!V33*DER_Participation!$F$47</f>
        <v>3393.1432043682003</v>
      </c>
      <c r="W28" s="126">
        <f>Cumulative_Capacity!W33*DER_Participation!$F$47</f>
        <v>3393.1432043682003</v>
      </c>
    </row>
    <row r="29" spans="1:23" x14ac:dyDescent="0.35">
      <c r="A29" s="57" t="s">
        <v>66</v>
      </c>
      <c r="B29" s="159">
        <f>SUM(B26:B28)</f>
        <v>3393.1432043682003</v>
      </c>
      <c r="C29" s="159">
        <f>SUM(C26:C28)</f>
        <v>3393.1432043682003</v>
      </c>
      <c r="D29" s="159">
        <f t="shared" ref="D29:W29" si="0">SUM(D26:D28)</f>
        <v>326435.68391750724</v>
      </c>
      <c r="E29" s="159">
        <f t="shared" si="0"/>
        <v>3393.1432043682003</v>
      </c>
      <c r="F29" s="159">
        <f t="shared" si="0"/>
        <v>3393.1432043682003</v>
      </c>
      <c r="G29" s="159">
        <f t="shared" si="0"/>
        <v>3393.1432043682003</v>
      </c>
      <c r="H29" s="159">
        <f t="shared" si="0"/>
        <v>3393.1432043682003</v>
      </c>
      <c r="I29" s="159">
        <f t="shared" si="0"/>
        <v>3393.1432043682003</v>
      </c>
      <c r="J29" s="159">
        <f t="shared" si="0"/>
        <v>3393.1432043682003</v>
      </c>
      <c r="K29" s="159">
        <f t="shared" si="0"/>
        <v>3393.1432043682003</v>
      </c>
      <c r="L29" s="159">
        <f t="shared" si="0"/>
        <v>3393.1432043682003</v>
      </c>
      <c r="M29" s="159">
        <f t="shared" si="0"/>
        <v>3393.1432043682003</v>
      </c>
      <c r="N29" s="159">
        <f t="shared" si="0"/>
        <v>3393.1432043682003</v>
      </c>
      <c r="O29" s="159">
        <f t="shared" si="0"/>
        <v>3393.1432043682003</v>
      </c>
      <c r="P29" s="159">
        <f t="shared" si="0"/>
        <v>3393.1432043682003</v>
      </c>
      <c r="Q29" s="159">
        <f t="shared" si="0"/>
        <v>3393.1432043682003</v>
      </c>
      <c r="R29" s="159">
        <f t="shared" si="0"/>
        <v>3393.1432043682003</v>
      </c>
      <c r="S29" s="159">
        <f t="shared" si="0"/>
        <v>84752.005309899512</v>
      </c>
      <c r="T29" s="159">
        <f t="shared" si="0"/>
        <v>84752.005309899512</v>
      </c>
      <c r="U29" s="159">
        <f t="shared" si="0"/>
        <v>84752.005309899512</v>
      </c>
      <c r="V29" s="159">
        <f t="shared" si="0"/>
        <v>84752.005309899512</v>
      </c>
      <c r="W29" s="160">
        <f t="shared" si="0"/>
        <v>3393.1432043682003</v>
      </c>
    </row>
    <row r="30" spans="1:23" s="8" customFormat="1" x14ac:dyDescent="0.35"/>
    <row r="31" spans="1:23" s="8" customFormat="1" x14ac:dyDescent="0.35"/>
    <row r="32" spans="1:23" s="8" customFormat="1" ht="15.5" x14ac:dyDescent="0.35">
      <c r="A32" s="213" t="s">
        <v>303</v>
      </c>
    </row>
    <row r="33" spans="1:87" s="5" customFormat="1" x14ac:dyDescent="0.35">
      <c r="A33" s="214" t="s">
        <v>301</v>
      </c>
    </row>
    <row r="34" spans="1:87" s="5" customFormat="1" x14ac:dyDescent="0.35">
      <c r="A34" s="214" t="s">
        <v>279</v>
      </c>
      <c r="B34" s="215"/>
      <c r="C34" s="215"/>
      <c r="D34" s="215"/>
      <c r="E34" s="215"/>
      <c r="F34" s="215"/>
      <c r="G34" s="215"/>
      <c r="H34" s="215"/>
      <c r="I34" s="215"/>
      <c r="J34" s="215"/>
      <c r="K34" s="215"/>
      <c r="L34" s="215"/>
      <c r="M34" s="215"/>
      <c r="N34" s="215"/>
      <c r="O34" s="215"/>
      <c r="P34" s="215"/>
      <c r="Q34" s="215"/>
      <c r="R34" s="215"/>
      <c r="S34" s="215"/>
      <c r="T34" s="215"/>
      <c r="U34" s="215"/>
      <c r="V34" s="215"/>
      <c r="W34" s="215"/>
      <c r="X34" s="215"/>
      <c r="Y34" s="215"/>
      <c r="Z34" s="215"/>
      <c r="AA34" s="215"/>
      <c r="AB34" s="215"/>
      <c r="AC34" s="215"/>
      <c r="AD34" s="215"/>
      <c r="AE34" s="215"/>
      <c r="AF34" s="215"/>
      <c r="AG34" s="215"/>
      <c r="AH34" s="215"/>
      <c r="AI34" s="215"/>
      <c r="AJ34" s="215"/>
      <c r="AK34" s="215"/>
      <c r="AL34" s="215"/>
      <c r="AM34" s="215"/>
      <c r="AN34" s="215"/>
      <c r="AO34" s="215"/>
      <c r="AP34" s="215"/>
      <c r="AQ34" s="215"/>
      <c r="AR34" s="215"/>
      <c r="AS34" s="215"/>
      <c r="AT34" s="215"/>
      <c r="AU34" s="215"/>
      <c r="AV34" s="215"/>
      <c r="AW34" s="215"/>
      <c r="AX34" s="215"/>
      <c r="AY34" s="215"/>
      <c r="AZ34" s="215"/>
      <c r="BA34" s="215"/>
      <c r="BB34" s="215"/>
      <c r="BC34" s="215"/>
      <c r="BD34" s="215"/>
      <c r="BE34" s="215"/>
      <c r="BF34" s="215"/>
      <c r="BG34" s="215"/>
      <c r="BH34" s="215"/>
      <c r="BI34" s="215"/>
      <c r="BJ34" s="215"/>
      <c r="BK34" s="215"/>
      <c r="BL34" s="215"/>
      <c r="BM34" s="215"/>
      <c r="BN34" s="215"/>
      <c r="BO34" s="215"/>
      <c r="BP34" s="215"/>
      <c r="BQ34" s="215"/>
      <c r="BR34" s="215"/>
      <c r="BS34" s="215"/>
      <c r="BT34" s="215"/>
      <c r="CD34" s="215"/>
      <c r="CE34" s="215"/>
      <c r="CF34" s="215"/>
      <c r="CG34" s="215"/>
      <c r="CH34" s="215"/>
      <c r="CI34" s="215"/>
    </row>
    <row r="35" spans="1:87" s="4" customFormat="1" x14ac:dyDescent="0.35">
      <c r="A35" s="288" t="s">
        <v>280</v>
      </c>
      <c r="B35" s="289"/>
      <c r="C35" s="289"/>
      <c r="D35" s="289"/>
      <c r="E35" s="289"/>
      <c r="F35" s="290"/>
      <c r="G35" s="294" t="s">
        <v>65</v>
      </c>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295"/>
      <c r="AL35" s="295"/>
      <c r="AM35" s="295"/>
      <c r="AN35" s="295"/>
      <c r="AO35" s="295"/>
      <c r="AP35" s="296"/>
      <c r="AQ35" s="279" t="s">
        <v>57</v>
      </c>
      <c r="AR35" s="280"/>
      <c r="AS35" s="280"/>
      <c r="AT35" s="280"/>
      <c r="AU35" s="280"/>
      <c r="AV35" s="280"/>
      <c r="AW35" s="280"/>
      <c r="AX35" s="280"/>
      <c r="AY35" s="280"/>
      <c r="AZ35" s="280"/>
      <c r="BA35" s="280"/>
      <c r="BB35" s="280"/>
      <c r="BC35" s="280"/>
      <c r="BD35" s="280"/>
      <c r="BE35" s="281"/>
      <c r="BF35" s="282" t="s">
        <v>60</v>
      </c>
      <c r="BG35" s="283"/>
      <c r="BH35" s="283"/>
      <c r="BI35" s="283"/>
      <c r="BJ35" s="283"/>
      <c r="BK35" s="283"/>
      <c r="BL35" s="283"/>
      <c r="BM35" s="283"/>
      <c r="BN35" s="283"/>
      <c r="BO35" s="283"/>
      <c r="BP35" s="283"/>
      <c r="BQ35" s="283"/>
      <c r="BR35" s="283"/>
      <c r="BS35" s="283"/>
      <c r="BT35" s="284"/>
      <c r="BU35" s="285" t="s">
        <v>281</v>
      </c>
      <c r="BV35" s="286"/>
      <c r="BW35" s="286"/>
      <c r="BX35" s="286"/>
      <c r="BY35" s="286"/>
      <c r="BZ35" s="286"/>
      <c r="CA35" s="286"/>
      <c r="CB35" s="286"/>
      <c r="CC35" s="286"/>
      <c r="CD35" s="286"/>
      <c r="CE35" s="286"/>
      <c r="CF35" s="286"/>
      <c r="CG35" s="286"/>
      <c r="CH35" s="286"/>
      <c r="CI35" s="287"/>
    </row>
    <row r="36" spans="1:87" s="4" customFormat="1" x14ac:dyDescent="0.35">
      <c r="A36" s="288" t="s">
        <v>282</v>
      </c>
      <c r="B36" s="289"/>
      <c r="C36" s="289"/>
      <c r="D36" s="289"/>
      <c r="E36" s="289"/>
      <c r="F36" s="290"/>
      <c r="G36" s="291" t="s">
        <v>283</v>
      </c>
      <c r="H36" s="292"/>
      <c r="I36" s="292"/>
      <c r="J36" s="292"/>
      <c r="K36" s="292"/>
      <c r="L36" s="293"/>
      <c r="M36" s="291" t="s">
        <v>284</v>
      </c>
      <c r="N36" s="292"/>
      <c r="O36" s="292"/>
      <c r="P36" s="292"/>
      <c r="Q36" s="293"/>
      <c r="R36" s="291" t="s">
        <v>285</v>
      </c>
      <c r="S36" s="292"/>
      <c r="T36" s="292"/>
      <c r="U36" s="292"/>
      <c r="V36" s="293"/>
      <c r="W36" s="291" t="s">
        <v>286</v>
      </c>
      <c r="X36" s="292"/>
      <c r="Y36" s="292"/>
      <c r="Z36" s="292"/>
      <c r="AA36" s="293"/>
      <c r="AB36" s="291" t="s">
        <v>287</v>
      </c>
      <c r="AC36" s="292"/>
      <c r="AD36" s="292"/>
      <c r="AE36" s="292"/>
      <c r="AF36" s="293"/>
      <c r="AG36" s="291" t="s">
        <v>288</v>
      </c>
      <c r="AH36" s="292"/>
      <c r="AI36" s="292"/>
      <c r="AJ36" s="292"/>
      <c r="AK36" s="293"/>
      <c r="AL36" s="291" t="s">
        <v>289</v>
      </c>
      <c r="AM36" s="292"/>
      <c r="AN36" s="292"/>
      <c r="AO36" s="292"/>
      <c r="AP36" s="293"/>
      <c r="AQ36" s="279" t="s">
        <v>283</v>
      </c>
      <c r="AR36" s="280"/>
      <c r="AS36" s="280"/>
      <c r="AT36" s="280"/>
      <c r="AU36" s="281"/>
      <c r="AV36" s="279" t="s">
        <v>284</v>
      </c>
      <c r="AW36" s="280"/>
      <c r="AX36" s="280"/>
      <c r="AY36" s="280"/>
      <c r="AZ36" s="281"/>
      <c r="BA36" s="279" t="s">
        <v>289</v>
      </c>
      <c r="BB36" s="280"/>
      <c r="BC36" s="280"/>
      <c r="BD36" s="280"/>
      <c r="BE36" s="281"/>
      <c r="BF36" s="282" t="s">
        <v>283</v>
      </c>
      <c r="BG36" s="283"/>
      <c r="BH36" s="283"/>
      <c r="BI36" s="283"/>
      <c r="BJ36" s="284"/>
      <c r="BK36" s="282" t="s">
        <v>284</v>
      </c>
      <c r="BL36" s="283"/>
      <c r="BM36" s="283"/>
      <c r="BN36" s="283"/>
      <c r="BO36" s="284"/>
      <c r="BP36" s="282" t="s">
        <v>289</v>
      </c>
      <c r="BQ36" s="283"/>
      <c r="BR36" s="283"/>
      <c r="BS36" s="283"/>
      <c r="BT36" s="284"/>
      <c r="BU36" s="285" t="s">
        <v>283</v>
      </c>
      <c r="BV36" s="286"/>
      <c r="BW36" s="286"/>
      <c r="BX36" s="286"/>
      <c r="BY36" s="287"/>
      <c r="BZ36" s="285" t="s">
        <v>284</v>
      </c>
      <c r="CA36" s="286"/>
      <c r="CB36" s="286"/>
      <c r="CC36" s="286"/>
      <c r="CD36" s="287"/>
      <c r="CE36" s="285" t="s">
        <v>289</v>
      </c>
      <c r="CF36" s="286"/>
      <c r="CG36" s="286"/>
      <c r="CH36" s="286"/>
      <c r="CI36" s="287"/>
    </row>
    <row r="37" spans="1:87" s="4" customFormat="1" x14ac:dyDescent="0.35">
      <c r="A37" s="199" t="s">
        <v>290</v>
      </c>
      <c r="B37" s="199" t="s">
        <v>291</v>
      </c>
      <c r="C37" s="199" t="s">
        <v>292</v>
      </c>
      <c r="D37" s="199" t="s">
        <v>293</v>
      </c>
      <c r="E37" s="199" t="s">
        <v>294</v>
      </c>
      <c r="F37" s="199" t="s">
        <v>295</v>
      </c>
      <c r="G37" s="202" t="s">
        <v>5</v>
      </c>
      <c r="H37" s="202" t="s">
        <v>67</v>
      </c>
      <c r="I37" s="202" t="s">
        <v>68</v>
      </c>
      <c r="J37" s="202" t="s">
        <v>69</v>
      </c>
      <c r="K37" s="202" t="s">
        <v>72</v>
      </c>
      <c r="L37" s="202" t="s">
        <v>66</v>
      </c>
      <c r="M37" s="203" t="s">
        <v>67</v>
      </c>
      <c r="N37" s="203" t="s">
        <v>68</v>
      </c>
      <c r="O37" s="203" t="s">
        <v>69</v>
      </c>
      <c r="P37" s="203" t="s">
        <v>72</v>
      </c>
      <c r="Q37" s="203" t="s">
        <v>66</v>
      </c>
      <c r="R37" s="202" t="s">
        <v>67</v>
      </c>
      <c r="S37" s="202" t="s">
        <v>68</v>
      </c>
      <c r="T37" s="202" t="s">
        <v>69</v>
      </c>
      <c r="U37" s="202" t="s">
        <v>72</v>
      </c>
      <c r="V37" s="202" t="s">
        <v>66</v>
      </c>
      <c r="W37" s="203" t="s">
        <v>67</v>
      </c>
      <c r="X37" s="203" t="s">
        <v>68</v>
      </c>
      <c r="Y37" s="203" t="s">
        <v>69</v>
      </c>
      <c r="Z37" s="203" t="s">
        <v>72</v>
      </c>
      <c r="AA37" s="203" t="s">
        <v>66</v>
      </c>
      <c r="AB37" s="202" t="s">
        <v>67</v>
      </c>
      <c r="AC37" s="202" t="s">
        <v>68</v>
      </c>
      <c r="AD37" s="202" t="s">
        <v>69</v>
      </c>
      <c r="AE37" s="202" t="s">
        <v>72</v>
      </c>
      <c r="AF37" s="202" t="s">
        <v>66</v>
      </c>
      <c r="AG37" s="203" t="s">
        <v>67</v>
      </c>
      <c r="AH37" s="203" t="s">
        <v>68</v>
      </c>
      <c r="AI37" s="203" t="s">
        <v>69</v>
      </c>
      <c r="AJ37" s="203" t="s">
        <v>72</v>
      </c>
      <c r="AK37" s="203" t="s">
        <v>66</v>
      </c>
      <c r="AL37" s="202" t="s">
        <v>67</v>
      </c>
      <c r="AM37" s="202" t="s">
        <v>68</v>
      </c>
      <c r="AN37" s="202" t="s">
        <v>69</v>
      </c>
      <c r="AO37" s="202" t="s">
        <v>72</v>
      </c>
      <c r="AP37" s="202" t="s">
        <v>66</v>
      </c>
      <c r="AQ37" s="202" t="s">
        <v>67</v>
      </c>
      <c r="AR37" s="202" t="s">
        <v>68</v>
      </c>
      <c r="AS37" s="202" t="s">
        <v>69</v>
      </c>
      <c r="AT37" s="202" t="s">
        <v>72</v>
      </c>
      <c r="AU37" s="202" t="s">
        <v>66</v>
      </c>
      <c r="AV37" s="203" t="s">
        <v>67</v>
      </c>
      <c r="AW37" s="203" t="s">
        <v>68</v>
      </c>
      <c r="AX37" s="203" t="s">
        <v>69</v>
      </c>
      <c r="AY37" s="203" t="s">
        <v>72</v>
      </c>
      <c r="AZ37" s="203" t="s">
        <v>66</v>
      </c>
      <c r="BA37" s="202" t="s">
        <v>67</v>
      </c>
      <c r="BB37" s="202" t="s">
        <v>68</v>
      </c>
      <c r="BC37" s="202" t="s">
        <v>69</v>
      </c>
      <c r="BD37" s="202" t="s">
        <v>72</v>
      </c>
      <c r="BE37" s="202" t="s">
        <v>66</v>
      </c>
      <c r="BF37" s="202" t="s">
        <v>67</v>
      </c>
      <c r="BG37" s="202" t="s">
        <v>68</v>
      </c>
      <c r="BH37" s="202" t="s">
        <v>69</v>
      </c>
      <c r="BI37" s="202" t="s">
        <v>72</v>
      </c>
      <c r="BJ37" s="202" t="s">
        <v>66</v>
      </c>
      <c r="BK37" s="203" t="s">
        <v>67</v>
      </c>
      <c r="BL37" s="203" t="s">
        <v>68</v>
      </c>
      <c r="BM37" s="203" t="s">
        <v>69</v>
      </c>
      <c r="BN37" s="203" t="s">
        <v>72</v>
      </c>
      <c r="BO37" s="203" t="s">
        <v>66</v>
      </c>
      <c r="BP37" s="202" t="s">
        <v>67</v>
      </c>
      <c r="BQ37" s="202" t="s">
        <v>68</v>
      </c>
      <c r="BR37" s="202" t="s">
        <v>69</v>
      </c>
      <c r="BS37" s="202" t="s">
        <v>72</v>
      </c>
      <c r="BT37" s="202" t="s">
        <v>66</v>
      </c>
      <c r="BU37" s="202" t="s">
        <v>67</v>
      </c>
      <c r="BV37" s="202" t="s">
        <v>68</v>
      </c>
      <c r="BW37" s="202" t="s">
        <v>69</v>
      </c>
      <c r="BX37" s="202" t="s">
        <v>72</v>
      </c>
      <c r="BY37" s="202" t="s">
        <v>66</v>
      </c>
      <c r="BZ37" s="203" t="s">
        <v>67</v>
      </c>
      <c r="CA37" s="203" t="s">
        <v>68</v>
      </c>
      <c r="CB37" s="203" t="s">
        <v>69</v>
      </c>
      <c r="CC37" s="203" t="s">
        <v>72</v>
      </c>
      <c r="CD37" s="203" t="s">
        <v>66</v>
      </c>
      <c r="CE37" s="202" t="s">
        <v>67</v>
      </c>
      <c r="CF37" s="202" t="s">
        <v>68</v>
      </c>
      <c r="CG37" s="202" t="s">
        <v>69</v>
      </c>
      <c r="CH37" s="202" t="s">
        <v>72</v>
      </c>
      <c r="CI37" s="202" t="s">
        <v>66</v>
      </c>
    </row>
    <row r="38" spans="1:87" s="4" customFormat="1" x14ac:dyDescent="0.35">
      <c r="A38" s="200">
        <v>2022</v>
      </c>
      <c r="B38" s="200">
        <v>1</v>
      </c>
      <c r="C38" s="200" t="s">
        <v>64</v>
      </c>
      <c r="D38" s="200">
        <v>15500</v>
      </c>
      <c r="E38" s="201" t="s">
        <v>296</v>
      </c>
      <c r="F38" s="201" t="s">
        <v>297</v>
      </c>
      <c r="G38" s="204" t="s">
        <v>298</v>
      </c>
      <c r="H38" s="205">
        <v>88.424000000000007</v>
      </c>
      <c r="I38" s="205">
        <v>18.673999999999999</v>
      </c>
      <c r="J38" s="205">
        <v>0.26500000000000001</v>
      </c>
      <c r="K38" s="205">
        <v>0</v>
      </c>
      <c r="L38" s="205">
        <v>107.363</v>
      </c>
      <c r="M38" s="206">
        <v>11800</v>
      </c>
      <c r="N38" s="206">
        <v>1085</v>
      </c>
      <c r="O38" s="206">
        <v>6</v>
      </c>
      <c r="P38" s="206">
        <v>0</v>
      </c>
      <c r="Q38" s="206">
        <v>12891</v>
      </c>
      <c r="R38" s="205">
        <v>0</v>
      </c>
      <c r="S38" s="205">
        <v>0</v>
      </c>
      <c r="T38" s="205">
        <v>0</v>
      </c>
      <c r="U38" s="205">
        <v>0</v>
      </c>
      <c r="V38" s="205">
        <v>0</v>
      </c>
      <c r="W38" s="206">
        <v>0</v>
      </c>
      <c r="X38" s="206">
        <v>0</v>
      </c>
      <c r="Y38" s="206">
        <v>0</v>
      </c>
      <c r="Z38" s="206">
        <v>0</v>
      </c>
      <c r="AA38" s="206">
        <v>0</v>
      </c>
      <c r="AB38" s="205">
        <v>0</v>
      </c>
      <c r="AC38" s="205">
        <v>0</v>
      </c>
      <c r="AD38" s="205">
        <v>0</v>
      </c>
      <c r="AE38" s="205">
        <v>0</v>
      </c>
      <c r="AF38" s="205">
        <v>0</v>
      </c>
      <c r="AG38" s="206">
        <v>0</v>
      </c>
      <c r="AH38" s="206">
        <v>0</v>
      </c>
      <c r="AI38" s="206">
        <v>0</v>
      </c>
      <c r="AJ38" s="206">
        <v>0</v>
      </c>
      <c r="AK38" s="206">
        <v>0</v>
      </c>
      <c r="AL38" s="205">
        <v>0</v>
      </c>
      <c r="AM38" s="205">
        <v>0</v>
      </c>
      <c r="AN38" s="205">
        <v>0</v>
      </c>
      <c r="AO38" s="205">
        <v>0</v>
      </c>
      <c r="AP38" s="205">
        <v>0</v>
      </c>
      <c r="AQ38" s="205">
        <v>6.4000000000000001E-2</v>
      </c>
      <c r="AR38" s="205">
        <v>1.7000000000000001E-2</v>
      </c>
      <c r="AS38" s="205">
        <v>0</v>
      </c>
      <c r="AT38" s="205">
        <v>0</v>
      </c>
      <c r="AU38" s="205">
        <v>8.1000000000000003E-2</v>
      </c>
      <c r="AV38" s="206">
        <v>22</v>
      </c>
      <c r="AW38" s="206">
        <v>7</v>
      </c>
      <c r="AX38" s="206">
        <v>0</v>
      </c>
      <c r="AY38" s="206">
        <v>0</v>
      </c>
      <c r="AZ38" s="206">
        <v>29</v>
      </c>
      <c r="BA38" s="205">
        <v>0</v>
      </c>
      <c r="BB38" s="205">
        <v>0</v>
      </c>
      <c r="BC38" s="205">
        <v>0</v>
      </c>
      <c r="BD38" s="205">
        <v>0</v>
      </c>
      <c r="BE38" s="205">
        <v>0</v>
      </c>
      <c r="BF38" s="205">
        <v>0.13600000000000001</v>
      </c>
      <c r="BG38" s="205">
        <v>0.17299999999999999</v>
      </c>
      <c r="BH38" s="205">
        <v>1.4E-2</v>
      </c>
      <c r="BI38" s="205">
        <v>0</v>
      </c>
      <c r="BJ38" s="205">
        <v>0.32300000000000001</v>
      </c>
      <c r="BK38" s="206">
        <v>16</v>
      </c>
      <c r="BL38" s="206">
        <v>6</v>
      </c>
      <c r="BM38" s="206">
        <v>1</v>
      </c>
      <c r="BN38" s="206">
        <v>0</v>
      </c>
      <c r="BO38" s="206">
        <v>23</v>
      </c>
      <c r="BP38" s="205">
        <v>0</v>
      </c>
      <c r="BQ38" s="205">
        <v>0</v>
      </c>
      <c r="BR38" s="205">
        <v>0</v>
      </c>
      <c r="BS38" s="205">
        <v>0</v>
      </c>
      <c r="BT38" s="205">
        <v>0</v>
      </c>
      <c r="BU38" s="207">
        <v>88.623999999999995</v>
      </c>
      <c r="BV38" s="207">
        <v>18.864000000000001</v>
      </c>
      <c r="BW38" s="207">
        <v>0.27900000000000003</v>
      </c>
      <c r="BX38" s="205">
        <v>0</v>
      </c>
      <c r="BY38" s="207">
        <v>107.767</v>
      </c>
      <c r="BZ38" s="206">
        <v>11838</v>
      </c>
      <c r="CA38" s="206">
        <v>1098</v>
      </c>
      <c r="CB38" s="206">
        <v>7</v>
      </c>
      <c r="CC38" s="206">
        <v>0</v>
      </c>
      <c r="CD38" s="206">
        <v>12943</v>
      </c>
      <c r="CE38" s="205">
        <v>0</v>
      </c>
      <c r="CF38" s="205">
        <v>0</v>
      </c>
      <c r="CG38" s="205">
        <v>0</v>
      </c>
      <c r="CH38" s="205">
        <v>0</v>
      </c>
      <c r="CI38" s="205">
        <v>0</v>
      </c>
    </row>
    <row r="39" spans="1:87" s="4" customFormat="1" x14ac:dyDescent="0.35">
      <c r="A39" s="200">
        <v>2022</v>
      </c>
      <c r="B39" s="200">
        <v>2</v>
      </c>
      <c r="C39" s="200" t="s">
        <v>64</v>
      </c>
      <c r="D39" s="200">
        <v>15500</v>
      </c>
      <c r="E39" s="201" t="s">
        <v>296</v>
      </c>
      <c r="F39" s="201" t="s">
        <v>297</v>
      </c>
      <c r="G39" s="204" t="s">
        <v>298</v>
      </c>
      <c r="H39" s="205">
        <v>89.849000000000004</v>
      </c>
      <c r="I39" s="205">
        <v>18.75</v>
      </c>
      <c r="J39" s="205">
        <v>0.26500000000000001</v>
      </c>
      <c r="K39" s="205" t="s">
        <v>299</v>
      </c>
      <c r="L39" s="205">
        <v>108.864</v>
      </c>
      <c r="M39" s="206">
        <v>11956</v>
      </c>
      <c r="N39" s="206">
        <v>1091</v>
      </c>
      <c r="O39" s="206">
        <v>6</v>
      </c>
      <c r="P39" s="206" t="s">
        <v>299</v>
      </c>
      <c r="Q39" s="206">
        <v>13053</v>
      </c>
      <c r="R39" s="205" t="s">
        <v>299</v>
      </c>
      <c r="S39" s="205" t="s">
        <v>299</v>
      </c>
      <c r="T39" s="205" t="s">
        <v>299</v>
      </c>
      <c r="U39" s="205" t="s">
        <v>299</v>
      </c>
      <c r="V39" s="205">
        <v>0</v>
      </c>
      <c r="W39" s="206" t="s">
        <v>299</v>
      </c>
      <c r="X39" s="206" t="s">
        <v>299</v>
      </c>
      <c r="Y39" s="206" t="s">
        <v>299</v>
      </c>
      <c r="Z39" s="206" t="s">
        <v>299</v>
      </c>
      <c r="AA39" s="206">
        <v>0</v>
      </c>
      <c r="AB39" s="205" t="s">
        <v>299</v>
      </c>
      <c r="AC39" s="205" t="s">
        <v>299</v>
      </c>
      <c r="AD39" s="205" t="s">
        <v>299</v>
      </c>
      <c r="AE39" s="205" t="s">
        <v>299</v>
      </c>
      <c r="AF39" s="205">
        <v>0</v>
      </c>
      <c r="AG39" s="206" t="s">
        <v>299</v>
      </c>
      <c r="AH39" s="206" t="s">
        <v>299</v>
      </c>
      <c r="AI39" s="206" t="s">
        <v>299</v>
      </c>
      <c r="AJ39" s="206" t="s">
        <v>299</v>
      </c>
      <c r="AK39" s="206">
        <v>0</v>
      </c>
      <c r="AL39" s="205" t="s">
        <v>299</v>
      </c>
      <c r="AM39" s="205" t="s">
        <v>299</v>
      </c>
      <c r="AN39" s="205" t="s">
        <v>299</v>
      </c>
      <c r="AO39" s="205" t="s">
        <v>299</v>
      </c>
      <c r="AP39" s="205">
        <v>0</v>
      </c>
      <c r="AQ39" s="205">
        <v>6.4000000000000001E-2</v>
      </c>
      <c r="AR39" s="205">
        <v>1.7000000000000001E-2</v>
      </c>
      <c r="AS39" s="205" t="s">
        <v>299</v>
      </c>
      <c r="AT39" s="205" t="s">
        <v>299</v>
      </c>
      <c r="AU39" s="205">
        <v>8.1000000000000003E-2</v>
      </c>
      <c r="AV39" s="206">
        <v>22</v>
      </c>
      <c r="AW39" s="206">
        <v>7</v>
      </c>
      <c r="AX39" s="206" t="s">
        <v>299</v>
      </c>
      <c r="AY39" s="206" t="s">
        <v>299</v>
      </c>
      <c r="AZ39" s="206">
        <v>29</v>
      </c>
      <c r="BA39" s="205" t="s">
        <v>299</v>
      </c>
      <c r="BB39" s="205" t="s">
        <v>299</v>
      </c>
      <c r="BC39" s="205" t="s">
        <v>299</v>
      </c>
      <c r="BD39" s="205" t="s">
        <v>299</v>
      </c>
      <c r="BE39" s="205">
        <v>0</v>
      </c>
      <c r="BF39" s="205">
        <v>0.13600000000000001</v>
      </c>
      <c r="BG39" s="205">
        <v>0.17299999999999999</v>
      </c>
      <c r="BH39" s="205">
        <v>1.4E-2</v>
      </c>
      <c r="BI39" s="205" t="s">
        <v>299</v>
      </c>
      <c r="BJ39" s="205">
        <v>0.32300000000000001</v>
      </c>
      <c r="BK39" s="206">
        <v>16</v>
      </c>
      <c r="BL39" s="206">
        <v>6</v>
      </c>
      <c r="BM39" s="206">
        <v>1</v>
      </c>
      <c r="BN39" s="206" t="s">
        <v>299</v>
      </c>
      <c r="BO39" s="206">
        <v>23</v>
      </c>
      <c r="BP39" s="205" t="s">
        <v>299</v>
      </c>
      <c r="BQ39" s="205" t="s">
        <v>299</v>
      </c>
      <c r="BR39" s="205" t="s">
        <v>299</v>
      </c>
      <c r="BS39" s="205" t="s">
        <v>299</v>
      </c>
      <c r="BT39" s="205">
        <v>0</v>
      </c>
      <c r="BU39" s="207">
        <v>90.049000000000007</v>
      </c>
      <c r="BV39" s="207">
        <v>18.940000000000001</v>
      </c>
      <c r="BW39" s="207">
        <v>0.27900000000000003</v>
      </c>
      <c r="BX39" s="205">
        <v>0</v>
      </c>
      <c r="BY39" s="207">
        <v>109.268</v>
      </c>
      <c r="BZ39" s="206">
        <v>11994</v>
      </c>
      <c r="CA39" s="206">
        <v>1104</v>
      </c>
      <c r="CB39" s="206">
        <v>7</v>
      </c>
      <c r="CC39" s="206">
        <v>0</v>
      </c>
      <c r="CD39" s="206">
        <v>13105</v>
      </c>
      <c r="CE39" s="205">
        <v>0</v>
      </c>
      <c r="CF39" s="205">
        <v>0</v>
      </c>
      <c r="CG39" s="205">
        <v>0</v>
      </c>
      <c r="CH39" s="205">
        <v>0</v>
      </c>
      <c r="CI39" s="205">
        <v>0</v>
      </c>
    </row>
    <row r="40" spans="1:87" s="4" customFormat="1" x14ac:dyDescent="0.35">
      <c r="A40" s="200">
        <v>2022</v>
      </c>
      <c r="B40" s="200">
        <v>3</v>
      </c>
      <c r="C40" s="200" t="s">
        <v>64</v>
      </c>
      <c r="D40" s="200">
        <v>15500</v>
      </c>
      <c r="E40" s="201" t="s">
        <v>296</v>
      </c>
      <c r="F40" s="201" t="s">
        <v>297</v>
      </c>
      <c r="G40" s="204" t="s">
        <v>298</v>
      </c>
      <c r="H40" s="205">
        <v>92.156000000000006</v>
      </c>
      <c r="I40" s="205">
        <v>18.966999999999999</v>
      </c>
      <c r="J40" s="205">
        <v>0.26500000000000001</v>
      </c>
      <c r="K40" s="205">
        <v>0</v>
      </c>
      <c r="L40" s="205">
        <v>111.38800000000001</v>
      </c>
      <c r="M40" s="206">
        <v>12241</v>
      </c>
      <c r="N40" s="206">
        <v>1091</v>
      </c>
      <c r="O40" s="206">
        <v>6</v>
      </c>
      <c r="P40" s="206">
        <v>0</v>
      </c>
      <c r="Q40" s="206">
        <v>13338</v>
      </c>
      <c r="R40" s="205">
        <v>0</v>
      </c>
      <c r="S40" s="205">
        <v>0</v>
      </c>
      <c r="T40" s="205">
        <v>0</v>
      </c>
      <c r="U40" s="205">
        <v>0</v>
      </c>
      <c r="V40" s="205">
        <v>0</v>
      </c>
      <c r="W40" s="206">
        <v>0</v>
      </c>
      <c r="X40" s="206">
        <v>0</v>
      </c>
      <c r="Y40" s="206">
        <v>0</v>
      </c>
      <c r="Z40" s="206">
        <v>0</v>
      </c>
      <c r="AA40" s="206">
        <v>0</v>
      </c>
      <c r="AB40" s="205">
        <v>0</v>
      </c>
      <c r="AC40" s="205">
        <v>0</v>
      </c>
      <c r="AD40" s="205">
        <v>0</v>
      </c>
      <c r="AE40" s="205">
        <v>0</v>
      </c>
      <c r="AF40" s="205">
        <v>0</v>
      </c>
      <c r="AG40" s="206">
        <v>0</v>
      </c>
      <c r="AH40" s="206">
        <v>0</v>
      </c>
      <c r="AI40" s="206">
        <v>0</v>
      </c>
      <c r="AJ40" s="206">
        <v>0</v>
      </c>
      <c r="AK40" s="206">
        <v>0</v>
      </c>
      <c r="AL40" s="205">
        <v>0</v>
      </c>
      <c r="AM40" s="205">
        <v>0</v>
      </c>
      <c r="AN40" s="205">
        <v>0</v>
      </c>
      <c r="AO40" s="205">
        <v>0</v>
      </c>
      <c r="AP40" s="205">
        <v>0</v>
      </c>
      <c r="AQ40" s="205">
        <v>6.2E-2</v>
      </c>
      <c r="AR40" s="205">
        <v>1.7000000000000001E-2</v>
      </c>
      <c r="AS40" s="205">
        <v>0</v>
      </c>
      <c r="AT40" s="205">
        <v>0</v>
      </c>
      <c r="AU40" s="205">
        <v>7.9000000000000001E-2</v>
      </c>
      <c r="AV40" s="206">
        <v>21</v>
      </c>
      <c r="AW40" s="206">
        <v>7</v>
      </c>
      <c r="AX40" s="206">
        <v>0</v>
      </c>
      <c r="AY40" s="206">
        <v>0</v>
      </c>
      <c r="AZ40" s="206">
        <v>28</v>
      </c>
      <c r="BA40" s="205">
        <v>0</v>
      </c>
      <c r="BB40" s="205">
        <v>0</v>
      </c>
      <c r="BC40" s="205">
        <v>0</v>
      </c>
      <c r="BD40" s="205">
        <v>0</v>
      </c>
      <c r="BE40" s="205">
        <v>0</v>
      </c>
      <c r="BF40" s="205">
        <v>0.13900000000000001</v>
      </c>
      <c r="BG40" s="205">
        <v>0.17299999999999999</v>
      </c>
      <c r="BH40" s="205">
        <v>1.4E-2</v>
      </c>
      <c r="BI40" s="205">
        <v>0</v>
      </c>
      <c r="BJ40" s="205">
        <v>0.32600000000000001</v>
      </c>
      <c r="BK40" s="206">
        <v>16</v>
      </c>
      <c r="BL40" s="206">
        <v>6</v>
      </c>
      <c r="BM40" s="206">
        <v>1</v>
      </c>
      <c r="BN40" s="206">
        <v>0</v>
      </c>
      <c r="BO40" s="206">
        <v>23</v>
      </c>
      <c r="BP40" s="205">
        <v>0</v>
      </c>
      <c r="BQ40" s="205">
        <v>0</v>
      </c>
      <c r="BR40" s="205">
        <v>0</v>
      </c>
      <c r="BS40" s="205">
        <v>0</v>
      </c>
      <c r="BT40" s="205">
        <v>0</v>
      </c>
      <c r="BU40" s="207">
        <v>92.356999999999999</v>
      </c>
      <c r="BV40" s="207">
        <v>19.157</v>
      </c>
      <c r="BW40" s="207">
        <v>0.27900000000000003</v>
      </c>
      <c r="BX40" s="205">
        <v>0</v>
      </c>
      <c r="BY40" s="207">
        <v>111.79300000000001</v>
      </c>
      <c r="BZ40" s="206">
        <v>12278</v>
      </c>
      <c r="CA40" s="206">
        <v>1104</v>
      </c>
      <c r="CB40" s="206">
        <v>7</v>
      </c>
      <c r="CC40" s="206">
        <v>0</v>
      </c>
      <c r="CD40" s="206">
        <v>13389</v>
      </c>
      <c r="CE40" s="205">
        <v>0</v>
      </c>
      <c r="CF40" s="205">
        <v>0</v>
      </c>
      <c r="CG40" s="205">
        <v>0</v>
      </c>
      <c r="CH40" s="205">
        <v>0</v>
      </c>
      <c r="CI40" s="205">
        <v>0</v>
      </c>
    </row>
    <row r="41" spans="1:87" s="4" customFormat="1" x14ac:dyDescent="0.35">
      <c r="A41" s="200">
        <v>2022</v>
      </c>
      <c r="B41" s="200">
        <v>4</v>
      </c>
      <c r="C41" s="200" t="s">
        <v>64</v>
      </c>
      <c r="D41" s="200">
        <v>15500</v>
      </c>
      <c r="E41" s="201" t="s">
        <v>296</v>
      </c>
      <c r="F41" s="201" t="s">
        <v>297</v>
      </c>
      <c r="G41" s="204" t="s">
        <v>298</v>
      </c>
      <c r="H41" s="205">
        <v>94.006</v>
      </c>
      <c r="I41" s="205">
        <v>19.151</v>
      </c>
      <c r="J41" s="205">
        <v>0.26500000000000001</v>
      </c>
      <c r="K41" s="205">
        <v>0</v>
      </c>
      <c r="L41" s="205">
        <v>113.422</v>
      </c>
      <c r="M41" s="206">
        <v>12441</v>
      </c>
      <c r="N41" s="206">
        <v>1099</v>
      </c>
      <c r="O41" s="206">
        <v>6</v>
      </c>
      <c r="P41" s="206">
        <v>0</v>
      </c>
      <c r="Q41" s="206">
        <v>13546</v>
      </c>
      <c r="R41" s="205">
        <v>0</v>
      </c>
      <c r="S41" s="205">
        <v>0</v>
      </c>
      <c r="T41" s="205">
        <v>0</v>
      </c>
      <c r="U41" s="205">
        <v>0</v>
      </c>
      <c r="V41" s="205">
        <v>0</v>
      </c>
      <c r="W41" s="206">
        <v>0</v>
      </c>
      <c r="X41" s="206">
        <v>0</v>
      </c>
      <c r="Y41" s="206">
        <v>0</v>
      </c>
      <c r="Z41" s="206">
        <v>0</v>
      </c>
      <c r="AA41" s="206">
        <v>0</v>
      </c>
      <c r="AB41" s="205">
        <v>0</v>
      </c>
      <c r="AC41" s="205">
        <v>0</v>
      </c>
      <c r="AD41" s="205">
        <v>0</v>
      </c>
      <c r="AE41" s="205">
        <v>0</v>
      </c>
      <c r="AF41" s="205">
        <v>0</v>
      </c>
      <c r="AG41" s="206">
        <v>0</v>
      </c>
      <c r="AH41" s="206">
        <v>0</v>
      </c>
      <c r="AI41" s="206">
        <v>0</v>
      </c>
      <c r="AJ41" s="206">
        <v>0</v>
      </c>
      <c r="AK41" s="206">
        <v>0</v>
      </c>
      <c r="AL41" s="205">
        <v>0</v>
      </c>
      <c r="AM41" s="205">
        <v>0</v>
      </c>
      <c r="AN41" s="205">
        <v>0</v>
      </c>
      <c r="AO41" s="205">
        <v>0</v>
      </c>
      <c r="AP41" s="205">
        <v>0</v>
      </c>
      <c r="AQ41" s="205">
        <v>6.2E-2</v>
      </c>
      <c r="AR41" s="205">
        <v>1.7000000000000001E-2</v>
      </c>
      <c r="AS41" s="205">
        <v>0</v>
      </c>
      <c r="AT41" s="205">
        <v>0</v>
      </c>
      <c r="AU41" s="205">
        <v>7.9000000000000001E-2</v>
      </c>
      <c r="AV41" s="206">
        <v>21</v>
      </c>
      <c r="AW41" s="206">
        <v>7</v>
      </c>
      <c r="AX41" s="206">
        <v>0</v>
      </c>
      <c r="AY41" s="206">
        <v>0</v>
      </c>
      <c r="AZ41" s="206">
        <v>28</v>
      </c>
      <c r="BA41" s="205">
        <v>0</v>
      </c>
      <c r="BB41" s="205">
        <v>0</v>
      </c>
      <c r="BC41" s="205">
        <v>0</v>
      </c>
      <c r="BD41" s="205">
        <v>0</v>
      </c>
      <c r="BE41" s="205">
        <v>0</v>
      </c>
      <c r="BF41" s="205">
        <v>0.13900000000000001</v>
      </c>
      <c r="BG41" s="205">
        <v>0.17299999999999999</v>
      </c>
      <c r="BH41" s="205">
        <v>1.4E-2</v>
      </c>
      <c r="BI41" s="205">
        <v>0</v>
      </c>
      <c r="BJ41" s="205">
        <v>0.32600000000000001</v>
      </c>
      <c r="BK41" s="206">
        <v>16</v>
      </c>
      <c r="BL41" s="206">
        <v>6</v>
      </c>
      <c r="BM41" s="206">
        <v>1</v>
      </c>
      <c r="BN41" s="206">
        <v>0</v>
      </c>
      <c r="BO41" s="206">
        <v>23</v>
      </c>
      <c r="BP41" s="205">
        <v>0</v>
      </c>
      <c r="BQ41" s="205">
        <v>0</v>
      </c>
      <c r="BR41" s="205">
        <v>0</v>
      </c>
      <c r="BS41" s="205">
        <v>0</v>
      </c>
      <c r="BT41" s="205">
        <v>0</v>
      </c>
      <c r="BU41" s="207">
        <v>94.206999999999994</v>
      </c>
      <c r="BV41" s="207">
        <v>19.341000000000001</v>
      </c>
      <c r="BW41" s="207">
        <v>0.27900000000000003</v>
      </c>
      <c r="BX41" s="205">
        <v>0</v>
      </c>
      <c r="BY41" s="207">
        <v>113.827</v>
      </c>
      <c r="BZ41" s="206">
        <v>12478</v>
      </c>
      <c r="CA41" s="206">
        <v>1112</v>
      </c>
      <c r="CB41" s="206">
        <v>7</v>
      </c>
      <c r="CC41" s="206">
        <v>0</v>
      </c>
      <c r="CD41" s="206">
        <v>13597</v>
      </c>
      <c r="CE41" s="205">
        <v>0</v>
      </c>
      <c r="CF41" s="205">
        <v>0</v>
      </c>
      <c r="CG41" s="205">
        <v>0</v>
      </c>
      <c r="CH41" s="205">
        <v>0</v>
      </c>
      <c r="CI41" s="205">
        <v>0</v>
      </c>
    </row>
    <row r="42" spans="1:87" s="4" customFormat="1" x14ac:dyDescent="0.35">
      <c r="A42" s="200">
        <v>2022</v>
      </c>
      <c r="B42" s="200">
        <v>5</v>
      </c>
      <c r="C42" s="200" t="s">
        <v>64</v>
      </c>
      <c r="D42" s="200">
        <v>15500</v>
      </c>
      <c r="E42" s="201" t="s">
        <v>296</v>
      </c>
      <c r="F42" s="201" t="s">
        <v>297</v>
      </c>
      <c r="G42" s="204" t="s">
        <v>298</v>
      </c>
      <c r="H42" s="205">
        <v>96.221999999999994</v>
      </c>
      <c r="I42" s="205">
        <v>19.241</v>
      </c>
      <c r="J42" s="205">
        <v>0.26500000000000001</v>
      </c>
      <c r="K42" s="205">
        <v>0</v>
      </c>
      <c r="L42" s="205">
        <v>115.72799999999999</v>
      </c>
      <c r="M42" s="206">
        <v>12711</v>
      </c>
      <c r="N42" s="206">
        <v>1099</v>
      </c>
      <c r="O42" s="206">
        <v>6</v>
      </c>
      <c r="P42" s="206">
        <v>0</v>
      </c>
      <c r="Q42" s="206">
        <v>13816</v>
      </c>
      <c r="R42" s="205">
        <v>0</v>
      </c>
      <c r="S42" s="205">
        <v>0</v>
      </c>
      <c r="T42" s="205">
        <v>0</v>
      </c>
      <c r="U42" s="205">
        <v>0</v>
      </c>
      <c r="V42" s="205">
        <v>0</v>
      </c>
      <c r="W42" s="206">
        <v>0</v>
      </c>
      <c r="X42" s="206">
        <v>0</v>
      </c>
      <c r="Y42" s="206">
        <v>0</v>
      </c>
      <c r="Z42" s="206">
        <v>0</v>
      </c>
      <c r="AA42" s="206">
        <v>0</v>
      </c>
      <c r="AB42" s="205">
        <v>0</v>
      </c>
      <c r="AC42" s="205">
        <v>0</v>
      </c>
      <c r="AD42" s="205">
        <v>0</v>
      </c>
      <c r="AE42" s="205">
        <v>0</v>
      </c>
      <c r="AF42" s="205">
        <v>0</v>
      </c>
      <c r="AG42" s="206">
        <v>0</v>
      </c>
      <c r="AH42" s="206">
        <v>0</v>
      </c>
      <c r="AI42" s="206">
        <v>0</v>
      </c>
      <c r="AJ42" s="206">
        <v>0</v>
      </c>
      <c r="AK42" s="206">
        <v>0</v>
      </c>
      <c r="AL42" s="205">
        <v>0</v>
      </c>
      <c r="AM42" s="205">
        <v>0</v>
      </c>
      <c r="AN42" s="205">
        <v>0</v>
      </c>
      <c r="AO42" s="205">
        <v>0</v>
      </c>
      <c r="AP42" s="205">
        <v>0</v>
      </c>
      <c r="AQ42" s="205">
        <v>6.2E-2</v>
      </c>
      <c r="AR42" s="205">
        <v>1.7000000000000001E-2</v>
      </c>
      <c r="AS42" s="205">
        <v>0</v>
      </c>
      <c r="AT42" s="205">
        <v>0</v>
      </c>
      <c r="AU42" s="205">
        <v>7.9000000000000001E-2</v>
      </c>
      <c r="AV42" s="206">
        <v>21</v>
      </c>
      <c r="AW42" s="206">
        <v>7</v>
      </c>
      <c r="AX42" s="206">
        <v>0</v>
      </c>
      <c r="AY42" s="206">
        <v>0</v>
      </c>
      <c r="AZ42" s="206">
        <v>28</v>
      </c>
      <c r="BA42" s="205">
        <v>0</v>
      </c>
      <c r="BB42" s="205">
        <v>0</v>
      </c>
      <c r="BC42" s="205">
        <v>0</v>
      </c>
      <c r="BD42" s="205">
        <v>0</v>
      </c>
      <c r="BE42" s="205">
        <v>0</v>
      </c>
      <c r="BF42" s="205">
        <v>0.13900000000000001</v>
      </c>
      <c r="BG42" s="205">
        <v>0.17299999999999999</v>
      </c>
      <c r="BH42" s="205">
        <v>1.4E-2</v>
      </c>
      <c r="BI42" s="205">
        <v>0</v>
      </c>
      <c r="BJ42" s="205">
        <v>0.32600000000000001</v>
      </c>
      <c r="BK42" s="206">
        <v>16</v>
      </c>
      <c r="BL42" s="206">
        <v>6</v>
      </c>
      <c r="BM42" s="206">
        <v>1</v>
      </c>
      <c r="BN42" s="206">
        <v>0</v>
      </c>
      <c r="BO42" s="206">
        <v>23</v>
      </c>
      <c r="BP42" s="205">
        <v>0</v>
      </c>
      <c r="BQ42" s="205">
        <v>0</v>
      </c>
      <c r="BR42" s="205">
        <v>0</v>
      </c>
      <c r="BS42" s="205">
        <v>0</v>
      </c>
      <c r="BT42" s="205">
        <v>0</v>
      </c>
      <c r="BU42" s="207">
        <v>96.423000000000002</v>
      </c>
      <c r="BV42" s="207">
        <v>19.431000000000001</v>
      </c>
      <c r="BW42" s="207">
        <v>0.27900000000000003</v>
      </c>
      <c r="BX42" s="205">
        <v>0</v>
      </c>
      <c r="BY42" s="207">
        <v>116.133</v>
      </c>
      <c r="BZ42" s="206">
        <v>12748</v>
      </c>
      <c r="CA42" s="206">
        <v>1112</v>
      </c>
      <c r="CB42" s="206">
        <v>7</v>
      </c>
      <c r="CC42" s="206">
        <v>0</v>
      </c>
      <c r="CD42" s="206">
        <v>13867</v>
      </c>
      <c r="CE42" s="205">
        <v>0</v>
      </c>
      <c r="CF42" s="205">
        <v>0</v>
      </c>
      <c r="CG42" s="205">
        <v>0</v>
      </c>
      <c r="CH42" s="205">
        <v>0</v>
      </c>
      <c r="CI42" s="205">
        <v>0</v>
      </c>
    </row>
    <row r="43" spans="1:87" s="4" customFormat="1" x14ac:dyDescent="0.35">
      <c r="A43" s="200">
        <v>2022</v>
      </c>
      <c r="B43" s="200">
        <v>6</v>
      </c>
      <c r="C43" s="200" t="s">
        <v>64</v>
      </c>
      <c r="D43" s="200">
        <v>15500</v>
      </c>
      <c r="E43" s="201" t="s">
        <v>296</v>
      </c>
      <c r="F43" s="201" t="s">
        <v>297</v>
      </c>
      <c r="G43" s="204" t="s">
        <v>298</v>
      </c>
      <c r="H43" s="205">
        <v>98.745000000000005</v>
      </c>
      <c r="I43" s="205">
        <v>19.437000000000001</v>
      </c>
      <c r="J43" s="205">
        <v>0.26500000000000001</v>
      </c>
      <c r="K43" s="205">
        <v>0</v>
      </c>
      <c r="L43" s="205">
        <v>118.447</v>
      </c>
      <c r="M43" s="206">
        <v>13030</v>
      </c>
      <c r="N43" s="206">
        <v>1106</v>
      </c>
      <c r="O43" s="206">
        <v>6</v>
      </c>
      <c r="P43" s="206">
        <v>0</v>
      </c>
      <c r="Q43" s="206">
        <v>14142</v>
      </c>
      <c r="R43" s="205">
        <v>0</v>
      </c>
      <c r="S43" s="205">
        <v>0</v>
      </c>
      <c r="T43" s="205">
        <v>0</v>
      </c>
      <c r="U43" s="205">
        <v>0</v>
      </c>
      <c r="V43" s="205">
        <v>0</v>
      </c>
      <c r="W43" s="206">
        <v>0</v>
      </c>
      <c r="X43" s="206">
        <v>0</v>
      </c>
      <c r="Y43" s="206">
        <v>0</v>
      </c>
      <c r="Z43" s="206">
        <v>0</v>
      </c>
      <c r="AA43" s="206">
        <v>0</v>
      </c>
      <c r="AB43" s="205">
        <v>0</v>
      </c>
      <c r="AC43" s="205">
        <v>0</v>
      </c>
      <c r="AD43" s="205">
        <v>0</v>
      </c>
      <c r="AE43" s="205">
        <v>0</v>
      </c>
      <c r="AF43" s="205">
        <v>0</v>
      </c>
      <c r="AG43" s="206">
        <v>0</v>
      </c>
      <c r="AH43" s="206">
        <v>0</v>
      </c>
      <c r="AI43" s="206">
        <v>0</v>
      </c>
      <c r="AJ43" s="206">
        <v>0</v>
      </c>
      <c r="AK43" s="206">
        <v>0</v>
      </c>
      <c r="AL43" s="205">
        <v>0</v>
      </c>
      <c r="AM43" s="205">
        <v>0</v>
      </c>
      <c r="AN43" s="205">
        <v>0</v>
      </c>
      <c r="AO43" s="205">
        <v>0</v>
      </c>
      <c r="AP43" s="205">
        <v>0</v>
      </c>
      <c r="AQ43" s="205">
        <v>6.2E-2</v>
      </c>
      <c r="AR43" s="205">
        <v>1.7000000000000001E-2</v>
      </c>
      <c r="AS43" s="205">
        <v>0</v>
      </c>
      <c r="AT43" s="205">
        <v>0</v>
      </c>
      <c r="AU43" s="205">
        <v>7.9000000000000001E-2</v>
      </c>
      <c r="AV43" s="206">
        <v>21</v>
      </c>
      <c r="AW43" s="206">
        <v>7</v>
      </c>
      <c r="AX43" s="206">
        <v>0</v>
      </c>
      <c r="AY43" s="206">
        <v>0</v>
      </c>
      <c r="AZ43" s="206">
        <v>28</v>
      </c>
      <c r="BA43" s="205">
        <v>0</v>
      </c>
      <c r="BB43" s="205">
        <v>0</v>
      </c>
      <c r="BC43" s="205">
        <v>0</v>
      </c>
      <c r="BD43" s="205">
        <v>0</v>
      </c>
      <c r="BE43" s="205">
        <v>0</v>
      </c>
      <c r="BF43" s="205">
        <v>0.13900000000000001</v>
      </c>
      <c r="BG43" s="205">
        <v>0.22800000000000001</v>
      </c>
      <c r="BH43" s="205">
        <v>1.4E-2</v>
      </c>
      <c r="BI43" s="205">
        <v>0</v>
      </c>
      <c r="BJ43" s="205">
        <v>0.38100000000000001</v>
      </c>
      <c r="BK43" s="206">
        <v>16</v>
      </c>
      <c r="BL43" s="206">
        <v>7</v>
      </c>
      <c r="BM43" s="206">
        <v>1</v>
      </c>
      <c r="BN43" s="206">
        <v>0</v>
      </c>
      <c r="BO43" s="206">
        <v>24</v>
      </c>
      <c r="BP43" s="205">
        <v>0</v>
      </c>
      <c r="BQ43" s="205">
        <v>0</v>
      </c>
      <c r="BR43" s="205">
        <v>0</v>
      </c>
      <c r="BS43" s="205">
        <v>0</v>
      </c>
      <c r="BT43" s="205">
        <v>0</v>
      </c>
      <c r="BU43" s="207">
        <v>98.945999999999998</v>
      </c>
      <c r="BV43" s="207">
        <v>19.681999999999999</v>
      </c>
      <c r="BW43" s="207">
        <v>0.27900000000000003</v>
      </c>
      <c r="BX43" s="205">
        <v>0</v>
      </c>
      <c r="BY43" s="207">
        <v>118.907</v>
      </c>
      <c r="BZ43" s="206">
        <v>13067</v>
      </c>
      <c r="CA43" s="206">
        <v>1120</v>
      </c>
      <c r="CB43" s="206">
        <v>7</v>
      </c>
      <c r="CC43" s="206">
        <v>0</v>
      </c>
      <c r="CD43" s="206">
        <v>14194</v>
      </c>
      <c r="CE43" s="205">
        <v>0</v>
      </c>
      <c r="CF43" s="205">
        <v>0</v>
      </c>
      <c r="CG43" s="205">
        <v>0</v>
      </c>
      <c r="CH43" s="205">
        <v>0</v>
      </c>
      <c r="CI43" s="205">
        <v>0</v>
      </c>
    </row>
    <row r="44" spans="1:87" s="5" customFormat="1" x14ac:dyDescent="0.35">
      <c r="A44" s="208"/>
      <c r="B44" s="208"/>
      <c r="C44" s="208"/>
      <c r="D44" s="208"/>
      <c r="E44" s="208"/>
      <c r="F44" s="208"/>
      <c r="G44" s="209" t="s">
        <v>300</v>
      </c>
      <c r="H44" s="210">
        <f>AVERAGE(H38:H43)</f>
        <v>93.233666666666679</v>
      </c>
      <c r="I44" s="210">
        <f t="shared" ref="I44:L44" si="1">AVERAGE(I38:I43)</f>
        <v>19.036666666666665</v>
      </c>
      <c r="J44" s="210">
        <f t="shared" si="1"/>
        <v>0.26500000000000007</v>
      </c>
      <c r="K44" s="210">
        <f t="shared" si="1"/>
        <v>0</v>
      </c>
      <c r="L44" s="210">
        <f t="shared" si="1"/>
        <v>112.53533333333333</v>
      </c>
      <c r="M44" s="211">
        <f>AVERAGE(M38:M43)</f>
        <v>12363.166666666666</v>
      </c>
      <c r="N44" s="211">
        <f t="shared" ref="N44" si="2">AVERAGE(N38:N43)</f>
        <v>1095.1666666666667</v>
      </c>
      <c r="O44" s="211">
        <f t="shared" ref="O44" si="3">AVERAGE(O38:O43)</f>
        <v>6</v>
      </c>
      <c r="P44" s="211">
        <f t="shared" ref="P44" si="4">AVERAGE(P38:P43)</f>
        <v>0</v>
      </c>
      <c r="Q44" s="211">
        <f t="shared" ref="Q44:R44" si="5">AVERAGE(Q38:Q43)</f>
        <v>13464.333333333334</v>
      </c>
      <c r="R44" s="210">
        <f t="shared" si="5"/>
        <v>0</v>
      </c>
      <c r="S44" s="210">
        <f t="shared" ref="S44" si="6">AVERAGE(S38:S43)</f>
        <v>0</v>
      </c>
      <c r="T44" s="210">
        <f t="shared" ref="T44" si="7">AVERAGE(T38:T43)</f>
        <v>0</v>
      </c>
      <c r="U44" s="210">
        <f t="shared" ref="U44" si="8">AVERAGE(U38:U43)</f>
        <v>0</v>
      </c>
      <c r="V44" s="210">
        <f t="shared" ref="V44:W44" si="9">AVERAGE(V38:V43)</f>
        <v>0</v>
      </c>
      <c r="W44" s="211">
        <f t="shared" si="9"/>
        <v>0</v>
      </c>
      <c r="X44" s="211">
        <f t="shared" ref="X44" si="10">AVERAGE(X38:X43)</f>
        <v>0</v>
      </c>
      <c r="Y44" s="211">
        <f t="shared" ref="Y44" si="11">AVERAGE(Y38:Y43)</f>
        <v>0</v>
      </c>
      <c r="Z44" s="211">
        <f t="shared" ref="Z44" si="12">AVERAGE(Z38:Z43)</f>
        <v>0</v>
      </c>
      <c r="AA44" s="211">
        <f t="shared" ref="AA44:AB44" si="13">AVERAGE(AA38:AA43)</f>
        <v>0</v>
      </c>
      <c r="AB44" s="210">
        <f t="shared" si="13"/>
        <v>0</v>
      </c>
      <c r="AC44" s="210">
        <f t="shared" ref="AC44" si="14">AVERAGE(AC38:AC43)</f>
        <v>0</v>
      </c>
      <c r="AD44" s="210">
        <f t="shared" ref="AD44" si="15">AVERAGE(AD38:AD43)</f>
        <v>0</v>
      </c>
      <c r="AE44" s="210">
        <f t="shared" ref="AE44" si="16">AVERAGE(AE38:AE43)</f>
        <v>0</v>
      </c>
      <c r="AF44" s="210">
        <f t="shared" ref="AF44:AG44" si="17">AVERAGE(AF38:AF43)</f>
        <v>0</v>
      </c>
      <c r="AG44" s="211">
        <f t="shared" si="17"/>
        <v>0</v>
      </c>
      <c r="AH44" s="211">
        <f t="shared" ref="AH44" si="18">AVERAGE(AH38:AH43)</f>
        <v>0</v>
      </c>
      <c r="AI44" s="211">
        <f t="shared" ref="AI44" si="19">AVERAGE(AI38:AI43)</f>
        <v>0</v>
      </c>
      <c r="AJ44" s="211">
        <f t="shared" ref="AJ44" si="20">AVERAGE(AJ38:AJ43)</f>
        <v>0</v>
      </c>
      <c r="AK44" s="211">
        <f t="shared" ref="AK44:AL44" si="21">AVERAGE(AK38:AK43)</f>
        <v>0</v>
      </c>
      <c r="AL44" s="210">
        <f t="shared" si="21"/>
        <v>0</v>
      </c>
      <c r="AM44" s="210">
        <f t="shared" ref="AM44" si="22">AVERAGE(AM38:AM43)</f>
        <v>0</v>
      </c>
      <c r="AN44" s="210">
        <f t="shared" ref="AN44" si="23">AVERAGE(AN38:AN43)</f>
        <v>0</v>
      </c>
      <c r="AO44" s="210">
        <f t="shared" ref="AO44" si="24">AVERAGE(AO38:AO43)</f>
        <v>0</v>
      </c>
      <c r="AP44" s="210">
        <f t="shared" ref="AP44" si="25">AVERAGE(AP38:AP43)</f>
        <v>0</v>
      </c>
      <c r="AQ44" s="211">
        <f>AVERAGE(AQ38:AQ43)</f>
        <v>6.2666666666666662E-2</v>
      </c>
      <c r="AR44" s="211">
        <f t="shared" ref="AR44" si="26">AVERAGE(AR38:AR43)</f>
        <v>1.7000000000000001E-2</v>
      </c>
      <c r="AS44" s="211">
        <f t="shared" ref="AS44" si="27">AVERAGE(AS38:AS43)</f>
        <v>0</v>
      </c>
      <c r="AT44" s="211">
        <f t="shared" ref="AT44" si="28">AVERAGE(AT38:AT43)</f>
        <v>0</v>
      </c>
      <c r="AU44" s="211">
        <f t="shared" ref="AU44" si="29">AVERAGE(AU38:AU43)</f>
        <v>7.9666666666666677E-2</v>
      </c>
      <c r="AV44" s="210">
        <f>AVERAGE(AV38:AV43)</f>
        <v>21.333333333333332</v>
      </c>
      <c r="AW44" s="210">
        <f t="shared" ref="AW44" si="30">AVERAGE(AW38:AW43)</f>
        <v>7</v>
      </c>
      <c r="AX44" s="210">
        <f t="shared" ref="AX44" si="31">AVERAGE(AX38:AX43)</f>
        <v>0</v>
      </c>
      <c r="AY44" s="210">
        <f t="shared" ref="AY44" si="32">AVERAGE(AY38:AY43)</f>
        <v>0</v>
      </c>
      <c r="AZ44" s="210">
        <f t="shared" ref="AZ44:BA44" si="33">AVERAGE(AZ38:AZ43)</f>
        <v>28.333333333333332</v>
      </c>
      <c r="BA44" s="211">
        <f t="shared" si="33"/>
        <v>0</v>
      </c>
      <c r="BB44" s="211">
        <f t="shared" ref="BB44" si="34">AVERAGE(BB38:BB43)</f>
        <v>0</v>
      </c>
      <c r="BC44" s="211">
        <f t="shared" ref="BC44" si="35">AVERAGE(BC38:BC43)</f>
        <v>0</v>
      </c>
      <c r="BD44" s="211">
        <f t="shared" ref="BD44" si="36">AVERAGE(BD38:BD43)</f>
        <v>0</v>
      </c>
      <c r="BE44" s="211">
        <f t="shared" ref="BE44:BF44" si="37">AVERAGE(BE38:BE43)</f>
        <v>0</v>
      </c>
      <c r="BF44" s="210">
        <f t="shared" si="37"/>
        <v>0.13800000000000001</v>
      </c>
      <c r="BG44" s="210">
        <f t="shared" ref="BG44" si="38">AVERAGE(BG38:BG43)</f>
        <v>0.18216666666666667</v>
      </c>
      <c r="BH44" s="210">
        <f t="shared" ref="BH44" si="39">AVERAGE(BH38:BH43)</f>
        <v>1.4E-2</v>
      </c>
      <c r="BI44" s="210">
        <f t="shared" ref="BI44" si="40">AVERAGE(BI38:BI43)</f>
        <v>0</v>
      </c>
      <c r="BJ44" s="210">
        <f t="shared" ref="BJ44:BK44" si="41">AVERAGE(BJ38:BJ43)</f>
        <v>0.33416666666666667</v>
      </c>
      <c r="BK44" s="211">
        <f t="shared" si="41"/>
        <v>16</v>
      </c>
      <c r="BL44" s="211">
        <f t="shared" ref="BL44" si="42">AVERAGE(BL38:BL43)</f>
        <v>6.166666666666667</v>
      </c>
      <c r="BM44" s="211">
        <f t="shared" ref="BM44" si="43">AVERAGE(BM38:BM43)</f>
        <v>1</v>
      </c>
      <c r="BN44" s="211">
        <f t="shared" ref="BN44" si="44">AVERAGE(BN38:BN43)</f>
        <v>0</v>
      </c>
      <c r="BO44" s="211">
        <f t="shared" ref="BO44:BP44" si="45">AVERAGE(BO38:BO43)</f>
        <v>23.166666666666668</v>
      </c>
      <c r="BP44" s="210">
        <f t="shared" si="45"/>
        <v>0</v>
      </c>
      <c r="BQ44" s="210">
        <f t="shared" ref="BQ44" si="46">AVERAGE(BQ38:BQ43)</f>
        <v>0</v>
      </c>
      <c r="BR44" s="210">
        <f t="shared" ref="BR44" si="47">AVERAGE(BR38:BR43)</f>
        <v>0</v>
      </c>
      <c r="BS44" s="210">
        <f t="shared" ref="BS44" si="48">AVERAGE(BS38:BS43)</f>
        <v>0</v>
      </c>
      <c r="BT44" s="210">
        <f t="shared" ref="BT44:BU44" si="49">AVERAGE(BT38:BT43)</f>
        <v>0</v>
      </c>
      <c r="BU44" s="211">
        <f t="shared" si="49"/>
        <v>93.434333333333328</v>
      </c>
      <c r="BV44" s="211">
        <f t="shared" ref="BV44" si="50">AVERAGE(BV38:BV43)</f>
        <v>19.235833333333332</v>
      </c>
      <c r="BW44" s="211">
        <f t="shared" ref="BW44" si="51">AVERAGE(BW38:BW43)</f>
        <v>0.27899999999999997</v>
      </c>
      <c r="BX44" s="211">
        <f t="shared" ref="BX44" si="52">AVERAGE(BX38:BX43)</f>
        <v>0</v>
      </c>
      <c r="BY44" s="211">
        <f t="shared" ref="BY44:BZ44" si="53">AVERAGE(BY38:BY43)</f>
        <v>112.94916666666667</v>
      </c>
      <c r="BZ44" s="211">
        <f t="shared" si="53"/>
        <v>12400.5</v>
      </c>
      <c r="CA44" s="211">
        <f t="shared" ref="CA44" si="54">AVERAGE(CA38:CA43)</f>
        <v>1108.3333333333333</v>
      </c>
      <c r="CB44" s="210">
        <f t="shared" ref="CB44" si="55">AVERAGE(CB38:CB43)</f>
        <v>7</v>
      </c>
      <c r="CC44" s="210">
        <f t="shared" ref="CC44" si="56">AVERAGE(CC38:CC43)</f>
        <v>0</v>
      </c>
      <c r="CD44" s="211">
        <f t="shared" ref="CD44:CE44" si="57">AVERAGE(CD38:CD43)</f>
        <v>13515.833333333334</v>
      </c>
      <c r="CE44" s="211">
        <f t="shared" si="57"/>
        <v>0</v>
      </c>
      <c r="CF44" s="211">
        <f t="shared" ref="CF44" si="58">AVERAGE(CF38:CF43)</f>
        <v>0</v>
      </c>
      <c r="CG44" s="211">
        <f t="shared" ref="CG44" si="59">AVERAGE(CG38:CG43)</f>
        <v>0</v>
      </c>
      <c r="CH44" s="211">
        <f t="shared" ref="CH44" si="60">AVERAGE(CH38:CH43)</f>
        <v>0</v>
      </c>
      <c r="CI44" s="211">
        <f t="shared" ref="CI44" si="61">AVERAGE(CI38:CI43)</f>
        <v>0</v>
      </c>
    </row>
    <row r="45" spans="1:87" ht="15.5" x14ac:dyDescent="0.35">
      <c r="A45" s="212" t="s">
        <v>302</v>
      </c>
    </row>
    <row r="46" spans="1:87" s="6" customFormat="1" x14ac:dyDescent="0.35">
      <c r="A46" s="216"/>
      <c r="B46" s="216" t="s">
        <v>67</v>
      </c>
      <c r="C46" s="216" t="s">
        <v>68</v>
      </c>
      <c r="D46" s="216" t="s">
        <v>69</v>
      </c>
      <c r="E46" s="216" t="s">
        <v>72</v>
      </c>
      <c r="F46" s="216" t="s">
        <v>71</v>
      </c>
      <c r="G46" s="95"/>
    </row>
    <row r="47" spans="1:87" x14ac:dyDescent="0.35">
      <c r="A47" s="56" t="s">
        <v>70</v>
      </c>
      <c r="B47" s="185">
        <f>M44/H44</f>
        <v>132.6041022377467</v>
      </c>
      <c r="C47" s="185">
        <f t="shared" ref="C47:D47" si="62">N44/I44</f>
        <v>57.52932936438453</v>
      </c>
      <c r="D47" s="185">
        <f t="shared" si="62"/>
        <v>22.641509433962259</v>
      </c>
      <c r="E47" s="217">
        <v>0</v>
      </c>
      <c r="F47" s="185">
        <f>Q44/L44</f>
        <v>119.64538544931075</v>
      </c>
      <c r="G47" s="21"/>
    </row>
    <row r="48" spans="1:87" x14ac:dyDescent="0.35">
      <c r="A48" s="56" t="s">
        <v>57</v>
      </c>
      <c r="B48" s="185">
        <f>AV44/AQ44</f>
        <v>340.42553191489361</v>
      </c>
      <c r="C48" s="185">
        <f t="shared" ref="C48" si="63">AW44/AR44</f>
        <v>411.76470588235293</v>
      </c>
      <c r="D48" s="217">
        <v>0</v>
      </c>
      <c r="E48" s="217">
        <v>0</v>
      </c>
      <c r="F48" s="185">
        <f>AZ44/AU44</f>
        <v>355.64853556485349</v>
      </c>
      <c r="G48" s="21"/>
    </row>
    <row r="49" spans="1:7" x14ac:dyDescent="0.35">
      <c r="A49" s="56" t="s">
        <v>60</v>
      </c>
      <c r="B49" s="185">
        <f>BK44/BF44</f>
        <v>115.94202898550724</v>
      </c>
      <c r="C49" s="185">
        <f t="shared" ref="C49:F49" si="64">BL44/BG44</f>
        <v>33.851784080512353</v>
      </c>
      <c r="D49" s="185">
        <f t="shared" si="64"/>
        <v>71.428571428571431</v>
      </c>
      <c r="E49" s="217">
        <v>0</v>
      </c>
      <c r="F49" s="185">
        <f t="shared" si="64"/>
        <v>69.326683291770578</v>
      </c>
      <c r="G49" s="21"/>
    </row>
    <row r="50" spans="1:7" x14ac:dyDescent="0.35">
      <c r="A50" s="56" t="s">
        <v>66</v>
      </c>
      <c r="B50" s="185">
        <f>BZ44/BU44</f>
        <v>132.71887921285182</v>
      </c>
      <c r="C50" s="185">
        <f t="shared" ref="C50:F50" si="65">CA44/BV44</f>
        <v>57.618160551054892</v>
      </c>
      <c r="D50" s="185">
        <f t="shared" si="65"/>
        <v>25.089605734767026</v>
      </c>
      <c r="E50" s="217">
        <v>0</v>
      </c>
      <c r="F50" s="185">
        <f t="shared" si="65"/>
        <v>119.66297523222099</v>
      </c>
      <c r="G50" s="21"/>
    </row>
  </sheetData>
  <mergeCells count="22">
    <mergeCell ref="BK36:BO36"/>
    <mergeCell ref="AL36:AP36"/>
    <mergeCell ref="AQ36:AU36"/>
    <mergeCell ref="AV36:AZ36"/>
    <mergeCell ref="BA36:BE36"/>
    <mergeCell ref="BF36:BJ36"/>
    <mergeCell ref="AQ35:BE35"/>
    <mergeCell ref="BF35:BT35"/>
    <mergeCell ref="BU35:CI35"/>
    <mergeCell ref="A36:F36"/>
    <mergeCell ref="G36:L36"/>
    <mergeCell ref="M36:Q36"/>
    <mergeCell ref="R36:V36"/>
    <mergeCell ref="W36:AA36"/>
    <mergeCell ref="AB36:AF36"/>
    <mergeCell ref="AG36:AK36"/>
    <mergeCell ref="A35:F35"/>
    <mergeCell ref="G35:AP35"/>
    <mergeCell ref="BP36:BT36"/>
    <mergeCell ref="BU36:BY36"/>
    <mergeCell ref="BZ36:CD36"/>
    <mergeCell ref="CE36:CI36"/>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0"/>
  <sheetViews>
    <sheetView workbookViewId="0">
      <selection activeCell="B16" sqref="B16"/>
    </sheetView>
  </sheetViews>
  <sheetFormatPr defaultRowHeight="14.5" x14ac:dyDescent="0.35"/>
  <cols>
    <col min="1" max="1" width="28.1796875" customWidth="1"/>
    <col min="2" max="2" width="37.54296875" customWidth="1"/>
    <col min="3" max="23" width="11.1796875" bestFit="1" customWidth="1"/>
  </cols>
  <sheetData>
    <row r="1" spans="1:3" ht="29" x14ac:dyDescent="0.35">
      <c r="A1" s="24" t="s">
        <v>191</v>
      </c>
      <c r="B1" s="25" t="s">
        <v>192</v>
      </c>
      <c r="C1" s="26" t="s">
        <v>219</v>
      </c>
    </row>
    <row r="2" spans="1:3" x14ac:dyDescent="0.35">
      <c r="A2" s="27" t="s">
        <v>158</v>
      </c>
      <c r="B2" s="28" t="s">
        <v>169</v>
      </c>
      <c r="C2" s="97">
        <f t="array" ref="C2:C23">TRANSPOSE(B30:W30)</f>
        <v>723.05135488510132</v>
      </c>
    </row>
    <row r="3" spans="1:3" x14ac:dyDescent="0.35">
      <c r="A3" s="27" t="s">
        <v>159</v>
      </c>
      <c r="B3" s="28" t="s">
        <v>170</v>
      </c>
      <c r="C3" s="97">
        <v>737.98104047775269</v>
      </c>
    </row>
    <row r="4" spans="1:3" x14ac:dyDescent="0.35">
      <c r="A4" s="27" t="s">
        <v>160</v>
      </c>
      <c r="B4" s="28" t="s">
        <v>171</v>
      </c>
      <c r="C4" s="97">
        <v>768.97233915328979</v>
      </c>
    </row>
    <row r="5" spans="1:3" x14ac:dyDescent="0.35">
      <c r="A5" s="27" t="s">
        <v>161</v>
      </c>
      <c r="B5" s="28" t="s">
        <v>172</v>
      </c>
      <c r="C5" s="97">
        <v>737.98104047775269</v>
      </c>
    </row>
    <row r="6" spans="1:3" x14ac:dyDescent="0.35">
      <c r="A6" s="27" t="s">
        <v>162</v>
      </c>
      <c r="B6" s="28" t="s">
        <v>173</v>
      </c>
      <c r="C6" s="97">
        <v>663.54022073745728</v>
      </c>
    </row>
    <row r="7" spans="1:3" x14ac:dyDescent="0.35">
      <c r="A7" s="27" t="s">
        <v>163</v>
      </c>
      <c r="B7" s="28" t="s">
        <v>174</v>
      </c>
      <c r="C7" s="97">
        <v>627.3051552772522</v>
      </c>
    </row>
    <row r="8" spans="1:3" x14ac:dyDescent="0.35">
      <c r="A8" s="27" t="s">
        <v>164</v>
      </c>
      <c r="B8" s="28" t="s">
        <v>175</v>
      </c>
      <c r="C8" s="97">
        <v>538.97037601470947</v>
      </c>
    </row>
    <row r="9" spans="1:3" x14ac:dyDescent="0.35">
      <c r="A9" s="27" t="s">
        <v>165</v>
      </c>
      <c r="B9" s="28" t="s">
        <v>176</v>
      </c>
      <c r="C9" s="97">
        <v>723.05135488510132</v>
      </c>
    </row>
    <row r="10" spans="1:3" x14ac:dyDescent="0.35">
      <c r="A10" s="27" t="s">
        <v>166</v>
      </c>
      <c r="B10" s="28" t="s">
        <v>177</v>
      </c>
      <c r="C10" s="97">
        <v>723.05135488510132</v>
      </c>
    </row>
    <row r="11" spans="1:3" x14ac:dyDescent="0.35">
      <c r="A11" s="27" t="s">
        <v>167</v>
      </c>
      <c r="B11" s="28" t="s">
        <v>178</v>
      </c>
      <c r="C11" s="97">
        <v>737.98104047775269</v>
      </c>
    </row>
    <row r="12" spans="1:3" x14ac:dyDescent="0.35">
      <c r="A12" s="27" t="s">
        <v>147</v>
      </c>
      <c r="B12" s="28" t="s">
        <v>179</v>
      </c>
      <c r="C12" s="97">
        <v>612.39787817001343</v>
      </c>
    </row>
    <row r="13" spans="1:3" x14ac:dyDescent="0.35">
      <c r="A13" s="27" t="s">
        <v>148</v>
      </c>
      <c r="B13" s="28" t="s">
        <v>180</v>
      </c>
      <c r="C13" s="97">
        <v>518.50805473327637</v>
      </c>
    </row>
    <row r="14" spans="1:3" x14ac:dyDescent="0.35">
      <c r="A14" s="27" t="s">
        <v>149</v>
      </c>
      <c r="B14" s="28" t="s">
        <v>181</v>
      </c>
      <c r="C14" s="97">
        <v>612.39787817001343</v>
      </c>
    </row>
    <row r="15" spans="1:3" x14ac:dyDescent="0.35">
      <c r="A15" s="27" t="s">
        <v>150</v>
      </c>
      <c r="B15" s="28" t="s">
        <v>182</v>
      </c>
      <c r="C15" s="97">
        <v>737.98104047775269</v>
      </c>
    </row>
    <row r="16" spans="1:3" x14ac:dyDescent="0.35">
      <c r="A16" s="27" t="s">
        <v>151</v>
      </c>
      <c r="B16" s="28" t="s">
        <v>183</v>
      </c>
      <c r="C16" s="97">
        <v>662.29686498641968</v>
      </c>
    </row>
    <row r="17" spans="1:23" x14ac:dyDescent="0.35">
      <c r="A17" s="27" t="s">
        <v>152</v>
      </c>
      <c r="B17" s="28" t="s">
        <v>184</v>
      </c>
      <c r="C17" s="97">
        <v>612.39787817001343</v>
      </c>
    </row>
    <row r="18" spans="1:23" x14ac:dyDescent="0.35">
      <c r="A18" s="27" t="s">
        <v>153</v>
      </c>
      <c r="B18" s="28" t="s">
        <v>185</v>
      </c>
      <c r="C18" s="97">
        <v>662.29686498641968</v>
      </c>
    </row>
    <row r="19" spans="1:23" x14ac:dyDescent="0.35">
      <c r="A19" s="27" t="s">
        <v>154</v>
      </c>
      <c r="B19" s="28" t="s">
        <v>186</v>
      </c>
      <c r="C19" s="97">
        <v>754.04265356063843</v>
      </c>
    </row>
    <row r="20" spans="1:23" x14ac:dyDescent="0.35">
      <c r="A20" s="27" t="s">
        <v>155</v>
      </c>
      <c r="B20" s="28" t="s">
        <v>187</v>
      </c>
      <c r="C20" s="97">
        <v>754.04265356063843</v>
      </c>
    </row>
    <row r="21" spans="1:23" x14ac:dyDescent="0.35">
      <c r="A21" s="27" t="s">
        <v>156</v>
      </c>
      <c r="B21" s="28" t="s">
        <v>188</v>
      </c>
      <c r="C21" s="97">
        <v>694.53151941299438</v>
      </c>
    </row>
    <row r="22" spans="1:23" x14ac:dyDescent="0.35">
      <c r="A22" s="27" t="s">
        <v>168</v>
      </c>
      <c r="B22" s="28" t="s">
        <v>189</v>
      </c>
      <c r="C22" s="97">
        <v>754.04265356063843</v>
      </c>
    </row>
    <row r="23" spans="1:23" x14ac:dyDescent="0.35">
      <c r="A23" s="30" t="s">
        <v>157</v>
      </c>
      <c r="B23" s="22" t="s">
        <v>190</v>
      </c>
      <c r="C23" s="161">
        <v>723.05135488510132</v>
      </c>
    </row>
    <row r="24" spans="1:23" x14ac:dyDescent="0.35">
      <c r="B24" s="33"/>
    </row>
    <row r="25" spans="1:23" x14ac:dyDescent="0.35">
      <c r="A25" s="50"/>
      <c r="B25" s="13"/>
      <c r="C25" s="10"/>
      <c r="D25" s="10"/>
      <c r="E25" s="10"/>
      <c r="F25" s="10"/>
      <c r="G25" s="10"/>
      <c r="H25" s="10"/>
      <c r="I25" s="10"/>
      <c r="J25" s="10"/>
      <c r="K25" s="10"/>
      <c r="L25" s="10"/>
      <c r="M25" s="10"/>
      <c r="N25" s="10"/>
      <c r="O25" s="10"/>
      <c r="P25" s="10"/>
      <c r="Q25" s="10"/>
      <c r="R25" s="10"/>
      <c r="S25" s="10"/>
      <c r="T25" s="10"/>
      <c r="U25" s="10"/>
      <c r="V25" s="10"/>
      <c r="W25" s="10"/>
    </row>
    <row r="26" spans="1:23" x14ac:dyDescent="0.35">
      <c r="A26" s="10"/>
      <c r="B26" s="10"/>
      <c r="C26" s="10"/>
      <c r="D26" s="10"/>
      <c r="E26" s="10"/>
      <c r="F26" s="10"/>
      <c r="G26" s="10"/>
      <c r="H26" s="10"/>
      <c r="I26" s="10"/>
      <c r="J26" s="10"/>
      <c r="K26" s="10"/>
      <c r="L26" s="10"/>
      <c r="M26" s="10"/>
      <c r="N26" s="10"/>
      <c r="O26" s="10"/>
      <c r="P26" s="10"/>
      <c r="Q26" s="10"/>
      <c r="R26" s="10"/>
      <c r="S26" s="10"/>
      <c r="T26" s="10"/>
      <c r="U26" s="10"/>
      <c r="V26" s="10"/>
      <c r="W26" s="10"/>
    </row>
    <row r="27" spans="1:23" x14ac:dyDescent="0.35">
      <c r="A27" s="51" t="s">
        <v>0</v>
      </c>
      <c r="B27" s="162" t="s">
        <v>158</v>
      </c>
      <c r="C27" s="162" t="s">
        <v>159</v>
      </c>
      <c r="D27" s="162" t="s">
        <v>160</v>
      </c>
      <c r="E27" s="162" t="s">
        <v>161</v>
      </c>
      <c r="F27" s="162" t="s">
        <v>162</v>
      </c>
      <c r="G27" s="162" t="s">
        <v>163</v>
      </c>
      <c r="H27" s="162" t="s">
        <v>164</v>
      </c>
      <c r="I27" s="162" t="s">
        <v>165</v>
      </c>
      <c r="J27" s="162" t="s">
        <v>166</v>
      </c>
      <c r="K27" s="162" t="s">
        <v>167</v>
      </c>
      <c r="L27" s="162" t="s">
        <v>147</v>
      </c>
      <c r="M27" s="162" t="s">
        <v>148</v>
      </c>
      <c r="N27" s="162" t="s">
        <v>149</v>
      </c>
      <c r="O27" s="162" t="s">
        <v>150</v>
      </c>
      <c r="P27" s="162" t="s">
        <v>151</v>
      </c>
      <c r="Q27" s="162" t="s">
        <v>152</v>
      </c>
      <c r="R27" s="162" t="s">
        <v>153</v>
      </c>
      <c r="S27" s="162" t="s">
        <v>154</v>
      </c>
      <c r="T27" s="162" t="s">
        <v>155</v>
      </c>
      <c r="U27" s="162" t="s">
        <v>156</v>
      </c>
      <c r="V27" s="162" t="s">
        <v>168</v>
      </c>
      <c r="W27" s="163" t="s">
        <v>157</v>
      </c>
    </row>
    <row r="28" spans="1:23" x14ac:dyDescent="0.35">
      <c r="A28" s="115" t="s">
        <v>41</v>
      </c>
      <c r="B28" s="96">
        <f>Cumulative_Capacity!B35</f>
        <v>512.71792364120483</v>
      </c>
      <c r="C28" s="96">
        <f>Cumulative_Capacity!C35</f>
        <v>527.6476092338562</v>
      </c>
      <c r="D28" s="96">
        <f>Cumulative_Capacity!D35</f>
        <v>527.6476092338562</v>
      </c>
      <c r="E28" s="96">
        <f>Cumulative_Capacity!E35</f>
        <v>527.6476092338562</v>
      </c>
      <c r="F28" s="96">
        <f>Cumulative_Capacity!F35</f>
        <v>453.20678949356079</v>
      </c>
      <c r="G28" s="96">
        <f>Cumulative_Capacity!G35</f>
        <v>416.97172403335571</v>
      </c>
      <c r="H28" s="96">
        <f>Cumulative_Capacity!H35</f>
        <v>328.63694477081299</v>
      </c>
      <c r="I28" s="96">
        <f>Cumulative_Capacity!I35</f>
        <v>512.71792364120483</v>
      </c>
      <c r="J28" s="96">
        <f>Cumulative_Capacity!J35</f>
        <v>512.71792364120483</v>
      </c>
      <c r="K28" s="96">
        <f>Cumulative_Capacity!K35</f>
        <v>527.6476092338562</v>
      </c>
      <c r="L28" s="96">
        <f>Cumulative_Capacity!L35</f>
        <v>402.06444692611694</v>
      </c>
      <c r="M28" s="96">
        <f>Cumulative_Capacity!M35</f>
        <v>308.17462348937988</v>
      </c>
      <c r="N28" s="96">
        <f>Cumulative_Capacity!N35</f>
        <v>402.06444692611694</v>
      </c>
      <c r="O28" s="96">
        <f>Cumulative_Capacity!O35</f>
        <v>527.6476092338562</v>
      </c>
      <c r="P28" s="96">
        <f>Cumulative_Capacity!P35</f>
        <v>451.96343374252319</v>
      </c>
      <c r="Q28" s="96">
        <f>Cumulative_Capacity!Q35</f>
        <v>402.06444692611694</v>
      </c>
      <c r="R28" s="96">
        <f>Cumulative_Capacity!R35</f>
        <v>451.96343374252319</v>
      </c>
      <c r="S28" s="96">
        <f>Cumulative_Capacity!S35</f>
        <v>512.71792364120483</v>
      </c>
      <c r="T28" s="96">
        <f>Cumulative_Capacity!T35</f>
        <v>512.71792364120483</v>
      </c>
      <c r="U28" s="96">
        <f>Cumulative_Capacity!U35</f>
        <v>453.20678949356079</v>
      </c>
      <c r="V28" s="96">
        <f>Cumulative_Capacity!V35</f>
        <v>512.71792364120483</v>
      </c>
      <c r="W28" s="96">
        <f>Cumulative_Capacity!W35</f>
        <v>512.71792364120483</v>
      </c>
    </row>
    <row r="29" spans="1:23" x14ac:dyDescent="0.35">
      <c r="A29" s="116" t="s">
        <v>42</v>
      </c>
      <c r="B29" s="96">
        <f>Cumulative_Capacity!B36</f>
        <v>210.33343124389646</v>
      </c>
      <c r="C29" s="96">
        <f>Cumulative_Capacity!C36</f>
        <v>210.33343124389646</v>
      </c>
      <c r="D29" s="96">
        <f>Cumulative_Capacity!D36</f>
        <v>241.32472991943357</v>
      </c>
      <c r="E29" s="96">
        <f>Cumulative_Capacity!E36</f>
        <v>210.33343124389646</v>
      </c>
      <c r="F29" s="96">
        <f>Cumulative_Capacity!F36</f>
        <v>210.33343124389646</v>
      </c>
      <c r="G29" s="96">
        <f>Cumulative_Capacity!G36</f>
        <v>210.33343124389646</v>
      </c>
      <c r="H29" s="96">
        <f>Cumulative_Capacity!H36</f>
        <v>210.33343124389646</v>
      </c>
      <c r="I29" s="96">
        <f>Cumulative_Capacity!I36</f>
        <v>210.33343124389646</v>
      </c>
      <c r="J29" s="96">
        <f>Cumulative_Capacity!J36</f>
        <v>210.33343124389646</v>
      </c>
      <c r="K29" s="96">
        <f>Cumulative_Capacity!K36</f>
        <v>210.33343124389646</v>
      </c>
      <c r="L29" s="96">
        <f>Cumulative_Capacity!L36</f>
        <v>210.33343124389646</v>
      </c>
      <c r="M29" s="96">
        <f>Cumulative_Capacity!M36</f>
        <v>210.33343124389646</v>
      </c>
      <c r="N29" s="96">
        <f>Cumulative_Capacity!N36</f>
        <v>210.33343124389646</v>
      </c>
      <c r="O29" s="96">
        <f>Cumulative_Capacity!O36</f>
        <v>210.33343124389646</v>
      </c>
      <c r="P29" s="96">
        <f>Cumulative_Capacity!P36</f>
        <v>210.33343124389646</v>
      </c>
      <c r="Q29" s="96">
        <f>Cumulative_Capacity!Q36</f>
        <v>210.33343124389646</v>
      </c>
      <c r="R29" s="96">
        <f>Cumulative_Capacity!R36</f>
        <v>210.33343124389646</v>
      </c>
      <c r="S29" s="96">
        <f>Cumulative_Capacity!S36</f>
        <v>241.32472991943357</v>
      </c>
      <c r="T29" s="96">
        <f>Cumulative_Capacity!T36</f>
        <v>241.32472991943357</v>
      </c>
      <c r="U29" s="96">
        <f>Cumulative_Capacity!U36</f>
        <v>241.32472991943357</v>
      </c>
      <c r="V29" s="96">
        <f>Cumulative_Capacity!V36</f>
        <v>241.32472991943357</v>
      </c>
      <c r="W29" s="96">
        <f>Cumulative_Capacity!W36</f>
        <v>210.33343124389646</v>
      </c>
    </row>
    <row r="30" spans="1:23" x14ac:dyDescent="0.35">
      <c r="A30" s="57" t="s">
        <v>66</v>
      </c>
      <c r="B30" s="197">
        <f t="shared" ref="B30:W30" si="0">SUM(B28:B29)</f>
        <v>723.05135488510132</v>
      </c>
      <c r="C30" s="197">
        <f t="shared" si="0"/>
        <v>737.98104047775269</v>
      </c>
      <c r="D30" s="197">
        <f t="shared" si="0"/>
        <v>768.97233915328979</v>
      </c>
      <c r="E30" s="197">
        <f t="shared" si="0"/>
        <v>737.98104047775269</v>
      </c>
      <c r="F30" s="197">
        <f t="shared" si="0"/>
        <v>663.54022073745728</v>
      </c>
      <c r="G30" s="197">
        <f t="shared" si="0"/>
        <v>627.3051552772522</v>
      </c>
      <c r="H30" s="197">
        <f t="shared" si="0"/>
        <v>538.97037601470947</v>
      </c>
      <c r="I30" s="197">
        <f t="shared" si="0"/>
        <v>723.05135488510132</v>
      </c>
      <c r="J30" s="197">
        <f t="shared" si="0"/>
        <v>723.05135488510132</v>
      </c>
      <c r="K30" s="197">
        <f t="shared" si="0"/>
        <v>737.98104047775269</v>
      </c>
      <c r="L30" s="197">
        <f t="shared" si="0"/>
        <v>612.39787817001343</v>
      </c>
      <c r="M30" s="197">
        <f t="shared" si="0"/>
        <v>518.50805473327637</v>
      </c>
      <c r="N30" s="197">
        <f t="shared" si="0"/>
        <v>612.39787817001343</v>
      </c>
      <c r="O30" s="197">
        <f t="shared" si="0"/>
        <v>737.98104047775269</v>
      </c>
      <c r="P30" s="197">
        <f t="shared" si="0"/>
        <v>662.29686498641968</v>
      </c>
      <c r="Q30" s="197">
        <f t="shared" si="0"/>
        <v>612.39787817001343</v>
      </c>
      <c r="R30" s="197">
        <f t="shared" si="0"/>
        <v>662.29686498641968</v>
      </c>
      <c r="S30" s="197">
        <f t="shared" si="0"/>
        <v>754.04265356063843</v>
      </c>
      <c r="T30" s="197">
        <f t="shared" si="0"/>
        <v>754.04265356063843</v>
      </c>
      <c r="U30" s="197">
        <f t="shared" si="0"/>
        <v>694.53151941299438</v>
      </c>
      <c r="V30" s="197">
        <f t="shared" si="0"/>
        <v>754.04265356063843</v>
      </c>
      <c r="W30" s="198">
        <f t="shared" si="0"/>
        <v>723.05135488510132</v>
      </c>
    </row>
  </sheetData>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8"/>
  <sheetViews>
    <sheetView workbookViewId="0">
      <selection activeCell="B16" sqref="B16"/>
    </sheetView>
  </sheetViews>
  <sheetFormatPr defaultRowHeight="14.5" x14ac:dyDescent="0.35"/>
  <cols>
    <col min="1" max="1" width="23.1796875" customWidth="1"/>
    <col min="2" max="2" width="23.26953125" customWidth="1"/>
    <col min="3" max="3" width="16.1796875" customWidth="1"/>
  </cols>
  <sheetData>
    <row r="1" spans="1:3" ht="43.5" x14ac:dyDescent="0.35">
      <c r="A1" s="24" t="s">
        <v>191</v>
      </c>
      <c r="B1" s="25" t="s">
        <v>192</v>
      </c>
      <c r="C1" s="26" t="s">
        <v>362</v>
      </c>
    </row>
    <row r="2" spans="1:3" x14ac:dyDescent="0.35">
      <c r="A2" s="27" t="s">
        <v>158</v>
      </c>
      <c r="B2" s="28" t="s">
        <v>169</v>
      </c>
      <c r="C2" s="125">
        <f t="array" ref="C2:C23">TRANSPOSE(B28:W28)</f>
        <v>10699.067053731782</v>
      </c>
    </row>
    <row r="3" spans="1:3" x14ac:dyDescent="0.35">
      <c r="A3" s="27" t="s">
        <v>159</v>
      </c>
      <c r="B3" s="28" t="s">
        <v>170</v>
      </c>
      <c r="C3" s="125">
        <v>10699.067053731782</v>
      </c>
    </row>
    <row r="4" spans="1:3" x14ac:dyDescent="0.35">
      <c r="A4" s="27" t="s">
        <v>160</v>
      </c>
      <c r="B4" s="28" t="s">
        <v>171</v>
      </c>
      <c r="C4" s="125">
        <v>10699.067053731782</v>
      </c>
    </row>
    <row r="5" spans="1:3" x14ac:dyDescent="0.35">
      <c r="A5" s="27" t="s">
        <v>161</v>
      </c>
      <c r="B5" s="28" t="s">
        <v>172</v>
      </c>
      <c r="C5" s="125">
        <v>10699.067053731782</v>
      </c>
    </row>
    <row r="6" spans="1:3" x14ac:dyDescent="0.35">
      <c r="A6" s="27" t="s">
        <v>162</v>
      </c>
      <c r="B6" s="28" t="s">
        <v>173</v>
      </c>
      <c r="C6" s="125">
        <v>10699.067053731782</v>
      </c>
    </row>
    <row r="7" spans="1:3" x14ac:dyDescent="0.35">
      <c r="A7" s="27" t="s">
        <v>163</v>
      </c>
      <c r="B7" s="28" t="s">
        <v>174</v>
      </c>
      <c r="C7" s="125">
        <v>10699.067053731782</v>
      </c>
    </row>
    <row r="8" spans="1:3" x14ac:dyDescent="0.35">
      <c r="A8" s="27" t="s">
        <v>164</v>
      </c>
      <c r="B8" s="28" t="s">
        <v>175</v>
      </c>
      <c r="C8" s="125">
        <v>10699.067053731782</v>
      </c>
    </row>
    <row r="9" spans="1:3" x14ac:dyDescent="0.35">
      <c r="A9" s="27" t="s">
        <v>165</v>
      </c>
      <c r="B9" s="28" t="s">
        <v>176</v>
      </c>
      <c r="C9" s="125">
        <v>10699.067053731782</v>
      </c>
    </row>
    <row r="10" spans="1:3" x14ac:dyDescent="0.35">
      <c r="A10" s="27" t="s">
        <v>166</v>
      </c>
      <c r="B10" s="28" t="s">
        <v>177</v>
      </c>
      <c r="C10" s="125">
        <v>10699.067053731782</v>
      </c>
    </row>
    <row r="11" spans="1:3" x14ac:dyDescent="0.35">
      <c r="A11" s="27" t="s">
        <v>167</v>
      </c>
      <c r="B11" s="28" t="s">
        <v>178</v>
      </c>
      <c r="C11" s="125">
        <v>10699.067053731782</v>
      </c>
    </row>
    <row r="12" spans="1:3" x14ac:dyDescent="0.35">
      <c r="A12" s="27" t="s">
        <v>147</v>
      </c>
      <c r="B12" s="28" t="s">
        <v>179</v>
      </c>
      <c r="C12" s="125">
        <v>10699.067053731782</v>
      </c>
    </row>
    <row r="13" spans="1:3" x14ac:dyDescent="0.35">
      <c r="A13" s="27" t="s">
        <v>148</v>
      </c>
      <c r="B13" s="28" t="s">
        <v>180</v>
      </c>
      <c r="C13" s="125">
        <v>10699.067053731782</v>
      </c>
    </row>
    <row r="14" spans="1:3" x14ac:dyDescent="0.35">
      <c r="A14" s="27" t="s">
        <v>149</v>
      </c>
      <c r="B14" s="28" t="s">
        <v>181</v>
      </c>
      <c r="C14" s="125">
        <v>10699.067053731782</v>
      </c>
    </row>
    <row r="15" spans="1:3" x14ac:dyDescent="0.35">
      <c r="A15" s="27" t="s">
        <v>150</v>
      </c>
      <c r="B15" s="28" t="s">
        <v>182</v>
      </c>
      <c r="C15" s="125">
        <v>10699.067053731782</v>
      </c>
    </row>
    <row r="16" spans="1:3" x14ac:dyDescent="0.35">
      <c r="A16" s="27" t="s">
        <v>151</v>
      </c>
      <c r="B16" s="28" t="s">
        <v>183</v>
      </c>
      <c r="C16" s="125">
        <v>10699.067053731782</v>
      </c>
    </row>
    <row r="17" spans="1:23" x14ac:dyDescent="0.35">
      <c r="A17" s="27" t="s">
        <v>152</v>
      </c>
      <c r="B17" s="28" t="s">
        <v>184</v>
      </c>
      <c r="C17" s="125">
        <v>10699.067053731782</v>
      </c>
    </row>
    <row r="18" spans="1:23" x14ac:dyDescent="0.35">
      <c r="A18" s="27" t="s">
        <v>153</v>
      </c>
      <c r="B18" s="28" t="s">
        <v>185</v>
      </c>
      <c r="C18" s="125">
        <v>10699.067053731782</v>
      </c>
    </row>
    <row r="19" spans="1:23" x14ac:dyDescent="0.35">
      <c r="A19" s="27" t="s">
        <v>154</v>
      </c>
      <c r="B19" s="28" t="s">
        <v>186</v>
      </c>
      <c r="C19" s="125">
        <v>10699.067053731782</v>
      </c>
    </row>
    <row r="20" spans="1:23" x14ac:dyDescent="0.35">
      <c r="A20" s="27" t="s">
        <v>155</v>
      </c>
      <c r="B20" s="28" t="s">
        <v>187</v>
      </c>
      <c r="C20" s="125">
        <v>10699.067053731782</v>
      </c>
    </row>
    <row r="21" spans="1:23" x14ac:dyDescent="0.35">
      <c r="A21" s="27" t="s">
        <v>156</v>
      </c>
      <c r="B21" s="28" t="s">
        <v>188</v>
      </c>
      <c r="C21" s="125">
        <v>10699.067053731782</v>
      </c>
    </row>
    <row r="22" spans="1:23" x14ac:dyDescent="0.35">
      <c r="A22" s="27" t="s">
        <v>168</v>
      </c>
      <c r="B22" s="28" t="s">
        <v>189</v>
      </c>
      <c r="C22" s="125">
        <v>10699.067053731782</v>
      </c>
    </row>
    <row r="23" spans="1:23" x14ac:dyDescent="0.35">
      <c r="A23" s="30" t="s">
        <v>157</v>
      </c>
      <c r="B23" s="22" t="s">
        <v>190</v>
      </c>
      <c r="C23" s="126">
        <v>10699.067053731782</v>
      </c>
    </row>
    <row r="24" spans="1:23" x14ac:dyDescent="0.35">
      <c r="B24" s="2"/>
    </row>
    <row r="25" spans="1:23" x14ac:dyDescent="0.35">
      <c r="A25" s="50"/>
      <c r="B25" s="13"/>
      <c r="C25" s="10"/>
      <c r="D25" s="10"/>
      <c r="E25" s="10"/>
      <c r="F25" s="10"/>
      <c r="G25" s="10"/>
      <c r="H25" s="10"/>
      <c r="I25" s="10"/>
      <c r="J25" s="10"/>
      <c r="K25" s="10"/>
      <c r="L25" s="10"/>
      <c r="M25" s="10"/>
      <c r="N25" s="10"/>
      <c r="O25" s="10"/>
      <c r="P25" s="10"/>
      <c r="Q25" s="10"/>
      <c r="R25" s="10"/>
      <c r="S25" s="10"/>
      <c r="T25" s="10"/>
      <c r="U25" s="10"/>
      <c r="V25" s="10"/>
      <c r="W25" s="10"/>
    </row>
    <row r="26" spans="1:23" x14ac:dyDescent="0.35">
      <c r="A26" s="10"/>
      <c r="B26" s="10"/>
      <c r="C26" s="10"/>
      <c r="D26" s="10"/>
      <c r="E26" s="10"/>
      <c r="F26" s="10"/>
      <c r="G26" s="10"/>
      <c r="H26" s="10"/>
      <c r="I26" s="10"/>
      <c r="J26" s="10"/>
      <c r="K26" s="10"/>
      <c r="L26" s="10"/>
      <c r="M26" s="10"/>
      <c r="N26" s="10"/>
      <c r="O26" s="10"/>
      <c r="P26" s="10"/>
      <c r="Q26" s="10"/>
      <c r="R26" s="10"/>
      <c r="S26" s="10"/>
      <c r="T26" s="10"/>
      <c r="U26" s="10"/>
      <c r="V26" s="10"/>
      <c r="W26" s="10"/>
    </row>
    <row r="27" spans="1:23" x14ac:dyDescent="0.35">
      <c r="A27" s="51" t="s">
        <v>0</v>
      </c>
      <c r="B27" s="162" t="s">
        <v>158</v>
      </c>
      <c r="C27" s="162" t="s">
        <v>159</v>
      </c>
      <c r="D27" s="162" t="s">
        <v>160</v>
      </c>
      <c r="E27" s="162" t="s">
        <v>161</v>
      </c>
      <c r="F27" s="162" t="s">
        <v>162</v>
      </c>
      <c r="G27" s="162" t="s">
        <v>163</v>
      </c>
      <c r="H27" s="162" t="s">
        <v>164</v>
      </c>
      <c r="I27" s="162" t="s">
        <v>165</v>
      </c>
      <c r="J27" s="162" t="s">
        <v>166</v>
      </c>
      <c r="K27" s="162" t="s">
        <v>167</v>
      </c>
      <c r="L27" s="162" t="s">
        <v>147</v>
      </c>
      <c r="M27" s="162" t="s">
        <v>148</v>
      </c>
      <c r="N27" s="162" t="s">
        <v>149</v>
      </c>
      <c r="O27" s="162" t="s">
        <v>150</v>
      </c>
      <c r="P27" s="162" t="s">
        <v>151</v>
      </c>
      <c r="Q27" s="162" t="s">
        <v>152</v>
      </c>
      <c r="R27" s="162" t="s">
        <v>153</v>
      </c>
      <c r="S27" s="162" t="s">
        <v>154</v>
      </c>
      <c r="T27" s="162" t="s">
        <v>155</v>
      </c>
      <c r="U27" s="162" t="s">
        <v>156</v>
      </c>
      <c r="V27" s="162" t="s">
        <v>168</v>
      </c>
      <c r="W27" s="163" t="s">
        <v>157</v>
      </c>
    </row>
    <row r="28" spans="1:23" x14ac:dyDescent="0.35">
      <c r="A28" s="117" t="s">
        <v>31</v>
      </c>
      <c r="B28" s="99">
        <f>Cumulative_Capacity!B25*DER_Participation!$F$50</f>
        <v>10699.067053731782</v>
      </c>
      <c r="C28" s="99">
        <f>Cumulative_Capacity!C25*DER_Participation!$F$50</f>
        <v>10699.067053731782</v>
      </c>
      <c r="D28" s="99">
        <f>Cumulative_Capacity!D25*DER_Participation!$F$50</f>
        <v>10699.067053731782</v>
      </c>
      <c r="E28" s="99">
        <f>Cumulative_Capacity!E25*DER_Participation!$F$50</f>
        <v>10699.067053731782</v>
      </c>
      <c r="F28" s="99">
        <f>Cumulative_Capacity!F25*DER_Participation!$F$50</f>
        <v>10699.067053731782</v>
      </c>
      <c r="G28" s="99">
        <f>Cumulative_Capacity!G25*DER_Participation!$F$50</f>
        <v>10699.067053731782</v>
      </c>
      <c r="H28" s="99">
        <f>Cumulative_Capacity!H25*DER_Participation!$F$50</f>
        <v>10699.067053731782</v>
      </c>
      <c r="I28" s="99">
        <f>Cumulative_Capacity!I25*DER_Participation!$F$50</f>
        <v>10699.067053731782</v>
      </c>
      <c r="J28" s="99">
        <f>Cumulative_Capacity!J25*DER_Participation!$F$50</f>
        <v>10699.067053731782</v>
      </c>
      <c r="K28" s="99">
        <f>Cumulative_Capacity!K25*DER_Participation!$F$50</f>
        <v>10699.067053731782</v>
      </c>
      <c r="L28" s="99">
        <f>Cumulative_Capacity!L25*DER_Participation!$F$50</f>
        <v>10699.067053731782</v>
      </c>
      <c r="M28" s="99">
        <f>Cumulative_Capacity!M25*DER_Participation!$F$50</f>
        <v>10699.067053731782</v>
      </c>
      <c r="N28" s="99">
        <f>Cumulative_Capacity!N25*DER_Participation!$F$50</f>
        <v>10699.067053731782</v>
      </c>
      <c r="O28" s="99">
        <f>Cumulative_Capacity!O25*DER_Participation!$F$50</f>
        <v>10699.067053731782</v>
      </c>
      <c r="P28" s="99">
        <f>Cumulative_Capacity!P25*DER_Participation!$F$50</f>
        <v>10699.067053731782</v>
      </c>
      <c r="Q28" s="99">
        <f>Cumulative_Capacity!Q25*DER_Participation!$F$50</f>
        <v>10699.067053731782</v>
      </c>
      <c r="R28" s="99">
        <f>Cumulative_Capacity!R25*DER_Participation!$F$50</f>
        <v>10699.067053731782</v>
      </c>
      <c r="S28" s="99">
        <f>Cumulative_Capacity!S25*DER_Participation!$F$50</f>
        <v>10699.067053731782</v>
      </c>
      <c r="T28" s="99">
        <f>Cumulative_Capacity!T25*DER_Participation!$F$50</f>
        <v>10699.067053731782</v>
      </c>
      <c r="U28" s="99">
        <f>Cumulative_Capacity!U25*DER_Participation!$F$50</f>
        <v>10699.067053731782</v>
      </c>
      <c r="V28" s="99">
        <f>Cumulative_Capacity!V25*DER_Participation!$F$50</f>
        <v>10699.067053731782</v>
      </c>
      <c r="W28" s="99">
        <f>Cumulative_Capacity!W25*DER_Participation!$F$50</f>
        <v>10699.067053731782</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L109"/>
  <sheetViews>
    <sheetView zoomScaleNormal="100" workbookViewId="0">
      <pane xSplit="5" ySplit="1" topLeftCell="F2" activePane="bottomRight" state="frozen"/>
      <selection pane="topRight" activeCell="F1" sqref="F1"/>
      <selection pane="bottomLeft" activeCell="A2" sqref="A2"/>
      <selection pane="bottomRight" activeCell="H5" sqref="H5"/>
    </sheetView>
  </sheetViews>
  <sheetFormatPr defaultRowHeight="14.5" x14ac:dyDescent="0.35"/>
  <cols>
    <col min="2" max="2" width="52" bestFit="1" customWidth="1"/>
    <col min="3" max="3" width="14.7265625" customWidth="1"/>
    <col min="4" max="4" width="12.26953125" customWidth="1"/>
    <col min="5" max="5" width="11" customWidth="1"/>
    <col min="6" max="6" width="1.453125" style="8" customWidth="1"/>
    <col min="7" max="14" width="12" customWidth="1"/>
    <col min="15" max="15" width="1.453125" style="8" customWidth="1"/>
    <col min="16" max="26" width="14.26953125" customWidth="1"/>
    <col min="27" max="27" width="1.453125" style="8" customWidth="1"/>
    <col min="28" max="38" width="14.26953125" customWidth="1"/>
  </cols>
  <sheetData>
    <row r="1" spans="1:38" s="79" customFormat="1" ht="36" customHeight="1" x14ac:dyDescent="0.6">
      <c r="A1" s="238" t="s">
        <v>48</v>
      </c>
      <c r="B1" s="77"/>
      <c r="C1" s="78"/>
      <c r="D1" s="77"/>
      <c r="E1" s="77"/>
      <c r="G1" s="239" t="s">
        <v>49</v>
      </c>
      <c r="H1" s="80"/>
      <c r="I1" s="81"/>
      <c r="J1" s="81"/>
      <c r="K1" s="81"/>
      <c r="L1" s="81"/>
      <c r="M1" s="81"/>
      <c r="N1" s="81"/>
      <c r="P1" s="238" t="s">
        <v>51</v>
      </c>
      <c r="AB1" s="238" t="s">
        <v>266</v>
      </c>
      <c r="AG1" s="82"/>
    </row>
    <row r="2" spans="1:38" s="84" customFormat="1" x14ac:dyDescent="0.35">
      <c r="A2" s="83"/>
      <c r="B2" s="83"/>
      <c r="C2" s="83"/>
      <c r="D2" s="83"/>
      <c r="E2" s="83"/>
      <c r="G2" s="85"/>
      <c r="H2" s="86"/>
      <c r="I2" s="87"/>
      <c r="J2" s="87"/>
      <c r="K2" s="87"/>
      <c r="L2" s="87"/>
      <c r="M2" s="87"/>
      <c r="N2" s="87"/>
      <c r="P2" s="83"/>
      <c r="AB2" s="83"/>
    </row>
    <row r="3" spans="1:38" s="84" customFormat="1" x14ac:dyDescent="0.35">
      <c r="A3" s="83"/>
      <c r="B3" s="83"/>
      <c r="C3" s="191" t="s">
        <v>44</v>
      </c>
      <c r="D3" s="218">
        <f>SUM(G4:N4)</f>
        <v>8</v>
      </c>
      <c r="E3" s="219"/>
      <c r="F3" s="123"/>
      <c r="G3" s="221">
        <f t="shared" ref="G3:N3" si="0">G4/$D$3</f>
        <v>0.125</v>
      </c>
      <c r="H3" s="222">
        <f t="shared" si="0"/>
        <v>0.125</v>
      </c>
      <c r="I3" s="222">
        <f t="shared" si="0"/>
        <v>0.125</v>
      </c>
      <c r="J3" s="222">
        <f t="shared" si="0"/>
        <v>0.125</v>
      </c>
      <c r="K3" s="222">
        <f t="shared" si="0"/>
        <v>0.125</v>
      </c>
      <c r="L3" s="222">
        <f t="shared" si="0"/>
        <v>0.125</v>
      </c>
      <c r="M3" s="222">
        <f t="shared" si="0"/>
        <v>0.125</v>
      </c>
      <c r="N3" s="223">
        <f t="shared" si="0"/>
        <v>0.125</v>
      </c>
      <c r="P3" s="83"/>
      <c r="AB3" s="83"/>
    </row>
    <row r="4" spans="1:38" s="84" customFormat="1" x14ac:dyDescent="0.35">
      <c r="A4" s="83"/>
      <c r="B4" s="83"/>
      <c r="C4" s="121" t="s">
        <v>304</v>
      </c>
      <c r="D4" s="122" t="s">
        <v>305</v>
      </c>
      <c r="E4" s="190"/>
      <c r="F4" s="124"/>
      <c r="G4" s="220">
        <v>1</v>
      </c>
      <c r="H4" s="138">
        <v>1</v>
      </c>
      <c r="I4" s="138">
        <v>1</v>
      </c>
      <c r="J4" s="138">
        <v>1</v>
      </c>
      <c r="K4" s="138">
        <v>1</v>
      </c>
      <c r="L4" s="138">
        <v>1</v>
      </c>
      <c r="M4" s="138">
        <v>1</v>
      </c>
      <c r="N4" s="139">
        <v>1</v>
      </c>
      <c r="P4" s="83"/>
      <c r="AB4" s="83"/>
    </row>
    <row r="5" spans="1:38" s="18" customFormat="1" ht="74.25" customHeight="1" x14ac:dyDescent="0.35">
      <c r="A5" s="88" t="s">
        <v>1</v>
      </c>
      <c r="B5" s="88"/>
      <c r="C5" s="119" t="s">
        <v>4</v>
      </c>
      <c r="D5" s="119" t="s">
        <v>46</v>
      </c>
      <c r="E5" s="119" t="s">
        <v>63</v>
      </c>
      <c r="F5" s="89"/>
      <c r="G5" s="120" t="s">
        <v>256</v>
      </c>
      <c r="H5" s="120" t="s">
        <v>50</v>
      </c>
      <c r="I5" s="120" t="s">
        <v>260</v>
      </c>
      <c r="J5" s="120" t="s">
        <v>262</v>
      </c>
      <c r="K5" s="120" t="s">
        <v>263</v>
      </c>
      <c r="L5" s="120" t="s">
        <v>356</v>
      </c>
      <c r="M5" s="120" t="s">
        <v>264</v>
      </c>
      <c r="N5" s="120" t="s">
        <v>265</v>
      </c>
      <c r="O5" s="89"/>
      <c r="P5" s="90" t="s">
        <v>256</v>
      </c>
      <c r="Q5" s="90" t="s">
        <v>257</v>
      </c>
      <c r="R5" s="90" t="s">
        <v>258</v>
      </c>
      <c r="S5" s="90" t="s">
        <v>259</v>
      </c>
      <c r="T5" s="90" t="s">
        <v>260</v>
      </c>
      <c r="U5" s="90" t="s">
        <v>261</v>
      </c>
      <c r="V5" s="90" t="s">
        <v>262</v>
      </c>
      <c r="W5" s="90" t="s">
        <v>263</v>
      </c>
      <c r="X5" s="90" t="s">
        <v>356</v>
      </c>
      <c r="Y5" s="90" t="s">
        <v>264</v>
      </c>
      <c r="Z5" s="90" t="s">
        <v>265</v>
      </c>
      <c r="AA5" s="89"/>
      <c r="AB5" s="91" t="s">
        <v>269</v>
      </c>
      <c r="AC5" s="91" t="s">
        <v>270</v>
      </c>
      <c r="AD5" s="91" t="s">
        <v>271</v>
      </c>
      <c r="AE5" s="91" t="s">
        <v>272</v>
      </c>
      <c r="AF5" s="91" t="s">
        <v>250</v>
      </c>
      <c r="AG5" s="91" t="s">
        <v>251</v>
      </c>
      <c r="AH5" s="91" t="s">
        <v>252</v>
      </c>
      <c r="AI5" s="91" t="s">
        <v>253</v>
      </c>
      <c r="AJ5" s="91" t="s">
        <v>357</v>
      </c>
      <c r="AK5" s="91" t="s">
        <v>254</v>
      </c>
      <c r="AL5" s="91" t="s">
        <v>255</v>
      </c>
    </row>
    <row r="6" spans="1:38" s="59" customFormat="1" x14ac:dyDescent="0.35">
      <c r="A6" s="74" t="s">
        <v>158</v>
      </c>
      <c r="B6" s="74" t="s">
        <v>169</v>
      </c>
      <c r="C6" s="179">
        <f>SUMPRODUCT($G$3:$N$3,G6:N6)</f>
        <v>0</v>
      </c>
      <c r="D6" s="180">
        <f>AG6-AG$6</f>
        <v>0</v>
      </c>
      <c r="E6" s="181">
        <f>C6/(AG6/10^5)+1</f>
        <v>1</v>
      </c>
      <c r="G6" s="184">
        <f>AVERAGE(P6)</f>
        <v>0</v>
      </c>
      <c r="H6" s="184">
        <f>AVERAGE(Q6:S6)</f>
        <v>0</v>
      </c>
      <c r="I6" s="184">
        <f>AVERAGE(T6)</f>
        <v>0</v>
      </c>
      <c r="J6" s="184">
        <f>AVERAGE(V6)</f>
        <v>0</v>
      </c>
      <c r="K6" s="184">
        <f>AVERAGE(W6)</f>
        <v>0</v>
      </c>
      <c r="L6" s="184">
        <f>AVERAGE(X6)</f>
        <v>0</v>
      </c>
      <c r="M6" s="184">
        <f>AVERAGE(Y6)</f>
        <v>0</v>
      </c>
      <c r="N6" s="184">
        <f>AVERAGE(Z6)</f>
        <v>0</v>
      </c>
      <c r="P6" s="184">
        <f>IFERROR(-(AB6-AB$6)/_xlfn.STDEV.P(AB$6:AB$27),0)</f>
        <v>0</v>
      </c>
      <c r="Q6" s="184">
        <f t="shared" ref="P6:R7" si="1">IFERROR(-(AC6-AC$6)/_xlfn.STDEV.P(AC$6:AC$27),0)</f>
        <v>0</v>
      </c>
      <c r="R6" s="184">
        <f t="shared" si="1"/>
        <v>0</v>
      </c>
      <c r="S6" s="184">
        <f>IFERROR(-(AE6-AE$6)/_xlfn.STDEV.P(AE$6:AE$27),0)</f>
        <v>0</v>
      </c>
      <c r="T6" s="184">
        <f>IFERROR((AF6-AF$6)/_xlfn.STDEV.P(AF$6:AF$27),0)</f>
        <v>0</v>
      </c>
      <c r="U6" s="184">
        <f>IFERROR(-(AG6-AG$6)/_xlfn.STDEV.P(AG$6:AG$27),0)</f>
        <v>0</v>
      </c>
      <c r="V6" s="184">
        <f t="shared" ref="V6:Z7" si="2">IFERROR((AH6-AH$6)/_xlfn.STDEV.P(AH$6:AH$27),0)</f>
        <v>0</v>
      </c>
      <c r="W6" s="184">
        <f t="shared" si="2"/>
        <v>0</v>
      </c>
      <c r="X6" s="184">
        <f t="shared" si="2"/>
        <v>0</v>
      </c>
      <c r="Y6" s="184">
        <f t="shared" si="2"/>
        <v>0</v>
      </c>
      <c r="Z6" s="184">
        <f t="shared" si="2"/>
        <v>0</v>
      </c>
      <c r="AB6" s="186">
        <f>Emissions_All!C3</f>
        <v>49194637.414550781</v>
      </c>
      <c r="AC6" s="186">
        <f>Emissions_All!D3</f>
        <v>56812.471899814904</v>
      </c>
      <c r="AD6" s="186">
        <f>Emissions_All!E3</f>
        <v>28596.822268486023</v>
      </c>
      <c r="AE6" s="186">
        <f>Emissions_All!F3</f>
        <v>17351.135377705097</v>
      </c>
      <c r="AF6" s="186">
        <f>Jobs_Creation!C2</f>
        <v>72418</v>
      </c>
      <c r="AG6" s="186">
        <f>PortfolioCost!D2/10^6</f>
        <v>15528.538026505301</v>
      </c>
      <c r="AH6" s="186">
        <f>DR_Peak_Capacity!C2</f>
        <v>39.372800483703614</v>
      </c>
      <c r="AI6" s="186">
        <f>DER_Participation!C2</f>
        <v>3393.1432043682003</v>
      </c>
      <c r="AJ6" s="186">
        <f>EE_Added!C2</f>
        <v>723.05135488510132</v>
      </c>
      <c r="AK6" s="186">
        <f>DR_Participation!C2</f>
        <v>260106.06666666665</v>
      </c>
      <c r="AL6" s="186">
        <f>DER_Storage_Participation!C2</f>
        <v>10699.067053731782</v>
      </c>
    </row>
    <row r="7" spans="1:38" s="59" customFormat="1" x14ac:dyDescent="0.35">
      <c r="A7" s="74" t="s">
        <v>159</v>
      </c>
      <c r="B7" s="74" t="s">
        <v>170</v>
      </c>
      <c r="C7" s="179">
        <f>SUMPRODUCT($G$3:$N$3,G7:N7)</f>
        <v>0.76964834366995261</v>
      </c>
      <c r="D7" s="180">
        <f t="shared" ref="D7:D18" si="3">AG7-AG$6</f>
        <v>1579.2706852426909</v>
      </c>
      <c r="E7" s="181">
        <f>C7/(AG7/10^5)+1</f>
        <v>5.4988131246840073</v>
      </c>
      <c r="G7" s="184">
        <f t="shared" ref="G7:G25" si="4">AVERAGE(P7)</f>
        <v>2.108102600382832</v>
      </c>
      <c r="H7" s="184">
        <f t="shared" ref="H7:H26" si="5">AVERAGE(Q7:S7)</f>
        <v>0.85771390889588106</v>
      </c>
      <c r="I7" s="184">
        <f t="shared" ref="I7:I26" si="6">AVERAGE(T7)</f>
        <v>0.24259057851641402</v>
      </c>
      <c r="J7" s="184">
        <f t="shared" ref="J7:J26" si="7">AVERAGE(V7)</f>
        <v>1.5046119773977318</v>
      </c>
      <c r="K7" s="184">
        <f t="shared" ref="K7:K26" si="8">AVERAGE(W7)</f>
        <v>0</v>
      </c>
      <c r="L7" s="184">
        <f t="shared" ref="L7:L26" si="9">AVERAGE(X7)</f>
        <v>0.21295007672903435</v>
      </c>
      <c r="M7" s="184">
        <f t="shared" ref="M7:M26" si="10">AVERAGE(Y7)</f>
        <v>1.2312176074377275</v>
      </c>
      <c r="N7" s="184">
        <f t="shared" ref="N7:N26" si="11">AVERAGE(Z7)</f>
        <v>0</v>
      </c>
      <c r="P7" s="184">
        <f t="shared" si="1"/>
        <v>2.108102600382832</v>
      </c>
      <c r="Q7" s="184">
        <f t="shared" si="1"/>
        <v>2.0477602451094064</v>
      </c>
      <c r="R7" s="184">
        <f t="shared" si="1"/>
        <v>-1.3218280293969575</v>
      </c>
      <c r="S7" s="184">
        <f>IFERROR(-(AE7-AE$6)/_xlfn.STDEV.P(AE$6:AE$27),0)</f>
        <v>1.847209510975194</v>
      </c>
      <c r="T7" s="184">
        <f>IFERROR((AF7-AF$6)/_xlfn.STDEV.P(AF$6:AF$27),0)</f>
        <v>0.24259057851641402</v>
      </c>
      <c r="U7" s="184">
        <f>IFERROR(-(AG7-AG$6)/_xlfn.STDEV.P(AG$6:AG$27),0)</f>
        <v>-0.12301301546844202</v>
      </c>
      <c r="V7" s="184">
        <f t="shared" si="2"/>
        <v>1.5046119773977318</v>
      </c>
      <c r="W7" s="184">
        <f t="shared" si="2"/>
        <v>0</v>
      </c>
      <c r="X7" s="184">
        <f t="shared" si="2"/>
        <v>0.21295007672903435</v>
      </c>
      <c r="Y7" s="184">
        <f t="shared" si="2"/>
        <v>1.2312176074377275</v>
      </c>
      <c r="Z7" s="184">
        <f t="shared" si="2"/>
        <v>0</v>
      </c>
      <c r="AB7" s="186">
        <f>Emissions_All!C4</f>
        <v>30937943.953289032</v>
      </c>
      <c r="AC7" s="186">
        <f>Emissions_All!D4</f>
        <v>56629.278693296103</v>
      </c>
      <c r="AD7" s="186">
        <f>Emissions_All!E4</f>
        <v>37590.336681358516</v>
      </c>
      <c r="AE7" s="186">
        <f>Emissions_All!F4</f>
        <v>16799.149454014725</v>
      </c>
      <c r="AF7" s="186">
        <f>Jobs_Creation!C3</f>
        <v>97093</v>
      </c>
      <c r="AG7" s="186">
        <f>PortfolioCost!D3/10^6</f>
        <v>17107.808711747992</v>
      </c>
      <c r="AH7" s="186">
        <f>DR_Peak_Capacity!C3</f>
        <v>61.363199996948246</v>
      </c>
      <c r="AI7" s="186">
        <f>DER_Participation!C3</f>
        <v>3393.1432043682003</v>
      </c>
      <c r="AJ7" s="186">
        <f>EE_Added!C3</f>
        <v>737.98104047775269</v>
      </c>
      <c r="AK7" s="186">
        <f>DR_Participation!C3</f>
        <v>469009.75394772063</v>
      </c>
      <c r="AL7" s="186">
        <f>DER_Storage_Participation!C3</f>
        <v>10699.067053731782</v>
      </c>
    </row>
    <row r="8" spans="1:38" s="59" customFormat="1" x14ac:dyDescent="0.35">
      <c r="A8" s="74" t="s">
        <v>160</v>
      </c>
      <c r="B8" s="74" t="s">
        <v>171</v>
      </c>
      <c r="C8" s="179">
        <f t="shared" ref="C8:C18" si="12">SUMPRODUCT($G$3:$N$3,G8:N8)</f>
        <v>0.792631157155122</v>
      </c>
      <c r="D8" s="180">
        <f t="shared" si="3"/>
        <v>826.37179311937325</v>
      </c>
      <c r="E8" s="181">
        <f t="shared" ref="E8:E27" si="13">C8/(AG8/10^5)+1</f>
        <v>5.8464416245452089</v>
      </c>
      <c r="G8" s="184">
        <f t="shared" si="4"/>
        <v>6.121361332322716E-2</v>
      </c>
      <c r="H8" s="184">
        <f t="shared" si="5"/>
        <v>-0.5856468058872657</v>
      </c>
      <c r="I8" s="184">
        <f t="shared" si="6"/>
        <v>0.21637015002995905</v>
      </c>
      <c r="J8" s="184">
        <f t="shared" si="7"/>
        <v>1.2120972222549427</v>
      </c>
      <c r="K8" s="184">
        <f t="shared" si="8"/>
        <v>4.5332312495418217</v>
      </c>
      <c r="L8" s="184">
        <f t="shared" si="9"/>
        <v>0.65499551632867847</v>
      </c>
      <c r="M8" s="184">
        <f t="shared" si="10"/>
        <v>0.24878831164961301</v>
      </c>
      <c r="N8" s="184">
        <f t="shared" si="11"/>
        <v>0</v>
      </c>
      <c r="P8" s="184">
        <f>IFERROR(-(AB8-AB$6)/_xlfn.STDEV.P(AB$6:AB$27),0)</f>
        <v>6.121361332322716E-2</v>
      </c>
      <c r="Q8" s="184">
        <f t="shared" ref="Q8:Q27" si="14">IFERROR(-(AC8-AC$6)/_xlfn.STDEV.P(AC$6:AC$27),0)</f>
        <v>0.10246475326963546</v>
      </c>
      <c r="R8" s="184">
        <f t="shared" ref="R8:R27" si="15">IFERROR(-(AD8-AD$6)/_xlfn.STDEV.P(AD$6:AD$27),0)</f>
        <v>-1.8058407947349617</v>
      </c>
      <c r="S8" s="184">
        <f t="shared" ref="S8:S27" si="16">IFERROR(-(AE8-AE$6)/_xlfn.STDEV.P(AE$6:AE$27),0)</f>
        <v>-5.356437619647085E-2</v>
      </c>
      <c r="T8" s="184">
        <f t="shared" ref="T8:T26" si="17">IFERROR((AF8-AF$6)/_xlfn.STDEV.P(AF$6:AF$27),0)</f>
        <v>0.21637015002995905</v>
      </c>
      <c r="U8" s="184">
        <f t="shared" ref="U8:U27" si="18">IFERROR(-(AG8-AG$6)/_xlfn.STDEV.P(AG$6:AG$27),0)</f>
        <v>-6.4367994112457111E-2</v>
      </c>
      <c r="V8" s="184">
        <f t="shared" ref="V8:V27" si="19">IFERROR((AH8-AH$6)/_xlfn.STDEV.P(AH$6:AH$27),0)</f>
        <v>1.2120972222549427</v>
      </c>
      <c r="W8" s="184">
        <f t="shared" ref="W8:W27" si="20">IFERROR((AI8-AI$6)/_xlfn.STDEV.P(AI$6:AI$27),0)</f>
        <v>4.5332312495418217</v>
      </c>
      <c r="X8" s="184">
        <f t="shared" ref="X8:X26" si="21">IFERROR((AJ8-AJ$6)/_xlfn.STDEV.P(AJ$6:AJ$27),0)</f>
        <v>0.65499551632867847</v>
      </c>
      <c r="Y8" s="184">
        <f t="shared" ref="Y8:Y27" si="22">IFERROR((AK8-AK$6)/_xlfn.STDEV.P(AK$6:AK$27),0)</f>
        <v>0.24878831164961301</v>
      </c>
      <c r="Z8" s="184">
        <f t="shared" ref="Z8:Z27" si="23">IFERROR((AL8-AL$6)/_xlfn.STDEV.P(AL$6:AL$27),0)</f>
        <v>0</v>
      </c>
      <c r="AB8" s="186">
        <f>Emissions_All!C5</f>
        <v>48664512.280273438</v>
      </c>
      <c r="AC8" s="186">
        <f>Emissions_All!D5</f>
        <v>56803.305374216288</v>
      </c>
      <c r="AD8" s="186">
        <f>Emissions_All!E5</f>
        <v>40883.485021591187</v>
      </c>
      <c r="AE8" s="186">
        <f>Emissions_All!F5</f>
        <v>17367.141565144062</v>
      </c>
      <c r="AF8" s="186">
        <f>Jobs_Creation!C4</f>
        <v>94426</v>
      </c>
      <c r="AG8" s="186">
        <f>PortfolioCost!D4/10^6</f>
        <v>16354.909819624674</v>
      </c>
      <c r="AH8" s="186">
        <f>DR_Peak_Capacity!C4</f>
        <v>57.088000526428225</v>
      </c>
      <c r="AI8" s="186">
        <f>DER_Participation!C4</f>
        <v>326435.68391750724</v>
      </c>
      <c r="AJ8" s="186">
        <f>EE_Added!C4</f>
        <v>768.97233915328979</v>
      </c>
      <c r="AK8" s="186">
        <f>DR_Participation!C4</f>
        <v>302318.58486171759</v>
      </c>
      <c r="AL8" s="186">
        <f>DER_Storage_Participation!C4</f>
        <v>10699.067053731782</v>
      </c>
    </row>
    <row r="9" spans="1:38" s="59" customFormat="1" x14ac:dyDescent="0.35">
      <c r="A9" s="74" t="s">
        <v>161</v>
      </c>
      <c r="B9" s="74" t="s">
        <v>172</v>
      </c>
      <c r="C9" s="179">
        <f t="shared" si="12"/>
        <v>0.33773611473321852</v>
      </c>
      <c r="D9" s="180">
        <f t="shared" si="3"/>
        <v>10.982871260399406</v>
      </c>
      <c r="E9" s="181">
        <f t="shared" si="13"/>
        <v>3.1734010781618038</v>
      </c>
      <c r="G9" s="184">
        <f t="shared" si="4"/>
        <v>1.9941343179369901E-2</v>
      </c>
      <c r="H9" s="184">
        <f t="shared" si="5"/>
        <v>1.156526904914297E-2</v>
      </c>
      <c r="I9" s="184">
        <f t="shared" si="6"/>
        <v>4.6394526444537294E-2</v>
      </c>
      <c r="J9" s="184">
        <f t="shared" si="7"/>
        <v>1.2431878966290824</v>
      </c>
      <c r="K9" s="184">
        <f t="shared" si="8"/>
        <v>0</v>
      </c>
      <c r="L9" s="184">
        <f t="shared" si="9"/>
        <v>0.21295007672903435</v>
      </c>
      <c r="M9" s="184">
        <f t="shared" si="10"/>
        <v>1.167849805834581</v>
      </c>
      <c r="N9" s="184">
        <f t="shared" si="11"/>
        <v>0</v>
      </c>
      <c r="P9" s="184">
        <f t="shared" ref="P9:P27" si="24">IFERROR(-(AB9-AB$6)/_xlfn.STDEV.P(AB$6:AB$27),0)</f>
        <v>1.9941343179369901E-2</v>
      </c>
      <c r="Q9" s="184">
        <f t="shared" si="14"/>
        <v>1.3952101239256651E-2</v>
      </c>
      <c r="R9" s="184">
        <f t="shared" si="15"/>
        <v>4.8652751956439894E-3</v>
      </c>
      <c r="S9" s="184">
        <f t="shared" si="16"/>
        <v>1.5878430712528268E-2</v>
      </c>
      <c r="T9" s="184">
        <f t="shared" si="17"/>
        <v>4.6394526444537294E-2</v>
      </c>
      <c r="U9" s="184">
        <f t="shared" si="18"/>
        <v>-8.5548102986271924E-4</v>
      </c>
      <c r="V9" s="184">
        <f t="shared" si="19"/>
        <v>1.2431878966290824</v>
      </c>
      <c r="W9" s="184">
        <f t="shared" si="20"/>
        <v>0</v>
      </c>
      <c r="X9" s="184">
        <f t="shared" si="21"/>
        <v>0.21295007672903435</v>
      </c>
      <c r="Y9" s="184">
        <f t="shared" si="22"/>
        <v>1.167849805834581</v>
      </c>
      <c r="Z9" s="184">
        <f t="shared" si="23"/>
        <v>0</v>
      </c>
      <c r="AB9" s="186">
        <f>Emissions_All!C6</f>
        <v>49021940.416992188</v>
      </c>
      <c r="AC9" s="186">
        <f>Emissions_All!D6</f>
        <v>56811.223740920424</v>
      </c>
      <c r="AD9" s="186">
        <f>Emissions_All!E6</f>
        <v>28563.719685077667</v>
      </c>
      <c r="AE9" s="186">
        <f>Emissions_All!F6</f>
        <v>17346.390561163425</v>
      </c>
      <c r="AF9" s="186">
        <f>Jobs_Creation!C5</f>
        <v>77137</v>
      </c>
      <c r="AG9" s="186">
        <f>PortfolioCost!D5/10^6</f>
        <v>15539.5208977657</v>
      </c>
      <c r="AH9" s="186">
        <f>DR_Peak_Capacity!C5</f>
        <v>57.542400970458985</v>
      </c>
      <c r="AI9" s="186">
        <f>DER_Participation!C5</f>
        <v>3393.1432043682003</v>
      </c>
      <c r="AJ9" s="186">
        <f>EE_Added!C5</f>
        <v>737.98104047775269</v>
      </c>
      <c r="AK9" s="186">
        <f>DR_Participation!C5</f>
        <v>458257.98486171762</v>
      </c>
      <c r="AL9" s="186">
        <f>DER_Storage_Participation!C5</f>
        <v>10699.067053731782</v>
      </c>
    </row>
    <row r="10" spans="1:38" s="59" customFormat="1" x14ac:dyDescent="0.35">
      <c r="A10" s="74" t="s">
        <v>162</v>
      </c>
      <c r="B10" s="74" t="s">
        <v>173</v>
      </c>
      <c r="C10" s="179">
        <f t="shared" si="12"/>
        <v>0.18923922357936879</v>
      </c>
      <c r="D10" s="180">
        <f t="shared" si="3"/>
        <v>8.1499193631516391</v>
      </c>
      <c r="E10" s="181">
        <f t="shared" si="13"/>
        <v>2.2180152181642527</v>
      </c>
      <c r="G10" s="184">
        <f t="shared" si="4"/>
        <v>5.7762418952629381E-2</v>
      </c>
      <c r="H10" s="184">
        <f t="shared" si="5"/>
        <v>7.3416999767108191E-3</v>
      </c>
      <c r="I10" s="184">
        <f t="shared" si="6"/>
        <v>1.7106691251005486E-3</v>
      </c>
      <c r="J10" s="184">
        <f t="shared" si="7"/>
        <v>1.1313053649705338</v>
      </c>
      <c r="K10" s="184">
        <f t="shared" si="8"/>
        <v>0</v>
      </c>
      <c r="L10" s="184">
        <f t="shared" si="9"/>
        <v>-0.84883907998775687</v>
      </c>
      <c r="M10" s="184">
        <f t="shared" si="10"/>
        <v>1.1646327155977327</v>
      </c>
      <c r="N10" s="184">
        <f t="shared" si="11"/>
        <v>0</v>
      </c>
      <c r="P10" s="184">
        <f t="shared" si="24"/>
        <v>5.7762418952629381E-2</v>
      </c>
      <c r="Q10" s="184">
        <f t="shared" si="14"/>
        <v>5.9694523070476596E-2</v>
      </c>
      <c r="R10" s="184">
        <f t="shared" si="15"/>
        <v>-8.8782346156532591E-2</v>
      </c>
      <c r="S10" s="184">
        <f t="shared" si="16"/>
        <v>5.1112923016188451E-2</v>
      </c>
      <c r="T10" s="184">
        <f t="shared" si="17"/>
        <v>1.7106691251005486E-3</v>
      </c>
      <c r="U10" s="184">
        <f t="shared" si="18"/>
        <v>-6.3481590968166664E-4</v>
      </c>
      <c r="V10" s="184">
        <f t="shared" si="19"/>
        <v>1.1313053649705338</v>
      </c>
      <c r="W10" s="184">
        <f t="shared" si="20"/>
        <v>0</v>
      </c>
      <c r="X10" s="184">
        <f t="shared" si="21"/>
        <v>-0.84883907998775687</v>
      </c>
      <c r="Y10" s="184">
        <f t="shared" si="22"/>
        <v>1.1646327155977327</v>
      </c>
      <c r="Z10" s="184">
        <f t="shared" si="23"/>
        <v>0</v>
      </c>
      <c r="AB10" s="186">
        <f>Emissions_All!C7</f>
        <v>48694400.482910156</v>
      </c>
      <c r="AC10" s="186">
        <f>Emissions_All!D7</f>
        <v>56807.131611019373</v>
      </c>
      <c r="AD10" s="186">
        <f>Emissions_All!E7</f>
        <v>29200.883683443069</v>
      </c>
      <c r="AE10" s="186">
        <f>Emissions_All!F7</f>
        <v>17335.861737191677</v>
      </c>
      <c r="AF10" s="186">
        <f>Jobs_Creation!C6</f>
        <v>72592</v>
      </c>
      <c r="AG10" s="186">
        <f>PortfolioCost!D6/10^6</f>
        <v>15536.687945868453</v>
      </c>
      <c r="AH10" s="186">
        <f>DR_Peak_Capacity!C6</f>
        <v>55.90720092773438</v>
      </c>
      <c r="AI10" s="186">
        <f>DER_Participation!C6</f>
        <v>3393.1432043682003</v>
      </c>
      <c r="AJ10" s="186">
        <f>EE_Added!C6</f>
        <v>663.54022073745728</v>
      </c>
      <c r="AK10" s="186">
        <f>DR_Participation!C6</f>
        <v>457712.13333333336</v>
      </c>
      <c r="AL10" s="186">
        <f>DER_Storage_Participation!C6</f>
        <v>10699.067053731782</v>
      </c>
    </row>
    <row r="11" spans="1:38" s="59" customFormat="1" x14ac:dyDescent="0.35">
      <c r="A11" s="74" t="s">
        <v>163</v>
      </c>
      <c r="B11" s="74" t="s">
        <v>174</v>
      </c>
      <c r="C11" s="179">
        <f t="shared" si="12"/>
        <v>0.16755097312499656</v>
      </c>
      <c r="D11" s="180">
        <f t="shared" si="3"/>
        <v>346.37932068499504</v>
      </c>
      <c r="E11" s="181">
        <f t="shared" si="13"/>
        <v>2.0554446959350718</v>
      </c>
      <c r="G11" s="184">
        <f t="shared" si="4"/>
        <v>1.0291392246589983E-2</v>
      </c>
      <c r="H11" s="184">
        <f t="shared" si="5"/>
        <v>-6.7179418178516949E-5</v>
      </c>
      <c r="I11" s="184">
        <f t="shared" si="6"/>
        <v>2.2995718871322894E-2</v>
      </c>
      <c r="J11" s="184">
        <f t="shared" si="7"/>
        <v>1.4667339806370607</v>
      </c>
      <c r="K11" s="184">
        <f t="shared" si="8"/>
        <v>0</v>
      </c>
      <c r="L11" s="184">
        <f t="shared" si="9"/>
        <v>-1.3656791649410744</v>
      </c>
      <c r="M11" s="184">
        <f t="shared" si="10"/>
        <v>1.2061330376042518</v>
      </c>
      <c r="N11" s="184">
        <f t="shared" si="11"/>
        <v>0</v>
      </c>
      <c r="P11" s="184">
        <f t="shared" si="24"/>
        <v>1.0291392246589983E-2</v>
      </c>
      <c r="Q11" s="184">
        <f t="shared" si="14"/>
        <v>2.7487644872991037E-3</v>
      </c>
      <c r="R11" s="184">
        <f t="shared" si="15"/>
        <v>-7.2984027470231159E-3</v>
      </c>
      <c r="S11" s="184">
        <f t="shared" si="16"/>
        <v>4.3481000051884613E-3</v>
      </c>
      <c r="T11" s="184">
        <f t="shared" si="17"/>
        <v>2.2995718871322894E-2</v>
      </c>
      <c r="U11" s="184">
        <f t="shared" si="18"/>
        <v>-2.6980279651568323E-2</v>
      </c>
      <c r="V11" s="184">
        <f t="shared" si="19"/>
        <v>1.4667339806370607</v>
      </c>
      <c r="W11" s="184">
        <f t="shared" si="20"/>
        <v>0</v>
      </c>
      <c r="X11" s="184">
        <f t="shared" si="21"/>
        <v>-1.3656791649410744</v>
      </c>
      <c r="Y11" s="184">
        <f t="shared" si="22"/>
        <v>1.2061330376042518</v>
      </c>
      <c r="Z11" s="184">
        <f t="shared" si="23"/>
        <v>0</v>
      </c>
      <c r="AB11" s="186">
        <f>Emissions_All!C8</f>
        <v>49105511.395019531</v>
      </c>
      <c r="AC11" s="186">
        <f>Emissions_All!D8</f>
        <v>56812.225994572043</v>
      </c>
      <c r="AD11" s="186">
        <f>Emissions_All!E8</f>
        <v>28646.47947716713</v>
      </c>
      <c r="AE11" s="186">
        <f>Emissions_All!F8</f>
        <v>17349.836071923375</v>
      </c>
      <c r="AF11" s="186">
        <f>Jobs_Creation!C7</f>
        <v>74757</v>
      </c>
      <c r="AG11" s="186">
        <f>PortfolioCost!D7/10^6</f>
        <v>15874.917347190296</v>
      </c>
      <c r="AH11" s="186">
        <f>DR_Peak_Capacity!C7</f>
        <v>60.809600601196287</v>
      </c>
      <c r="AI11" s="186">
        <f>DER_Participation!C7</f>
        <v>3393.1432043682003</v>
      </c>
      <c r="AJ11" s="186">
        <f>EE_Added!C7</f>
        <v>627.3051552772522</v>
      </c>
      <c r="AK11" s="186">
        <f>DR_Participation!C7</f>
        <v>464753.59394772066</v>
      </c>
      <c r="AL11" s="186">
        <f>DER_Storage_Participation!C7</f>
        <v>10699.067053731782</v>
      </c>
    </row>
    <row r="12" spans="1:38" s="59" customFormat="1" x14ac:dyDescent="0.35">
      <c r="A12" s="74" t="s">
        <v>164</v>
      </c>
      <c r="B12" s="74" t="s">
        <v>175</v>
      </c>
      <c r="C12" s="179">
        <f t="shared" si="12"/>
        <v>0.12094279497864985</v>
      </c>
      <c r="D12" s="180">
        <f t="shared" si="3"/>
        <v>443.54720437184915</v>
      </c>
      <c r="E12" s="181">
        <f t="shared" si="13"/>
        <v>1.7572135587208355</v>
      </c>
      <c r="G12" s="184">
        <f t="shared" si="4"/>
        <v>-4.9667798676421668E-2</v>
      </c>
      <c r="H12" s="184">
        <f t="shared" si="5"/>
        <v>-9.0879974812123954E-2</v>
      </c>
      <c r="I12" s="184">
        <f t="shared" si="6"/>
        <v>-7.9536282885422065E-3</v>
      </c>
      <c r="J12" s="184">
        <f t="shared" si="7"/>
        <v>1.6164945142764122</v>
      </c>
      <c r="K12" s="184">
        <f t="shared" si="8"/>
        <v>0</v>
      </c>
      <c r="L12" s="184">
        <f t="shared" si="9"/>
        <v>-2.6256452844593454</v>
      </c>
      <c r="M12" s="184">
        <f t="shared" si="10"/>
        <v>2.1251945317892198</v>
      </c>
      <c r="N12" s="184">
        <f t="shared" si="11"/>
        <v>0</v>
      </c>
      <c r="P12" s="184">
        <f t="shared" si="24"/>
        <v>-4.9667798676421668E-2</v>
      </c>
      <c r="Q12" s="184">
        <f t="shared" si="14"/>
        <v>-7.2962068262439408E-2</v>
      </c>
      <c r="R12" s="184">
        <f t="shared" si="15"/>
        <v>-0.12523103642641636</v>
      </c>
      <c r="S12" s="184">
        <f t="shared" si="16"/>
        <v>-7.4446819747516102E-2</v>
      </c>
      <c r="T12" s="184">
        <f t="shared" si="17"/>
        <v>-7.9536282885422065E-3</v>
      </c>
      <c r="U12" s="184">
        <f t="shared" si="18"/>
        <v>-3.4548908950332219E-2</v>
      </c>
      <c r="V12" s="184">
        <f t="shared" si="19"/>
        <v>1.6164945142764122</v>
      </c>
      <c r="W12" s="184">
        <f t="shared" si="20"/>
        <v>0</v>
      </c>
      <c r="X12" s="184">
        <f t="shared" si="21"/>
        <v>-2.6256452844593454</v>
      </c>
      <c r="Y12" s="184">
        <f t="shared" si="22"/>
        <v>2.1251945317892198</v>
      </c>
      <c r="Z12" s="184">
        <f t="shared" si="23"/>
        <v>0</v>
      </c>
      <c r="AB12" s="186">
        <f>Emissions_All!C9</f>
        <v>49624772.918945313</v>
      </c>
      <c r="AC12" s="186">
        <f>Emissions_All!D9</f>
        <v>56818.999106928706</v>
      </c>
      <c r="AD12" s="186">
        <f>Emissions_All!E9</f>
        <v>29448.874960660934</v>
      </c>
      <c r="AE12" s="186">
        <f>Emissions_All!F9</f>
        <v>17373.381688326597</v>
      </c>
      <c r="AF12" s="186">
        <f>Jobs_Creation!C8</f>
        <v>71609</v>
      </c>
      <c r="AG12" s="186">
        <f>PortfolioCost!D8/10^6</f>
        <v>15972.08523087715</v>
      </c>
      <c r="AH12" s="186">
        <f>DR_Peak_Capacity!C8</f>
        <v>62.998400115966795</v>
      </c>
      <c r="AI12" s="186">
        <f>DER_Participation!C8</f>
        <v>3393.1432043682003</v>
      </c>
      <c r="AJ12" s="186">
        <f>EE_Added!C8</f>
        <v>538.97037601470947</v>
      </c>
      <c r="AK12" s="186">
        <f>DR_Participation!C8</f>
        <v>620692.99394772062</v>
      </c>
      <c r="AL12" s="186">
        <f>DER_Storage_Participation!C8</f>
        <v>10699.067053731782</v>
      </c>
    </row>
    <row r="13" spans="1:38" s="59" customFormat="1" x14ac:dyDescent="0.35">
      <c r="A13" s="74" t="s">
        <v>165</v>
      </c>
      <c r="B13" s="74" t="s">
        <v>176</v>
      </c>
      <c r="C13" s="179">
        <f t="shared" si="12"/>
        <v>0.33497181493600714</v>
      </c>
      <c r="D13" s="180">
        <f t="shared" si="3"/>
        <v>-119.32431697894026</v>
      </c>
      <c r="E13" s="181">
        <f t="shared" si="13"/>
        <v>3.1738410619155681</v>
      </c>
      <c r="G13" s="184">
        <f t="shared" si="4"/>
        <v>1.3655957865347327E-2</v>
      </c>
      <c r="H13" s="184">
        <f t="shared" si="5"/>
        <v>-3.3542605161434563E-2</v>
      </c>
      <c r="I13" s="184">
        <f t="shared" si="6"/>
        <v>7.4305961192585895E-2</v>
      </c>
      <c r="J13" s="184">
        <f t="shared" si="7"/>
        <v>1.4192221679873069</v>
      </c>
      <c r="K13" s="184">
        <f t="shared" si="8"/>
        <v>0</v>
      </c>
      <c r="L13" s="184">
        <f t="shared" si="9"/>
        <v>0</v>
      </c>
      <c r="M13" s="184">
        <f t="shared" si="10"/>
        <v>1.2061330376042518</v>
      </c>
      <c r="N13" s="184">
        <f t="shared" si="11"/>
        <v>0</v>
      </c>
      <c r="P13" s="184">
        <f t="shared" si="24"/>
        <v>1.3655957865347327E-2</v>
      </c>
      <c r="Q13" s="184">
        <f t="shared" si="14"/>
        <v>1.784983584242765E-2</v>
      </c>
      <c r="R13" s="184">
        <f t="shared" si="15"/>
        <v>-0.12772508880205224</v>
      </c>
      <c r="S13" s="184">
        <f t="shared" si="16"/>
        <v>9.2474374753208997E-3</v>
      </c>
      <c r="T13" s="184">
        <f t="shared" si="17"/>
        <v>7.4305961192585895E-2</v>
      </c>
      <c r="U13" s="184">
        <f t="shared" si="18"/>
        <v>9.2944446999824997E-3</v>
      </c>
      <c r="V13" s="184">
        <f t="shared" si="19"/>
        <v>1.4192221679873069</v>
      </c>
      <c r="W13" s="184">
        <f t="shared" si="20"/>
        <v>0</v>
      </c>
      <c r="X13" s="184">
        <f t="shared" si="21"/>
        <v>0</v>
      </c>
      <c r="Y13" s="184">
        <f t="shared" si="22"/>
        <v>1.2061330376042518</v>
      </c>
      <c r="Z13" s="184">
        <f t="shared" si="23"/>
        <v>0</v>
      </c>
      <c r="AB13" s="186">
        <f>Emissions_All!C10</f>
        <v>49076373.418945313</v>
      </c>
      <c r="AC13" s="186">
        <f>Emissions_All!D10</f>
        <v>56810.875048488379</v>
      </c>
      <c r="AD13" s="186">
        <f>Emissions_All!E10</f>
        <v>29465.84410905838</v>
      </c>
      <c r="AE13" s="186">
        <f>Emissions_All!F10</f>
        <v>17348.372044533491</v>
      </c>
      <c r="AF13" s="186">
        <f>Jobs_Creation!C9</f>
        <v>79976</v>
      </c>
      <c r="AG13" s="186">
        <f>PortfolioCost!D9/10^6</f>
        <v>15409.213709526361</v>
      </c>
      <c r="AH13" s="186">
        <f>DR_Peak_Capacity!C9</f>
        <v>60.115199813842771</v>
      </c>
      <c r="AI13" s="186">
        <f>DER_Participation!C9</f>
        <v>3393.1432043682003</v>
      </c>
      <c r="AJ13" s="186">
        <f>EE_Added!C9</f>
        <v>723.05135488510132</v>
      </c>
      <c r="AK13" s="186">
        <f>DR_Participation!C9</f>
        <v>464753.59394772066</v>
      </c>
      <c r="AL13" s="186">
        <f>DER_Storage_Participation!C9</f>
        <v>10699.067053731782</v>
      </c>
    </row>
    <row r="14" spans="1:38" s="59" customFormat="1" x14ac:dyDescent="0.35">
      <c r="A14" s="74" t="s">
        <v>166</v>
      </c>
      <c r="B14" s="74" t="s">
        <v>177</v>
      </c>
      <c r="C14" s="179">
        <f t="shared" si="12"/>
        <v>0.14184447672592049</v>
      </c>
      <c r="D14" s="180">
        <f t="shared" si="3"/>
        <v>35.447024858069199</v>
      </c>
      <c r="E14" s="181">
        <f t="shared" si="13"/>
        <v>1.9113634860083295</v>
      </c>
      <c r="G14" s="184">
        <f t="shared" si="4"/>
        <v>-0.18432732957182713</v>
      </c>
      <c r="H14" s="184">
        <f t="shared" si="5"/>
        <v>-2.3380429622122393E-2</v>
      </c>
      <c r="I14" s="184">
        <f t="shared" si="6"/>
        <v>1.4068778839188995E-2</v>
      </c>
      <c r="J14" s="184">
        <f t="shared" si="7"/>
        <v>0.36783297797063724</v>
      </c>
      <c r="K14" s="184">
        <f t="shared" si="8"/>
        <v>0</v>
      </c>
      <c r="L14" s="184">
        <f t="shared" si="9"/>
        <v>0</v>
      </c>
      <c r="M14" s="184">
        <f t="shared" si="10"/>
        <v>0.96056181619148717</v>
      </c>
      <c r="N14" s="184">
        <f t="shared" si="11"/>
        <v>0</v>
      </c>
      <c r="P14" s="184">
        <f t="shared" si="24"/>
        <v>-0.18432732957182713</v>
      </c>
      <c r="Q14" s="184">
        <f t="shared" si="14"/>
        <v>-2.8061748699922777E-2</v>
      </c>
      <c r="R14" s="184">
        <f t="shared" si="15"/>
        <v>-1.5243096496237458E-2</v>
      </c>
      <c r="S14" s="184">
        <f t="shared" si="16"/>
        <v>-2.683644367020695E-2</v>
      </c>
      <c r="T14" s="184">
        <f t="shared" si="17"/>
        <v>1.4068778839188995E-2</v>
      </c>
      <c r="U14" s="184">
        <f t="shared" si="18"/>
        <v>-2.7610500580562817E-3</v>
      </c>
      <c r="V14" s="184">
        <f t="shared" si="19"/>
        <v>0.36783297797063724</v>
      </c>
      <c r="W14" s="184">
        <f t="shared" si="20"/>
        <v>0</v>
      </c>
      <c r="X14" s="184">
        <f t="shared" si="21"/>
        <v>0</v>
      </c>
      <c r="Y14" s="184">
        <f t="shared" si="22"/>
        <v>0.96056181619148717</v>
      </c>
      <c r="Z14" s="184">
        <f t="shared" si="23"/>
        <v>0</v>
      </c>
      <c r="AB14" s="186">
        <f>Emissions_All!C11</f>
        <v>50790957.98828125</v>
      </c>
      <c r="AC14" s="186">
        <f>Emissions_All!D11</f>
        <v>56814.982311733067</v>
      </c>
      <c r="AD14" s="186">
        <f>Emissions_All!E11</f>
        <v>28700.533950328827</v>
      </c>
      <c r="AE14" s="186">
        <f>Emissions_All!F11</f>
        <v>17359.154684156179</v>
      </c>
      <c r="AF14" s="186">
        <f>Jobs_Creation!C10</f>
        <v>73849</v>
      </c>
      <c r="AG14" s="186">
        <f>PortfolioCost!D10/10^6</f>
        <v>15563.98505136337</v>
      </c>
      <c r="AH14" s="186">
        <f>DR_Peak_Capacity!C10</f>
        <v>44.748800582885742</v>
      </c>
      <c r="AI14" s="186">
        <f>DER_Participation!C10</f>
        <v>3393.1432043682003</v>
      </c>
      <c r="AJ14" s="186">
        <f>EE_Added!C10</f>
        <v>723.05135488510132</v>
      </c>
      <c r="AK14" s="186">
        <f>DR_Participation!C10</f>
        <v>423086.92728105397</v>
      </c>
      <c r="AL14" s="186">
        <f>DER_Storage_Participation!C10</f>
        <v>10699.067053731782</v>
      </c>
    </row>
    <row r="15" spans="1:38" s="59" customFormat="1" x14ac:dyDescent="0.35">
      <c r="A15" s="74" t="s">
        <v>167</v>
      </c>
      <c r="B15" s="74" t="s">
        <v>178</v>
      </c>
      <c r="C15" s="179">
        <f t="shared" si="12"/>
        <v>0.44997499227665827</v>
      </c>
      <c r="D15" s="180">
        <f t="shared" si="3"/>
        <v>-85.297479387361818</v>
      </c>
      <c r="E15" s="181">
        <f t="shared" si="13"/>
        <v>3.9137342703674576</v>
      </c>
      <c r="G15" s="184">
        <f t="shared" si="4"/>
        <v>0.344661602371994</v>
      </c>
      <c r="H15" s="184">
        <f t="shared" si="5"/>
        <v>0.43820367754597456</v>
      </c>
      <c r="I15" s="184">
        <f t="shared" si="6"/>
        <v>7.0992768691672772E-2</v>
      </c>
      <c r="J15" s="184">
        <f t="shared" si="7"/>
        <v>1.3651420070400098</v>
      </c>
      <c r="K15" s="184">
        <f t="shared" si="8"/>
        <v>0</v>
      </c>
      <c r="L15" s="184">
        <f t="shared" si="9"/>
        <v>0.21295007672903435</v>
      </c>
      <c r="M15" s="184">
        <f t="shared" si="10"/>
        <v>1.1678498058345808</v>
      </c>
      <c r="N15" s="184">
        <f t="shared" si="11"/>
        <v>0</v>
      </c>
      <c r="P15" s="184">
        <f t="shared" si="24"/>
        <v>0.344661602371994</v>
      </c>
      <c r="Q15" s="184">
        <f t="shared" si="14"/>
        <v>0.44916451884434139</v>
      </c>
      <c r="R15" s="184">
        <f t="shared" si="15"/>
        <v>0.42562961496519158</v>
      </c>
      <c r="S15" s="184">
        <f t="shared" si="16"/>
        <v>0.43981689882839081</v>
      </c>
      <c r="T15" s="184">
        <f t="shared" si="17"/>
        <v>7.0992768691672772E-2</v>
      </c>
      <c r="U15" s="184">
        <f t="shared" si="18"/>
        <v>6.6440162850766853E-3</v>
      </c>
      <c r="V15" s="184">
        <f t="shared" si="19"/>
        <v>1.3651420070400098</v>
      </c>
      <c r="W15" s="184">
        <f t="shared" si="20"/>
        <v>0</v>
      </c>
      <c r="X15" s="184">
        <f t="shared" si="21"/>
        <v>0.21295007672903435</v>
      </c>
      <c r="Y15" s="184">
        <f t="shared" si="22"/>
        <v>1.1678498058345808</v>
      </c>
      <c r="Z15" s="184">
        <f t="shared" si="23"/>
        <v>0</v>
      </c>
      <c r="AB15" s="186">
        <f>Emissions_All!C12</f>
        <v>46209782.11328125</v>
      </c>
      <c r="AC15" s="186">
        <f>Emissions_All!D12</f>
        <v>56772.289515838027</v>
      </c>
      <c r="AD15" s="186">
        <f>Emissions_All!E12</f>
        <v>25700.903895139694</v>
      </c>
      <c r="AE15" s="186">
        <f>Emissions_All!F12</f>
        <v>17219.708630651236</v>
      </c>
      <c r="AF15" s="186">
        <f>Jobs_Creation!C11</f>
        <v>79639</v>
      </c>
      <c r="AG15" s="186">
        <f>PortfolioCost!D11/10^6</f>
        <v>15443.240547117939</v>
      </c>
      <c r="AH15" s="186">
        <f>DR_Peak_Capacity!C11</f>
        <v>59.324800453186036</v>
      </c>
      <c r="AI15" s="186">
        <f>DER_Participation!C11</f>
        <v>3393.1432043682003</v>
      </c>
      <c r="AJ15" s="186">
        <f>EE_Added!C11</f>
        <v>737.98104047775269</v>
      </c>
      <c r="AK15" s="186">
        <f>DR_Participation!C11</f>
        <v>458257.98486171756</v>
      </c>
      <c r="AL15" s="186">
        <f>DER_Storage_Participation!C11</f>
        <v>10699.067053731782</v>
      </c>
    </row>
    <row r="16" spans="1:38" s="59" customFormat="1" x14ac:dyDescent="0.35">
      <c r="A16" s="74" t="s">
        <v>147</v>
      </c>
      <c r="B16" s="74" t="s">
        <v>179</v>
      </c>
      <c r="C16" s="179">
        <f t="shared" si="12"/>
        <v>0.55576329884737508</v>
      </c>
      <c r="D16" s="180">
        <f t="shared" si="3"/>
        <v>16503.722961464751</v>
      </c>
      <c r="E16" s="181">
        <f t="shared" si="13"/>
        <v>2.7350111472184122</v>
      </c>
      <c r="G16" s="184">
        <f t="shared" si="4"/>
        <v>2.6086346996948722</v>
      </c>
      <c r="H16" s="184">
        <f t="shared" si="5"/>
        <v>2.1051934664598106</v>
      </c>
      <c r="I16" s="184">
        <f t="shared" si="6"/>
        <v>3.6412083899352852</v>
      </c>
      <c r="J16" s="184">
        <f t="shared" si="7"/>
        <v>-1.4115590536474627</v>
      </c>
      <c r="K16" s="184">
        <f t="shared" si="8"/>
        <v>0</v>
      </c>
      <c r="L16" s="184">
        <f t="shared" si="9"/>
        <v>-1.5783096174785354</v>
      </c>
      <c r="M16" s="184">
        <f t="shared" si="10"/>
        <v>-0.91906149418496774</v>
      </c>
      <c r="N16" s="184">
        <f t="shared" si="11"/>
        <v>0</v>
      </c>
      <c r="P16" s="184">
        <f t="shared" si="24"/>
        <v>2.6086346996948722</v>
      </c>
      <c r="Q16" s="184">
        <f t="shared" si="14"/>
        <v>2.3893924722642406</v>
      </c>
      <c r="R16" s="184">
        <f t="shared" si="15"/>
        <v>1.5410079765160514</v>
      </c>
      <c r="S16" s="184">
        <f t="shared" si="16"/>
        <v>2.3851799505991407</v>
      </c>
      <c r="T16" s="184">
        <f t="shared" si="17"/>
        <v>3.6412083899352852</v>
      </c>
      <c r="U16" s="184">
        <f t="shared" si="18"/>
        <v>-1.2855128300146741</v>
      </c>
      <c r="V16" s="184">
        <f t="shared" si="19"/>
        <v>-1.4115590536474627</v>
      </c>
      <c r="W16" s="184">
        <f t="shared" si="20"/>
        <v>0</v>
      </c>
      <c r="X16" s="184">
        <f t="shared" si="21"/>
        <v>-1.5783096174785354</v>
      </c>
      <c r="Y16" s="184">
        <f t="shared" si="22"/>
        <v>-0.91906149418496774</v>
      </c>
      <c r="Z16" s="184">
        <f t="shared" si="23"/>
        <v>0</v>
      </c>
      <c r="AB16" s="186">
        <f>Emissions_All!C13</f>
        <v>26603211.334960938</v>
      </c>
      <c r="AC16" s="186">
        <f>Emissions_All!D13</f>
        <v>56598.716178327799</v>
      </c>
      <c r="AD16" s="186">
        <f>Emissions_All!E13</f>
        <v>18112.04123878479</v>
      </c>
      <c r="AE16" s="186">
        <f>Emissions_All!F13</f>
        <v>16638.392318308353</v>
      </c>
      <c r="AF16" s="186">
        <f>Jobs_Creation!C12</f>
        <v>442782</v>
      </c>
      <c r="AG16" s="186">
        <f>PortfolioCost!D12/10^6</f>
        <v>32032.260987970054</v>
      </c>
      <c r="AH16" s="186">
        <f>DR_Peak_Capacity!C12</f>
        <v>18.742400093078615</v>
      </c>
      <c r="AI16" s="186">
        <f>DER_Participation!C12</f>
        <v>3393.1432043682003</v>
      </c>
      <c r="AJ16" s="186">
        <f>EE_Added!C12</f>
        <v>612.39787817001343</v>
      </c>
      <c r="AK16" s="186">
        <f>DR_Participation!C12</f>
        <v>104166.66666666667</v>
      </c>
      <c r="AL16" s="186">
        <f>DER_Storage_Participation!C12</f>
        <v>10699.067053731782</v>
      </c>
    </row>
    <row r="17" spans="1:38" s="59" customFormat="1" x14ac:dyDescent="0.35">
      <c r="A17" s="74" t="s">
        <v>148</v>
      </c>
      <c r="B17" s="74" t="s">
        <v>180</v>
      </c>
      <c r="C17" s="179">
        <f t="shared" si="12"/>
        <v>7.731646147502913E-2</v>
      </c>
      <c r="D17" s="180">
        <f t="shared" si="3"/>
        <v>51115.404617267639</v>
      </c>
      <c r="E17" s="181">
        <f t="shared" si="13"/>
        <v>1.1160142368651615</v>
      </c>
      <c r="G17" s="184">
        <f t="shared" si="4"/>
        <v>3.3424348366086578</v>
      </c>
      <c r="H17" s="184">
        <f t="shared" si="5"/>
        <v>2.5747121030296483</v>
      </c>
      <c r="I17" s="184">
        <f t="shared" si="6"/>
        <v>-5.0484402053973088E-2</v>
      </c>
      <c r="J17" s="184">
        <f t="shared" si="7"/>
        <v>-1.4115590536474627</v>
      </c>
      <c r="K17" s="184">
        <f t="shared" si="8"/>
        <v>0</v>
      </c>
      <c r="L17" s="184">
        <f t="shared" si="9"/>
        <v>-2.9175102979516687</v>
      </c>
      <c r="M17" s="184">
        <f t="shared" si="10"/>
        <v>-0.91906149418496774</v>
      </c>
      <c r="N17" s="184">
        <f t="shared" si="11"/>
        <v>0</v>
      </c>
      <c r="P17" s="184">
        <f t="shared" si="24"/>
        <v>3.3424348366086578</v>
      </c>
      <c r="Q17" s="184">
        <f t="shared" si="14"/>
        <v>2.9677573250113243</v>
      </c>
      <c r="R17" s="184">
        <f t="shared" si="15"/>
        <v>1.8050128873236821</v>
      </c>
      <c r="S17" s="184">
        <f t="shared" si="16"/>
        <v>2.9513660967539379</v>
      </c>
      <c r="T17" s="184">
        <f t="shared" si="17"/>
        <v>-5.0484402053973088E-2</v>
      </c>
      <c r="U17" s="184">
        <f t="shared" si="18"/>
        <v>-3.9814960903256078</v>
      </c>
      <c r="V17" s="184">
        <f t="shared" si="19"/>
        <v>-1.4115590536474627</v>
      </c>
      <c r="W17" s="184">
        <f t="shared" si="20"/>
        <v>0</v>
      </c>
      <c r="X17" s="184">
        <f t="shared" si="21"/>
        <v>-2.9175102979516687</v>
      </c>
      <c r="Y17" s="184">
        <f t="shared" si="22"/>
        <v>-0.91906149418496774</v>
      </c>
      <c r="Z17" s="184">
        <f t="shared" si="23"/>
        <v>0</v>
      </c>
      <c r="AB17" s="186">
        <f>Emissions_All!C14</f>
        <v>20248319.424560547</v>
      </c>
      <c r="AC17" s="186">
        <f>Emissions_All!D14</f>
        <v>56546.975496201776</v>
      </c>
      <c r="AD17" s="186">
        <f>Emissions_All!E14</f>
        <v>16315.79246994853</v>
      </c>
      <c r="AE17" s="186">
        <f>Emissions_All!F14</f>
        <v>16469.203722748905</v>
      </c>
      <c r="AF17" s="186">
        <f>Jobs_Creation!C13</f>
        <v>67283</v>
      </c>
      <c r="AG17" s="186">
        <f>PortfolioCost!D13/10^6</f>
        <v>66643.942643772942</v>
      </c>
      <c r="AH17" s="186">
        <f>DR_Peak_Capacity!C13</f>
        <v>18.742400093078615</v>
      </c>
      <c r="AI17" s="186">
        <f>DER_Participation!C13</f>
        <v>3393.1432043682003</v>
      </c>
      <c r="AJ17" s="186">
        <f>EE_Added!C13</f>
        <v>518.50805473327637</v>
      </c>
      <c r="AK17" s="186">
        <f>DR_Participation!C13</f>
        <v>104166.66666666667</v>
      </c>
      <c r="AL17" s="186">
        <f>DER_Storage_Participation!C13</f>
        <v>10699.067053731782</v>
      </c>
    </row>
    <row r="18" spans="1:38" s="59" customFormat="1" x14ac:dyDescent="0.35">
      <c r="A18" s="74" t="s">
        <v>149</v>
      </c>
      <c r="B18" s="74" t="s">
        <v>181</v>
      </c>
      <c r="C18" s="179">
        <f t="shared" si="12"/>
        <v>0.51071179353031892</v>
      </c>
      <c r="D18" s="180">
        <f t="shared" si="3"/>
        <v>7817.6238106188011</v>
      </c>
      <c r="E18" s="181">
        <f t="shared" si="13"/>
        <v>3.1875621230304594</v>
      </c>
      <c r="G18" s="184">
        <f t="shared" si="4"/>
        <v>1.0853598035074417</v>
      </c>
      <c r="H18" s="184">
        <f t="shared" si="5"/>
        <v>1.0428086639438634</v>
      </c>
      <c r="I18" s="184">
        <f t="shared" si="6"/>
        <v>3.4209548243627128</v>
      </c>
      <c r="J18" s="184">
        <f t="shared" si="7"/>
        <v>0.1116635836702204</v>
      </c>
      <c r="K18" s="184">
        <f t="shared" si="8"/>
        <v>0</v>
      </c>
      <c r="L18" s="184">
        <f t="shared" si="9"/>
        <v>-1.5783096174785354</v>
      </c>
      <c r="M18" s="184">
        <f t="shared" si="10"/>
        <v>3.2170902368484841E-3</v>
      </c>
      <c r="N18" s="184">
        <f t="shared" si="11"/>
        <v>0</v>
      </c>
      <c r="P18" s="184">
        <f t="shared" si="24"/>
        <v>1.0853598035074417</v>
      </c>
      <c r="Q18" s="184">
        <f t="shared" si="14"/>
        <v>1.0952497877054412</v>
      </c>
      <c r="R18" s="184">
        <f t="shared" si="15"/>
        <v>0.94806727876147134</v>
      </c>
      <c r="S18" s="184">
        <f t="shared" si="16"/>
        <v>1.0851089253646777</v>
      </c>
      <c r="T18" s="184">
        <f t="shared" si="17"/>
        <v>3.4209548243627128</v>
      </c>
      <c r="U18" s="184">
        <f t="shared" si="18"/>
        <v>-0.60893264703025174</v>
      </c>
      <c r="V18" s="184">
        <f t="shared" si="19"/>
        <v>0.1116635836702204</v>
      </c>
      <c r="W18" s="184">
        <f t="shared" si="20"/>
        <v>0</v>
      </c>
      <c r="X18" s="184">
        <f t="shared" si="21"/>
        <v>-1.5783096174785354</v>
      </c>
      <c r="Y18" s="184">
        <f t="shared" si="22"/>
        <v>3.2170902368484841E-3</v>
      </c>
      <c r="Z18" s="184">
        <f t="shared" si="23"/>
        <v>0</v>
      </c>
      <c r="AB18" s="186">
        <f>Emissions_All!C15</f>
        <v>39795151.249023438</v>
      </c>
      <c r="AC18" s="186">
        <f>Emissions_All!D15</f>
        <v>56714.490546271205</v>
      </c>
      <c r="AD18" s="186">
        <f>Emissions_All!E15</f>
        <v>22146.318461418152</v>
      </c>
      <c r="AE18" s="186">
        <f>Emissions_All!F15</f>
        <v>17026.881496965885</v>
      </c>
      <c r="AF18" s="186">
        <f>Jobs_Creation!C14</f>
        <v>420379</v>
      </c>
      <c r="AG18" s="186">
        <f>PortfolioCost!D14/10^6</f>
        <v>23346.161837124102</v>
      </c>
      <c r="AH18" s="186">
        <f>DR_Peak_Capacity!C14</f>
        <v>41.004800529479979</v>
      </c>
      <c r="AI18" s="186">
        <f>DER_Participation!C14</f>
        <v>3393.1432043682003</v>
      </c>
      <c r="AJ18" s="186">
        <f>EE_Added!C14</f>
        <v>612.39787817001343</v>
      </c>
      <c r="AK18" s="186">
        <f>DR_Participation!C14</f>
        <v>260651.91819505094</v>
      </c>
      <c r="AL18" s="186">
        <f>DER_Storage_Participation!C14</f>
        <v>10699.067053731782</v>
      </c>
    </row>
    <row r="19" spans="1:38" s="59" customFormat="1" x14ac:dyDescent="0.35">
      <c r="A19" s="74" t="s">
        <v>150</v>
      </c>
      <c r="B19" s="74" t="s">
        <v>182</v>
      </c>
      <c r="C19" s="179">
        <f t="shared" ref="C19:C27" si="25">SUMPRODUCT($G$3:$N$3,G19:N19)</f>
        <v>0.73514928458402407</v>
      </c>
      <c r="D19" s="180">
        <f t="shared" ref="D19:D27" si="26">AG19-AG$6</f>
        <v>31423.051705113794</v>
      </c>
      <c r="E19" s="181">
        <f t="shared" si="13"/>
        <v>2.5657601559100027</v>
      </c>
      <c r="G19" s="184">
        <f t="shared" si="4"/>
        <v>1.3679836203963465</v>
      </c>
      <c r="H19" s="184">
        <f t="shared" si="5"/>
        <v>1.2306511878631408</v>
      </c>
      <c r="I19" s="184">
        <f t="shared" si="6"/>
        <v>-1.3223275708392173E-2</v>
      </c>
      <c r="J19" s="184">
        <f t="shared" si="7"/>
        <v>1.7811436024743972</v>
      </c>
      <c r="K19" s="184">
        <f t="shared" si="8"/>
        <v>0</v>
      </c>
      <c r="L19" s="184">
        <f t="shared" si="9"/>
        <v>0.21295007672903435</v>
      </c>
      <c r="M19" s="184">
        <f t="shared" si="10"/>
        <v>1.3016890649176656</v>
      </c>
      <c r="N19" s="184">
        <f t="shared" si="11"/>
        <v>0</v>
      </c>
      <c r="P19" s="184">
        <f t="shared" si="24"/>
        <v>1.3679836203963465</v>
      </c>
      <c r="Q19" s="184">
        <f t="shared" si="14"/>
        <v>1.3206942961744013</v>
      </c>
      <c r="R19" s="184">
        <f t="shared" si="15"/>
        <v>1.0615115484036772</v>
      </c>
      <c r="S19" s="184">
        <f t="shared" si="16"/>
        <v>1.3097477190113436</v>
      </c>
      <c r="T19" s="184">
        <f t="shared" si="17"/>
        <v>-1.3223275708392173E-2</v>
      </c>
      <c r="U19" s="184">
        <f t="shared" si="18"/>
        <v>-2.4476135608588234</v>
      </c>
      <c r="V19" s="184">
        <f t="shared" si="19"/>
        <v>1.7811436024743972</v>
      </c>
      <c r="W19" s="184">
        <f t="shared" si="20"/>
        <v>0</v>
      </c>
      <c r="X19" s="184">
        <f t="shared" si="21"/>
        <v>0.21295007672903435</v>
      </c>
      <c r="Y19" s="184">
        <f t="shared" si="22"/>
        <v>1.3016890649176656</v>
      </c>
      <c r="Z19" s="184">
        <f t="shared" si="23"/>
        <v>0</v>
      </c>
      <c r="AB19" s="186">
        <f>Emissions_All!C16</f>
        <v>37347558.618164063</v>
      </c>
      <c r="AC19" s="186">
        <f>Emissions_All!D16</f>
        <v>56694.32221724093</v>
      </c>
      <c r="AD19" s="186">
        <f>Emissions_All!E16</f>
        <v>21374.461115837097</v>
      </c>
      <c r="AE19" s="186">
        <f>Emissions_All!F16</f>
        <v>16959.754594862461</v>
      </c>
      <c r="AF19" s="186">
        <f>Jobs_Creation!C15</f>
        <v>71073</v>
      </c>
      <c r="AG19" s="186">
        <f>PortfolioCost!D15/10^6</f>
        <v>46951.589731619097</v>
      </c>
      <c r="AH19" s="186">
        <f>DR_Peak_Capacity!C15</f>
        <v>65.404800758361816</v>
      </c>
      <c r="AI19" s="186">
        <f>DER_Participation!C15</f>
        <v>3393.1432043682003</v>
      </c>
      <c r="AJ19" s="186">
        <f>EE_Added!C15</f>
        <v>737.98104047775269</v>
      </c>
      <c r="AK19" s="186">
        <f>DR_Participation!C15</f>
        <v>480966.81761111831</v>
      </c>
      <c r="AL19" s="186">
        <f>DER_Storage_Participation!C15</f>
        <v>10699.067053731782</v>
      </c>
    </row>
    <row r="20" spans="1:38" s="59" customFormat="1" x14ac:dyDescent="0.35">
      <c r="A20" s="74" t="s">
        <v>151</v>
      </c>
      <c r="B20" s="74" t="s">
        <v>183</v>
      </c>
      <c r="C20" s="179">
        <f t="shared" si="25"/>
        <v>-9.3909131912998989E-2</v>
      </c>
      <c r="D20" s="180">
        <f t="shared" si="26"/>
        <v>15313.315748352927</v>
      </c>
      <c r="E20" s="181">
        <f t="shared" si="13"/>
        <v>0.69551398369720507</v>
      </c>
      <c r="G20" s="184">
        <f t="shared" si="4"/>
        <v>-0.52386679482618481</v>
      </c>
      <c r="H20" s="184">
        <f t="shared" si="5"/>
        <v>-1.3611493829100165</v>
      </c>
      <c r="I20" s="184">
        <f t="shared" si="6"/>
        <v>0.54994079799281259</v>
      </c>
      <c r="J20" s="184">
        <f t="shared" si="7"/>
        <v>1.2015877396957093</v>
      </c>
      <c r="K20" s="184">
        <f t="shared" si="8"/>
        <v>0</v>
      </c>
      <c r="L20" s="184">
        <f t="shared" si="9"/>
        <v>-0.8665737269059256</v>
      </c>
      <c r="M20" s="184">
        <f t="shared" si="10"/>
        <v>0.24878831164961301</v>
      </c>
      <c r="N20" s="184">
        <f t="shared" si="11"/>
        <v>0</v>
      </c>
      <c r="P20" s="184">
        <f t="shared" si="24"/>
        <v>-0.52386679482618481</v>
      </c>
      <c r="Q20" s="184">
        <f t="shared" si="14"/>
        <v>-1.1076936922033449</v>
      </c>
      <c r="R20" s="184">
        <f t="shared" si="15"/>
        <v>-1.8060983994339594</v>
      </c>
      <c r="S20" s="184">
        <f t="shared" si="16"/>
        <v>-1.1696560570927454</v>
      </c>
      <c r="T20" s="184">
        <f t="shared" si="17"/>
        <v>0.54994079799281259</v>
      </c>
      <c r="U20" s="184">
        <f t="shared" si="18"/>
        <v>-1.1927892821842612</v>
      </c>
      <c r="V20" s="184">
        <f t="shared" si="19"/>
        <v>1.2015877396957093</v>
      </c>
      <c r="W20" s="184">
        <f t="shared" si="20"/>
        <v>0</v>
      </c>
      <c r="X20" s="184">
        <f t="shared" si="21"/>
        <v>-0.8665737269059256</v>
      </c>
      <c r="Y20" s="184">
        <f t="shared" si="22"/>
        <v>0.24878831164961301</v>
      </c>
      <c r="Z20" s="184">
        <f t="shared" si="23"/>
        <v>0</v>
      </c>
      <c r="AB20" s="186">
        <f>Emissions_All!C17</f>
        <v>53731454.306640625</v>
      </c>
      <c r="AC20" s="186">
        <f>Emissions_All!D17</f>
        <v>56911.566488549113</v>
      </c>
      <c r="AD20" s="186">
        <f>Emissions_All!E17</f>
        <v>40885.237724304199</v>
      </c>
      <c r="AE20" s="186">
        <f>Emissions_All!F17</f>
        <v>17700.653759479523</v>
      </c>
      <c r="AF20" s="186">
        <f>Jobs_Creation!C16</f>
        <v>128355</v>
      </c>
      <c r="AG20" s="186">
        <f>PortfolioCost!D16/10^6</f>
        <v>30841.853774858228</v>
      </c>
      <c r="AH20" s="186">
        <f>DR_Peak_Capacity!C16</f>
        <v>56.934400978088377</v>
      </c>
      <c r="AI20" s="186">
        <f>DER_Participation!C16</f>
        <v>3393.1432043682003</v>
      </c>
      <c r="AJ20" s="186">
        <f>EE_Added!C16</f>
        <v>662.29686498641968</v>
      </c>
      <c r="AK20" s="186">
        <f>DR_Participation!C16</f>
        <v>302318.58486171759</v>
      </c>
      <c r="AL20" s="186">
        <f>DER_Storage_Participation!C16</f>
        <v>10699.067053731782</v>
      </c>
    </row>
    <row r="21" spans="1:38" s="59" customFormat="1" x14ac:dyDescent="0.35">
      <c r="A21" s="74" t="s">
        <v>152</v>
      </c>
      <c r="B21" s="74" t="s">
        <v>184</v>
      </c>
      <c r="C21" s="179">
        <f t="shared" si="25"/>
        <v>-5.5748575633505659E-2</v>
      </c>
      <c r="D21" s="180">
        <f t="shared" si="26"/>
        <v>7317.0061187074916</v>
      </c>
      <c r="E21" s="181">
        <f t="shared" si="13"/>
        <v>0.75597615325267886</v>
      </c>
      <c r="G21" s="184">
        <f t="shared" si="4"/>
        <v>0.50416694528247552</v>
      </c>
      <c r="H21" s="184">
        <f t="shared" si="5"/>
        <v>0.59411396160129126</v>
      </c>
      <c r="I21" s="184">
        <f t="shared" si="6"/>
        <v>5.1556028115099295E-2</v>
      </c>
      <c r="J21" s="184">
        <f t="shared" si="7"/>
        <v>-1.7515922588375754E-2</v>
      </c>
      <c r="K21" s="184">
        <f t="shared" si="8"/>
        <v>0</v>
      </c>
      <c r="L21" s="184">
        <f t="shared" si="9"/>
        <v>-1.5783096174785354</v>
      </c>
      <c r="M21" s="184">
        <f t="shared" si="10"/>
        <v>0</v>
      </c>
      <c r="N21" s="184">
        <f t="shared" si="11"/>
        <v>0</v>
      </c>
      <c r="P21" s="184">
        <f t="shared" si="24"/>
        <v>0.50416694528247552</v>
      </c>
      <c r="Q21" s="184">
        <f t="shared" si="14"/>
        <v>0.62488362466979919</v>
      </c>
      <c r="R21" s="184">
        <f t="shared" si="15"/>
        <v>0.53800789228170276</v>
      </c>
      <c r="S21" s="184">
        <f t="shared" si="16"/>
        <v>0.61945036785237206</v>
      </c>
      <c r="T21" s="184">
        <f t="shared" si="17"/>
        <v>5.1556028115099295E-2</v>
      </c>
      <c r="U21" s="184">
        <f t="shared" si="18"/>
        <v>-0.56993838692379117</v>
      </c>
      <c r="V21" s="184">
        <f t="shared" si="19"/>
        <v>-1.7515922588375754E-2</v>
      </c>
      <c r="W21" s="184">
        <f t="shared" si="20"/>
        <v>0</v>
      </c>
      <c r="X21" s="184">
        <f t="shared" si="21"/>
        <v>-1.5783096174785354</v>
      </c>
      <c r="Y21" s="184">
        <f t="shared" si="22"/>
        <v>0</v>
      </c>
      <c r="Z21" s="184">
        <f t="shared" si="23"/>
        <v>0</v>
      </c>
      <c r="AB21" s="186">
        <f>Emissions_All!C18</f>
        <v>44828426.125</v>
      </c>
      <c r="AC21" s="186">
        <f>Emissions_All!D18</f>
        <v>56756.569635290653</v>
      </c>
      <c r="AD21" s="186">
        <f>Emissions_All!E18</f>
        <v>24936.299397230148</v>
      </c>
      <c r="AE21" s="186">
        <f>Emissions_All!F18</f>
        <v>17166.030287325382</v>
      </c>
      <c r="AF21" s="186">
        <f>Jobs_Creation!C17</f>
        <v>77662</v>
      </c>
      <c r="AG21" s="186">
        <f>PortfolioCost!D17/10^6</f>
        <v>22845.544145212793</v>
      </c>
      <c r="AH21" s="186">
        <f>DR_Peak_Capacity!C17</f>
        <v>39.116799507141117</v>
      </c>
      <c r="AI21" s="186">
        <f>DER_Participation!C17</f>
        <v>3393.1432043682003</v>
      </c>
      <c r="AJ21" s="186">
        <f>EE_Added!C17</f>
        <v>612.39787817001343</v>
      </c>
      <c r="AK21" s="186">
        <f>DR_Participation!C17</f>
        <v>260106.06666666665</v>
      </c>
      <c r="AL21" s="186">
        <f>DER_Storage_Participation!C17</f>
        <v>10699.067053731782</v>
      </c>
    </row>
    <row r="22" spans="1:38" s="59" customFormat="1" x14ac:dyDescent="0.35">
      <c r="A22" s="74" t="s">
        <v>153</v>
      </c>
      <c r="B22" s="74" t="s">
        <v>185</v>
      </c>
      <c r="C22" s="179">
        <f t="shared" si="25"/>
        <v>-0.22109071966287236</v>
      </c>
      <c r="D22" s="180">
        <f t="shared" si="26"/>
        <v>23481.904158235549</v>
      </c>
      <c r="E22" s="181">
        <f t="shared" si="13"/>
        <v>0.43325246451742805</v>
      </c>
      <c r="G22" s="184">
        <f t="shared" si="4"/>
        <v>-0.79882860064133798</v>
      </c>
      <c r="H22" s="184">
        <f t="shared" si="5"/>
        <v>-1.7266885142739621</v>
      </c>
      <c r="I22" s="184">
        <f t="shared" si="6"/>
        <v>0.56599552604619874</v>
      </c>
      <c r="J22" s="184">
        <f t="shared" si="7"/>
        <v>0.13509097405023218</v>
      </c>
      <c r="K22" s="184">
        <f t="shared" si="8"/>
        <v>0</v>
      </c>
      <c r="L22" s="184">
        <f t="shared" si="9"/>
        <v>-0.8665737269059256</v>
      </c>
      <c r="M22" s="184">
        <f t="shared" si="10"/>
        <v>0.92227858442181632</v>
      </c>
      <c r="N22" s="184">
        <f t="shared" si="11"/>
        <v>0</v>
      </c>
      <c r="P22" s="184">
        <f t="shared" si="24"/>
        <v>-0.79882860064133798</v>
      </c>
      <c r="Q22" s="184">
        <f t="shared" si="14"/>
        <v>-1.4303250497128188</v>
      </c>
      <c r="R22" s="184">
        <f t="shared" si="15"/>
        <v>-2.2231136277950667</v>
      </c>
      <c r="S22" s="184">
        <f t="shared" si="16"/>
        <v>-1.5266268653140005</v>
      </c>
      <c r="T22" s="184">
        <f t="shared" si="17"/>
        <v>0.56599552604619874</v>
      </c>
      <c r="U22" s="184">
        <f t="shared" si="18"/>
        <v>-1.8290593667301605</v>
      </c>
      <c r="V22" s="184">
        <f t="shared" si="19"/>
        <v>0.13509097405023218</v>
      </c>
      <c r="W22" s="184">
        <f t="shared" si="20"/>
        <v>0</v>
      </c>
      <c r="X22" s="184">
        <f t="shared" si="21"/>
        <v>-0.8665737269059256</v>
      </c>
      <c r="Y22" s="184">
        <f t="shared" si="22"/>
        <v>0.92227858442181632</v>
      </c>
      <c r="Z22" s="184">
        <f t="shared" si="23"/>
        <v>0</v>
      </c>
      <c r="AB22" s="186">
        <f>Emissions_All!C19</f>
        <v>56112692.013671875</v>
      </c>
      <c r="AC22" s="186">
        <f>Emissions_All!D19</f>
        <v>56940.429180383682</v>
      </c>
      <c r="AD22" s="186">
        <f>Emissions_All!E19</f>
        <v>43722.545137405396</v>
      </c>
      <c r="AE22" s="186">
        <f>Emissions_All!F19</f>
        <v>17807.324313163757</v>
      </c>
      <c r="AF22" s="186">
        <f>Jobs_Creation!C18</f>
        <v>129988</v>
      </c>
      <c r="AG22" s="186">
        <f>PortfolioCost!D18/10^6</f>
        <v>39010.442184740852</v>
      </c>
      <c r="AH22" s="186">
        <f>DR_Peak_Capacity!C18</f>
        <v>41.347199554443357</v>
      </c>
      <c r="AI22" s="186">
        <f>DER_Participation!C18</f>
        <v>3393.1432043682003</v>
      </c>
      <c r="AJ22" s="186">
        <f>EE_Added!C18</f>
        <v>662.29686498641968</v>
      </c>
      <c r="AK22" s="186">
        <f>DR_Participation!C18</f>
        <v>416591.31819505093</v>
      </c>
      <c r="AL22" s="186">
        <f>DER_Storage_Participation!C18</f>
        <v>10699.067053731782</v>
      </c>
    </row>
    <row r="23" spans="1:38" s="59" customFormat="1" x14ac:dyDescent="0.35">
      <c r="A23" s="74" t="s">
        <v>154</v>
      </c>
      <c r="B23" s="74" t="s">
        <v>186</v>
      </c>
      <c r="C23" s="179">
        <f t="shared" si="25"/>
        <v>0.74979888063900235</v>
      </c>
      <c r="D23" s="180">
        <f t="shared" si="26"/>
        <v>547.21043566541448</v>
      </c>
      <c r="E23" s="181">
        <f t="shared" si="13"/>
        <v>5.6641615623895909</v>
      </c>
      <c r="G23" s="184">
        <f t="shared" si="4"/>
        <v>3.397917172885391E-2</v>
      </c>
      <c r="H23" s="184">
        <f t="shared" si="5"/>
        <v>-0.17373144376354521</v>
      </c>
      <c r="I23" s="184">
        <f t="shared" si="6"/>
        <v>5.3669785942091354E-2</v>
      </c>
      <c r="J23" s="184">
        <f t="shared" si="7"/>
        <v>2.0502309059006256</v>
      </c>
      <c r="K23" s="184">
        <f t="shared" si="8"/>
        <v>1.141702685069792</v>
      </c>
      <c r="L23" s="184">
        <f t="shared" si="9"/>
        <v>0.44204543959964415</v>
      </c>
      <c r="M23" s="184">
        <f t="shared" si="10"/>
        <v>2.4504945006345564</v>
      </c>
      <c r="N23" s="184">
        <f t="shared" si="11"/>
        <v>0</v>
      </c>
      <c r="P23" s="184">
        <f t="shared" si="24"/>
        <v>3.397917172885391E-2</v>
      </c>
      <c r="Q23" s="184">
        <f t="shared" si="14"/>
        <v>5.8393827803741069E-2</v>
      </c>
      <c r="R23" s="184">
        <f t="shared" si="15"/>
        <v>-0.58540337645461504</v>
      </c>
      <c r="S23" s="184">
        <f t="shared" si="16"/>
        <v>5.8152173602383792E-3</v>
      </c>
      <c r="T23" s="184">
        <f t="shared" si="17"/>
        <v>5.3669785942091354E-2</v>
      </c>
      <c r="U23" s="184">
        <f t="shared" si="18"/>
        <v>-4.2623475770183251E-2</v>
      </c>
      <c r="V23" s="184">
        <f t="shared" si="19"/>
        <v>2.0502309059006256</v>
      </c>
      <c r="W23" s="184">
        <f t="shared" si="20"/>
        <v>1.141702685069792</v>
      </c>
      <c r="X23" s="184">
        <f t="shared" si="21"/>
        <v>0.44204543959964415</v>
      </c>
      <c r="Y23" s="184">
        <f t="shared" si="22"/>
        <v>2.4504945006345564</v>
      </c>
      <c r="Z23" s="184">
        <f t="shared" si="23"/>
        <v>0</v>
      </c>
      <c r="AB23" s="186">
        <f>Emissions_All!C20</f>
        <v>48900369.326171875</v>
      </c>
      <c r="AC23" s="186">
        <f>Emissions_All!D20</f>
        <v>56807.247971583158</v>
      </c>
      <c r="AD23" s="186">
        <f>Emissions_All!E20</f>
        <v>32579.816717386246</v>
      </c>
      <c r="AE23" s="186">
        <f>Emissions_All!F20</f>
        <v>17349.397665709257</v>
      </c>
      <c r="AF23" s="186">
        <f>Jobs_Creation!C19</f>
        <v>77877</v>
      </c>
      <c r="AG23" s="186">
        <f>PortfolioCost!D19/10^6</f>
        <v>16075.748462170715</v>
      </c>
      <c r="AH23" s="186">
        <f>DR_Peak_Capacity!C19</f>
        <v>69.337600307464598</v>
      </c>
      <c r="AI23" s="186">
        <f>DER_Participation!C19</f>
        <v>84752.005309899512</v>
      </c>
      <c r="AJ23" s="186">
        <f>EE_Added!C19</f>
        <v>754.04265356063843</v>
      </c>
      <c r="AK23" s="186">
        <f>DR_Participation!C19</f>
        <v>675887.43118909991</v>
      </c>
      <c r="AL23" s="186">
        <f>DER_Storage_Participation!C19</f>
        <v>10699.067053731782</v>
      </c>
    </row>
    <row r="24" spans="1:38" s="59" customFormat="1" x14ac:dyDescent="0.35">
      <c r="A24" s="74" t="s">
        <v>155</v>
      </c>
      <c r="B24" s="74" t="s">
        <v>187</v>
      </c>
      <c r="C24" s="179">
        <f t="shared" si="25"/>
        <v>0.76968153670304029</v>
      </c>
      <c r="D24" s="180">
        <f t="shared" si="26"/>
        <v>1087.8921567838315</v>
      </c>
      <c r="E24" s="181">
        <f t="shared" si="13"/>
        <v>5.6320510976966416</v>
      </c>
      <c r="G24" s="184">
        <f t="shared" si="4"/>
        <v>-8.5467385164264414E-3</v>
      </c>
      <c r="H24" s="184">
        <f t="shared" si="5"/>
        <v>2.850458948976763E-2</v>
      </c>
      <c r="I24" s="184">
        <f t="shared" si="6"/>
        <v>5.3020911446363554E-2</v>
      </c>
      <c r="J24" s="184">
        <f t="shared" si="7"/>
        <v>2.0502309059006256</v>
      </c>
      <c r="K24" s="184">
        <f t="shared" si="8"/>
        <v>1.141702685069792</v>
      </c>
      <c r="L24" s="184">
        <f t="shared" si="9"/>
        <v>0.44204543959964415</v>
      </c>
      <c r="M24" s="184">
        <f t="shared" si="10"/>
        <v>2.4504945006345564</v>
      </c>
      <c r="N24" s="184">
        <f t="shared" si="11"/>
        <v>0</v>
      </c>
      <c r="P24" s="184">
        <f t="shared" si="24"/>
        <v>-8.5467385164264414E-3</v>
      </c>
      <c r="Q24" s="184">
        <f t="shared" si="14"/>
        <v>1.8234318407720409E-2</v>
      </c>
      <c r="R24" s="184">
        <f t="shared" si="15"/>
        <v>4.8640870635242042E-2</v>
      </c>
      <c r="S24" s="184">
        <f t="shared" si="16"/>
        <v>1.8638579426340438E-2</v>
      </c>
      <c r="T24" s="184">
        <f t="shared" si="17"/>
        <v>5.3020911446363554E-2</v>
      </c>
      <c r="U24" s="184">
        <f t="shared" si="18"/>
        <v>-8.4738414991778935E-2</v>
      </c>
      <c r="V24" s="184">
        <f t="shared" si="19"/>
        <v>2.0502309059006256</v>
      </c>
      <c r="W24" s="184">
        <f t="shared" si="20"/>
        <v>1.141702685069792</v>
      </c>
      <c r="X24" s="184">
        <f t="shared" si="21"/>
        <v>0.44204543959964415</v>
      </c>
      <c r="Y24" s="184">
        <f t="shared" si="22"/>
        <v>2.4504945006345564</v>
      </c>
      <c r="Z24" s="184">
        <f t="shared" si="23"/>
        <v>0</v>
      </c>
      <c r="AB24" s="186">
        <f>Emissions_All!C21</f>
        <v>49268654.298339844</v>
      </c>
      <c r="AC24" s="186">
        <f>Emissions_All!D21</f>
        <v>56810.840652570128</v>
      </c>
      <c r="AD24" s="186">
        <f>Emissions_All!E21</f>
        <v>28265.877273082733</v>
      </c>
      <c r="AE24" s="186">
        <f>Emissions_All!F21</f>
        <v>17345.565769374371</v>
      </c>
      <c r="AF24" s="186">
        <f>Jobs_Creation!C20</f>
        <v>77811</v>
      </c>
      <c r="AG24" s="186">
        <f>PortfolioCost!D20/10^6</f>
        <v>16616.430183289132</v>
      </c>
      <c r="AH24" s="186">
        <f>DR_Peak_Capacity!C20</f>
        <v>69.337600307464598</v>
      </c>
      <c r="AI24" s="186">
        <f>DER_Participation!C20</f>
        <v>84752.005309899512</v>
      </c>
      <c r="AJ24" s="186">
        <f>EE_Added!C20</f>
        <v>754.04265356063843</v>
      </c>
      <c r="AK24" s="186">
        <f>DR_Participation!C20</f>
        <v>675887.43118909991</v>
      </c>
      <c r="AL24" s="186">
        <f>DER_Storage_Participation!C20</f>
        <v>10699.067053731782</v>
      </c>
    </row>
    <row r="25" spans="1:38" s="59" customFormat="1" x14ac:dyDescent="0.35">
      <c r="A25" s="74" t="s">
        <v>156</v>
      </c>
      <c r="B25" s="74" t="s">
        <v>188</v>
      </c>
      <c r="C25" s="179">
        <f t="shared" si="25"/>
        <v>0.63050586567703382</v>
      </c>
      <c r="D25" s="180">
        <f t="shared" si="26"/>
        <v>743.39867495197723</v>
      </c>
      <c r="E25" s="181">
        <f t="shared" si="13"/>
        <v>4.8748052997315749</v>
      </c>
      <c r="G25" s="184">
        <f t="shared" si="4"/>
        <v>-6.8664926439575271E-3</v>
      </c>
      <c r="H25" s="184">
        <f t="shared" si="5"/>
        <v>-0.24592169582186849</v>
      </c>
      <c r="I25" s="184">
        <f t="shared" si="6"/>
        <v>6.1200662665235148E-2</v>
      </c>
      <c r="J25" s="184">
        <f t="shared" si="7"/>
        <v>2.0502309059006256</v>
      </c>
      <c r="K25" s="184">
        <f t="shared" si="8"/>
        <v>1.141702685069792</v>
      </c>
      <c r="L25" s="184">
        <f t="shared" si="9"/>
        <v>-0.40679364038811267</v>
      </c>
      <c r="M25" s="184">
        <f t="shared" si="10"/>
        <v>2.4504945006345564</v>
      </c>
      <c r="N25" s="184">
        <f t="shared" si="11"/>
        <v>0</v>
      </c>
      <c r="P25" s="184">
        <f t="shared" si="24"/>
        <v>-6.8664926439575271E-3</v>
      </c>
      <c r="Q25" s="184">
        <f t="shared" si="14"/>
        <v>2.7147495080274E-2</v>
      </c>
      <c r="R25" s="184">
        <f t="shared" si="15"/>
        <v>-0.72912709263479714</v>
      </c>
      <c r="S25" s="184">
        <f t="shared" si="16"/>
        <v>-3.5785489911082331E-2</v>
      </c>
      <c r="T25" s="184">
        <f t="shared" si="17"/>
        <v>6.1200662665235148E-2</v>
      </c>
      <c r="U25" s="184">
        <f t="shared" si="18"/>
        <v>-5.7905027653339783E-2</v>
      </c>
      <c r="V25" s="184">
        <f t="shared" si="19"/>
        <v>2.0502309059006256</v>
      </c>
      <c r="W25" s="184">
        <f t="shared" si="20"/>
        <v>1.141702685069792</v>
      </c>
      <c r="X25" s="184">
        <f t="shared" si="21"/>
        <v>-0.40679364038811267</v>
      </c>
      <c r="Y25" s="184">
        <f t="shared" si="22"/>
        <v>2.4504945006345564</v>
      </c>
      <c r="Z25" s="184">
        <f t="shared" si="23"/>
        <v>0</v>
      </c>
      <c r="AB25" s="186">
        <f>Emissions_All!C22</f>
        <v>49254102.950683594</v>
      </c>
      <c r="AC25" s="186">
        <f>Emissions_All!D22</f>
        <v>56810.043277282268</v>
      </c>
      <c r="AD25" s="186">
        <f>Emissions_All!E22</f>
        <v>33557.690755605698</v>
      </c>
      <c r="AE25" s="186">
        <f>Emissions_All!F22</f>
        <v>17361.828851610422</v>
      </c>
      <c r="AF25" s="186">
        <f>Jobs_Creation!C21</f>
        <v>78643</v>
      </c>
      <c r="AG25" s="186">
        <f>PortfolioCost!D21/10^6</f>
        <v>16271.936701457278</v>
      </c>
      <c r="AH25" s="186">
        <f>DR_Peak_Capacity!C21</f>
        <v>69.337600307464598</v>
      </c>
      <c r="AI25" s="186">
        <f>DER_Participation!C21</f>
        <v>84752.005309899512</v>
      </c>
      <c r="AJ25" s="186">
        <f>EE_Added!C21</f>
        <v>694.53151941299438</v>
      </c>
      <c r="AK25" s="186">
        <f>DR_Participation!C21</f>
        <v>675887.43118909991</v>
      </c>
      <c r="AL25" s="186">
        <f>DER_Storage_Participation!C21</f>
        <v>10699.067053731782</v>
      </c>
    </row>
    <row r="26" spans="1:38" s="8" customFormat="1" x14ac:dyDescent="0.35">
      <c r="A26" s="75" t="s">
        <v>168</v>
      </c>
      <c r="B26" s="75" t="s">
        <v>189</v>
      </c>
      <c r="C26" s="182">
        <f t="shared" si="25"/>
        <v>0.84112396576171466</v>
      </c>
      <c r="D26" s="183">
        <f t="shared" si="26"/>
        <v>566.91244621569786</v>
      </c>
      <c r="E26" s="181">
        <f t="shared" si="13"/>
        <v>6.2258491751273075</v>
      </c>
      <c r="G26" s="185">
        <f>AVERAGE(P26)</f>
        <v>0.36034706426550694</v>
      </c>
      <c r="H26" s="185">
        <f t="shared" si="5"/>
        <v>0.23050134468150074</v>
      </c>
      <c r="I26" s="185">
        <f t="shared" si="6"/>
        <v>5.3669785942091354E-2</v>
      </c>
      <c r="J26" s="185">
        <f t="shared" si="7"/>
        <v>2.0502309059006256</v>
      </c>
      <c r="K26" s="185">
        <f t="shared" si="8"/>
        <v>1.141702685069792</v>
      </c>
      <c r="L26" s="185">
        <f t="shared" si="9"/>
        <v>0.44204543959964415</v>
      </c>
      <c r="M26" s="185">
        <f t="shared" si="10"/>
        <v>2.4504945006345564</v>
      </c>
      <c r="N26" s="185">
        <f t="shared" si="11"/>
        <v>0</v>
      </c>
      <c r="P26" s="184">
        <f t="shared" si="24"/>
        <v>0.36034706426550694</v>
      </c>
      <c r="Q26" s="184">
        <f t="shared" si="14"/>
        <v>0.47971622565020677</v>
      </c>
      <c r="R26" s="184">
        <f t="shared" si="15"/>
        <v>-0.2045304568639898</v>
      </c>
      <c r="S26" s="184">
        <f t="shared" si="16"/>
        <v>0.4163182652582853</v>
      </c>
      <c r="T26" s="184">
        <f t="shared" si="17"/>
        <v>5.3669785942091354E-2</v>
      </c>
      <c r="U26" s="184">
        <f t="shared" si="18"/>
        <v>-4.4158110555232132E-2</v>
      </c>
      <c r="V26" s="184">
        <f t="shared" si="19"/>
        <v>2.0502309059006256</v>
      </c>
      <c r="W26" s="184">
        <f t="shared" si="20"/>
        <v>1.141702685069792</v>
      </c>
      <c r="X26" s="184">
        <f t="shared" si="21"/>
        <v>0.44204543959964415</v>
      </c>
      <c r="Y26" s="184">
        <f t="shared" si="22"/>
        <v>2.4504945006345564</v>
      </c>
      <c r="Z26" s="184">
        <f t="shared" si="23"/>
        <v>0</v>
      </c>
      <c r="AB26" s="187">
        <f>Emissions_All!C23</f>
        <v>46073942.107421875</v>
      </c>
      <c r="AC26" s="187">
        <f>Emissions_All!D23</f>
        <v>56769.55635156855</v>
      </c>
      <c r="AD26" s="187">
        <f>Emissions_All!E23</f>
        <v>29988.41600894928</v>
      </c>
      <c r="AE26" s="187">
        <f>Emissions_All!F23</f>
        <v>17226.730527669191</v>
      </c>
      <c r="AF26" s="187">
        <f>Jobs_Creation!C22</f>
        <v>77877</v>
      </c>
      <c r="AG26" s="187">
        <f>PortfolioCost!D22/10^6</f>
        <v>16095.450472720999</v>
      </c>
      <c r="AH26" s="187">
        <f>DR_Peak_Capacity!C22</f>
        <v>69.337600307464598</v>
      </c>
      <c r="AI26" s="186">
        <f>DER_Participation!C22</f>
        <v>84752.005309899512</v>
      </c>
      <c r="AJ26" s="187">
        <f>EE_Added!C22</f>
        <v>754.04265356063843</v>
      </c>
      <c r="AK26" s="187">
        <f>DR_Participation!C22</f>
        <v>675887.43118909991</v>
      </c>
      <c r="AL26" s="187">
        <f>DER_Storage_Participation!C22</f>
        <v>10699.067053731782</v>
      </c>
    </row>
    <row r="27" spans="1:38" s="59" customFormat="1" x14ac:dyDescent="0.35">
      <c r="A27" s="74" t="s">
        <v>157</v>
      </c>
      <c r="B27" s="74" t="s">
        <v>190</v>
      </c>
      <c r="C27" s="179">
        <f t="shared" si="25"/>
        <v>0.21046470023584715</v>
      </c>
      <c r="D27" s="180">
        <f t="shared" si="26"/>
        <v>306.53708125396224</v>
      </c>
      <c r="E27" s="181">
        <f t="shared" si="13"/>
        <v>2.3291045277879259</v>
      </c>
      <c r="G27" s="184">
        <f>AVERAGE(P27)</f>
        <v>7.5234361936128674E-2</v>
      </c>
      <c r="H27" s="184">
        <f>AVERAGE(Q27:S27)</f>
        <v>8.1371046363693522E-2</v>
      </c>
      <c r="I27" s="184">
        <f t="shared" ref="I27" si="27">AVERAGE(T27)</f>
        <v>-2.0714826704522162E-2</v>
      </c>
      <c r="J27" s="184">
        <f t="shared" ref="J27" si="28">AVERAGE(V27)</f>
        <v>1.2828174903467091</v>
      </c>
      <c r="K27" s="184">
        <f t="shared" ref="K27" si="29">AVERAGE(W27)</f>
        <v>0</v>
      </c>
      <c r="L27" s="184">
        <f t="shared" ref="L27" si="30">AVERAGE(X27)</f>
        <v>0</v>
      </c>
      <c r="M27" s="184">
        <f t="shared" ref="M27" si="31">AVERAGE(Y27)</f>
        <v>0.26500952994476806</v>
      </c>
      <c r="N27" s="184">
        <f>AVERAGE(Z27)</f>
        <v>0</v>
      </c>
      <c r="P27" s="184">
        <f t="shared" si="24"/>
        <v>7.5234361936128674E-2</v>
      </c>
      <c r="Q27" s="184">
        <f t="shared" si="14"/>
        <v>8.4912498936845715E-2</v>
      </c>
      <c r="R27" s="184">
        <f t="shared" si="15"/>
        <v>7.4006691179558812E-2</v>
      </c>
      <c r="S27" s="184">
        <f t="shared" si="16"/>
        <v>8.5193948974676012E-2</v>
      </c>
      <c r="T27" s="184">
        <f>IFERROR((AF27-AF$6)/_xlfn.STDEV.P(AF$6:AF$27),0)</f>
        <v>-2.0714826704522162E-2</v>
      </c>
      <c r="U27" s="184">
        <f t="shared" si="18"/>
        <v>-2.3876876250729637E-2</v>
      </c>
      <c r="V27" s="184">
        <f t="shared" si="19"/>
        <v>1.2828174903467091</v>
      </c>
      <c r="W27" s="184">
        <f t="shared" si="20"/>
        <v>0</v>
      </c>
      <c r="X27" s="184">
        <f>IFERROR((AJ27-AJ$6)/_xlfn.STDEV.P(AJ$6:AJ$27),0)</f>
        <v>0</v>
      </c>
      <c r="Y27" s="184">
        <f t="shared" si="22"/>
        <v>0.26500952994476806</v>
      </c>
      <c r="Z27" s="184">
        <f t="shared" si="23"/>
        <v>0</v>
      </c>
      <c r="AB27" s="186">
        <f>Emissions_All!C24</f>
        <v>48543089.105957031</v>
      </c>
      <c r="AC27" s="186">
        <f>Emissions_All!D24</f>
        <v>56804.875603817403</v>
      </c>
      <c r="AD27" s="186">
        <f>Emissions_All!E24</f>
        <v>28093.292135238647</v>
      </c>
      <c r="AE27" s="186">
        <f>Emissions_All!F24</f>
        <v>17325.677593767643</v>
      </c>
      <c r="AF27" s="186">
        <f>Jobs_Creation!C23</f>
        <v>70311</v>
      </c>
      <c r="AG27" s="186">
        <f>PortfolioCost!D23/10^6</f>
        <v>15835.075107759263</v>
      </c>
      <c r="AH27" s="186">
        <f>DR_Peak_Capacity!C23</f>
        <v>58.121600532531737</v>
      </c>
      <c r="AI27" s="186">
        <f>DER_Participation!C23</f>
        <v>3393.1432043682003</v>
      </c>
      <c r="AJ27" s="186">
        <f>EE_Added!C23</f>
        <v>723.05135488510132</v>
      </c>
      <c r="AK27" s="186">
        <f>DR_Participation!C23</f>
        <v>305070.87843969924</v>
      </c>
      <c r="AL27" s="186">
        <f>DER_Storage_Participation!C23</f>
        <v>10699.067053731782</v>
      </c>
    </row>
    <row r="29" spans="1:38" x14ac:dyDescent="0.35">
      <c r="H29" s="15"/>
      <c r="I29" s="7"/>
    </row>
    <row r="87" spans="1:3" ht="29" x14ac:dyDescent="0.35">
      <c r="A87" s="64" t="s">
        <v>1</v>
      </c>
      <c r="B87" s="65"/>
      <c r="C87" s="63" t="s">
        <v>46</v>
      </c>
    </row>
    <row r="88" spans="1:3" x14ac:dyDescent="0.35">
      <c r="A88" s="66" t="s">
        <v>158</v>
      </c>
      <c r="B88" s="67" t="s">
        <v>169</v>
      </c>
      <c r="C88" s="68">
        <v>0</v>
      </c>
    </row>
    <row r="89" spans="1:3" x14ac:dyDescent="0.35">
      <c r="A89" s="66" t="s">
        <v>159</v>
      </c>
      <c r="B89" s="67" t="s">
        <v>170</v>
      </c>
      <c r="C89" s="68">
        <v>1579.2706852426909</v>
      </c>
    </row>
    <row r="90" spans="1:3" x14ac:dyDescent="0.35">
      <c r="A90" s="66" t="s">
        <v>160</v>
      </c>
      <c r="B90" s="67" t="s">
        <v>171</v>
      </c>
      <c r="C90" s="68">
        <v>826.37179311937325</v>
      </c>
    </row>
    <row r="91" spans="1:3" x14ac:dyDescent="0.35">
      <c r="A91" s="66" t="s">
        <v>161</v>
      </c>
      <c r="B91" s="67" t="s">
        <v>172</v>
      </c>
      <c r="C91" s="68">
        <v>10.982871260399406</v>
      </c>
    </row>
    <row r="92" spans="1:3" x14ac:dyDescent="0.35">
      <c r="A92" s="66" t="s">
        <v>162</v>
      </c>
      <c r="B92" s="67" t="s">
        <v>173</v>
      </c>
      <c r="C92" s="68">
        <v>8.1499193631516391</v>
      </c>
    </row>
    <row r="93" spans="1:3" x14ac:dyDescent="0.35">
      <c r="A93" s="66" t="s">
        <v>163</v>
      </c>
      <c r="B93" s="67" t="s">
        <v>174</v>
      </c>
      <c r="C93" s="68">
        <v>346.37932068499504</v>
      </c>
    </row>
    <row r="94" spans="1:3" x14ac:dyDescent="0.35">
      <c r="A94" s="66" t="s">
        <v>164</v>
      </c>
      <c r="B94" s="67" t="s">
        <v>175</v>
      </c>
      <c r="C94" s="68">
        <v>443.54720437184915</v>
      </c>
    </row>
    <row r="95" spans="1:3" x14ac:dyDescent="0.35">
      <c r="A95" s="66" t="s">
        <v>165</v>
      </c>
      <c r="B95" s="67" t="s">
        <v>176</v>
      </c>
      <c r="C95" s="68">
        <v>-119.32431697894026</v>
      </c>
    </row>
    <row r="96" spans="1:3" x14ac:dyDescent="0.35">
      <c r="A96" s="66" t="s">
        <v>166</v>
      </c>
      <c r="B96" s="67" t="s">
        <v>177</v>
      </c>
      <c r="C96" s="68">
        <v>35.447024858069199</v>
      </c>
    </row>
    <row r="97" spans="1:3" x14ac:dyDescent="0.35">
      <c r="A97" s="66" t="s">
        <v>167</v>
      </c>
      <c r="B97" s="67" t="s">
        <v>178</v>
      </c>
      <c r="C97" s="68">
        <v>-85.297479387361818</v>
      </c>
    </row>
    <row r="98" spans="1:3" x14ac:dyDescent="0.35">
      <c r="A98" s="66" t="s">
        <v>147</v>
      </c>
      <c r="B98" s="67" t="s">
        <v>179</v>
      </c>
      <c r="C98" s="68">
        <v>16503.722961464751</v>
      </c>
    </row>
    <row r="99" spans="1:3" x14ac:dyDescent="0.35">
      <c r="A99" s="66" t="s">
        <v>148</v>
      </c>
      <c r="B99" s="67" t="s">
        <v>180</v>
      </c>
      <c r="C99" s="68">
        <v>51115.404617267639</v>
      </c>
    </row>
    <row r="100" spans="1:3" x14ac:dyDescent="0.35">
      <c r="A100" s="66" t="s">
        <v>149</v>
      </c>
      <c r="B100" s="67" t="s">
        <v>181</v>
      </c>
      <c r="C100" s="68">
        <v>7817.6238106188011</v>
      </c>
    </row>
    <row r="101" spans="1:3" x14ac:dyDescent="0.35">
      <c r="A101" s="66" t="s">
        <v>150</v>
      </c>
      <c r="B101" s="67" t="s">
        <v>182</v>
      </c>
      <c r="C101" s="68">
        <v>31423.051705113794</v>
      </c>
    </row>
    <row r="102" spans="1:3" x14ac:dyDescent="0.35">
      <c r="A102" s="66" t="s">
        <v>151</v>
      </c>
      <c r="B102" s="67" t="s">
        <v>183</v>
      </c>
      <c r="C102" s="68">
        <v>15313.315748352927</v>
      </c>
    </row>
    <row r="103" spans="1:3" x14ac:dyDescent="0.35">
      <c r="A103" s="66" t="s">
        <v>152</v>
      </c>
      <c r="B103" s="67" t="s">
        <v>184</v>
      </c>
      <c r="C103" s="68">
        <v>7317.0061187074916</v>
      </c>
    </row>
    <row r="104" spans="1:3" x14ac:dyDescent="0.35">
      <c r="A104" s="66" t="s">
        <v>153</v>
      </c>
      <c r="B104" s="67" t="s">
        <v>185</v>
      </c>
      <c r="C104" s="68">
        <v>23481.904158235549</v>
      </c>
    </row>
    <row r="105" spans="1:3" x14ac:dyDescent="0.35">
      <c r="A105" s="66" t="s">
        <v>154</v>
      </c>
      <c r="B105" s="67" t="s">
        <v>186</v>
      </c>
      <c r="C105" s="68">
        <v>547.21043566541448</v>
      </c>
    </row>
    <row r="106" spans="1:3" x14ac:dyDescent="0.35">
      <c r="A106" s="66" t="s">
        <v>155</v>
      </c>
      <c r="B106" s="67" t="s">
        <v>187</v>
      </c>
      <c r="C106" s="68">
        <v>1087.8921567838315</v>
      </c>
    </row>
    <row r="107" spans="1:3" x14ac:dyDescent="0.35">
      <c r="A107" s="66" t="s">
        <v>156</v>
      </c>
      <c r="B107" s="67" t="s">
        <v>188</v>
      </c>
      <c r="C107" s="68">
        <v>743.39867495197723</v>
      </c>
    </row>
    <row r="108" spans="1:3" x14ac:dyDescent="0.35">
      <c r="A108" s="66" t="s">
        <v>168</v>
      </c>
      <c r="B108" s="67" t="s">
        <v>189</v>
      </c>
      <c r="C108" s="68">
        <v>566.91244621569786</v>
      </c>
    </row>
    <row r="109" spans="1:3" x14ac:dyDescent="0.35">
      <c r="A109" s="66" t="s">
        <v>157</v>
      </c>
      <c r="B109" s="67" t="s">
        <v>190</v>
      </c>
      <c r="C109" s="68">
        <v>306.53708125396224</v>
      </c>
    </row>
  </sheetData>
  <pageMargins left="0.7" right="0.7" top="0.75" bottom="0.75" header="0.3" footer="0.3"/>
  <pageSetup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6671"/>
  </sheetPr>
  <dimension ref="A1"/>
  <sheetViews>
    <sheetView workbookViewId="0">
      <selection activeCell="K34" sqref="K34"/>
    </sheetView>
  </sheetViews>
  <sheetFormatPr defaultRowHeight="14.5" x14ac:dyDescent="0.3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F27"/>
  <sheetViews>
    <sheetView workbookViewId="0">
      <selection activeCell="B19" sqref="B19"/>
    </sheetView>
  </sheetViews>
  <sheetFormatPr defaultRowHeight="14.5" x14ac:dyDescent="0.35"/>
  <cols>
    <col min="2" max="2" width="52" bestFit="1" customWidth="1"/>
    <col min="3" max="3" width="16.26953125" customWidth="1"/>
    <col min="4" max="4" width="16.26953125" style="20" customWidth="1"/>
    <col min="5" max="6" width="16.26953125" customWidth="1"/>
    <col min="7" max="8" width="12.1796875" bestFit="1" customWidth="1"/>
    <col min="9" max="9" width="10.54296875" bestFit="1" customWidth="1"/>
    <col min="10" max="10" width="14.26953125" bestFit="1" customWidth="1"/>
    <col min="11" max="11" width="10.54296875" bestFit="1" customWidth="1"/>
    <col min="12" max="13" width="9.54296875" bestFit="1" customWidth="1"/>
    <col min="14" max="14" width="13.26953125" bestFit="1" customWidth="1"/>
    <col min="15" max="32" width="9.54296875" bestFit="1" customWidth="1"/>
  </cols>
  <sheetData>
    <row r="1" spans="1:6" x14ac:dyDescent="0.35">
      <c r="C1" s="127" t="s">
        <v>200</v>
      </c>
      <c r="D1" s="128"/>
      <c r="E1" s="129"/>
      <c r="F1" s="130"/>
    </row>
    <row r="2" spans="1:6" s="18" customFormat="1" ht="43.5" x14ac:dyDescent="0.35">
      <c r="A2" s="42" t="s">
        <v>191</v>
      </c>
      <c r="B2" s="24" t="s">
        <v>192</v>
      </c>
      <c r="C2" s="134" t="s">
        <v>6</v>
      </c>
      <c r="D2" s="135" t="s">
        <v>9</v>
      </c>
      <c r="E2" s="136" t="s">
        <v>7</v>
      </c>
      <c r="F2" s="137" t="s">
        <v>8</v>
      </c>
    </row>
    <row r="3" spans="1:6" x14ac:dyDescent="0.35">
      <c r="A3" s="43" t="s">
        <v>158</v>
      </c>
      <c r="B3" s="61" t="s">
        <v>169</v>
      </c>
      <c r="C3" s="140">
        <v>49194637.414550781</v>
      </c>
      <c r="D3" s="141">
        <v>56812.471899814904</v>
      </c>
      <c r="E3" s="141">
        <v>28596.822268486023</v>
      </c>
      <c r="F3" s="142">
        <v>17351.135377705097</v>
      </c>
    </row>
    <row r="4" spans="1:6" x14ac:dyDescent="0.35">
      <c r="A4" s="43" t="s">
        <v>159</v>
      </c>
      <c r="B4" s="61" t="s">
        <v>170</v>
      </c>
      <c r="C4" s="140">
        <v>30937943.953289032</v>
      </c>
      <c r="D4" s="141">
        <v>56629.278693296103</v>
      </c>
      <c r="E4" s="141">
        <v>37590.336681358516</v>
      </c>
      <c r="F4" s="142">
        <v>16799.149454014725</v>
      </c>
    </row>
    <row r="5" spans="1:6" x14ac:dyDescent="0.35">
      <c r="A5" s="43" t="s">
        <v>160</v>
      </c>
      <c r="B5" s="61" t="s">
        <v>171</v>
      </c>
      <c r="C5" s="140">
        <v>48664512.280273438</v>
      </c>
      <c r="D5" s="141">
        <v>56803.305374216288</v>
      </c>
      <c r="E5" s="141">
        <v>40883.485021591187</v>
      </c>
      <c r="F5" s="142">
        <v>17367.141565144062</v>
      </c>
    </row>
    <row r="6" spans="1:6" x14ac:dyDescent="0.35">
      <c r="A6" s="43" t="s">
        <v>161</v>
      </c>
      <c r="B6" s="61" t="s">
        <v>172</v>
      </c>
      <c r="C6" s="140">
        <v>49021940.416992188</v>
      </c>
      <c r="D6" s="141">
        <v>56811.223740920424</v>
      </c>
      <c r="E6" s="141">
        <v>28563.719685077667</v>
      </c>
      <c r="F6" s="142">
        <v>17346.390561163425</v>
      </c>
    </row>
    <row r="7" spans="1:6" x14ac:dyDescent="0.35">
      <c r="A7" s="43" t="s">
        <v>162</v>
      </c>
      <c r="B7" s="61" t="s">
        <v>173</v>
      </c>
      <c r="C7" s="140">
        <v>48694400.482910156</v>
      </c>
      <c r="D7" s="141">
        <v>56807.131611019373</v>
      </c>
      <c r="E7" s="141">
        <v>29200.883683443069</v>
      </c>
      <c r="F7" s="142">
        <v>17335.861737191677</v>
      </c>
    </row>
    <row r="8" spans="1:6" x14ac:dyDescent="0.35">
      <c r="A8" s="43" t="s">
        <v>163</v>
      </c>
      <c r="B8" s="61" t="s">
        <v>174</v>
      </c>
      <c r="C8" s="140">
        <v>49105511.395019531</v>
      </c>
      <c r="D8" s="141">
        <v>56812.225994572043</v>
      </c>
      <c r="E8" s="141">
        <v>28646.47947716713</v>
      </c>
      <c r="F8" s="142">
        <v>17349.836071923375</v>
      </c>
    </row>
    <row r="9" spans="1:6" x14ac:dyDescent="0.35">
      <c r="A9" s="43" t="s">
        <v>164</v>
      </c>
      <c r="B9" s="61" t="s">
        <v>175</v>
      </c>
      <c r="C9" s="140">
        <v>49624772.918945313</v>
      </c>
      <c r="D9" s="141">
        <v>56818.999106928706</v>
      </c>
      <c r="E9" s="141">
        <v>29448.874960660934</v>
      </c>
      <c r="F9" s="142">
        <v>17373.381688326597</v>
      </c>
    </row>
    <row r="10" spans="1:6" x14ac:dyDescent="0.35">
      <c r="A10" s="43" t="s">
        <v>165</v>
      </c>
      <c r="B10" s="61" t="s">
        <v>176</v>
      </c>
      <c r="C10" s="140">
        <v>49076373.418945313</v>
      </c>
      <c r="D10" s="141">
        <v>56810.875048488379</v>
      </c>
      <c r="E10" s="141">
        <v>29465.84410905838</v>
      </c>
      <c r="F10" s="142">
        <v>17348.372044533491</v>
      </c>
    </row>
    <row r="11" spans="1:6" x14ac:dyDescent="0.35">
      <c r="A11" s="43" t="s">
        <v>166</v>
      </c>
      <c r="B11" s="61" t="s">
        <v>177</v>
      </c>
      <c r="C11" s="140">
        <v>50790957.98828125</v>
      </c>
      <c r="D11" s="141">
        <v>56814.982311733067</v>
      </c>
      <c r="E11" s="141">
        <v>28700.533950328827</v>
      </c>
      <c r="F11" s="142">
        <v>17359.154684156179</v>
      </c>
    </row>
    <row r="12" spans="1:6" x14ac:dyDescent="0.35">
      <c r="A12" s="43" t="s">
        <v>167</v>
      </c>
      <c r="B12" s="61" t="s">
        <v>178</v>
      </c>
      <c r="C12" s="140">
        <v>46209782.11328125</v>
      </c>
      <c r="D12" s="141">
        <v>56772.289515838027</v>
      </c>
      <c r="E12" s="141">
        <v>25700.903895139694</v>
      </c>
      <c r="F12" s="142">
        <v>17219.708630651236</v>
      </c>
    </row>
    <row r="13" spans="1:6" x14ac:dyDescent="0.35">
      <c r="A13" s="43" t="s">
        <v>147</v>
      </c>
      <c r="B13" s="61" t="s">
        <v>179</v>
      </c>
      <c r="C13" s="140">
        <v>26603211.334960938</v>
      </c>
      <c r="D13" s="141">
        <v>56598.716178327799</v>
      </c>
      <c r="E13" s="141">
        <v>18112.04123878479</v>
      </c>
      <c r="F13" s="142">
        <v>16638.392318308353</v>
      </c>
    </row>
    <row r="14" spans="1:6" x14ac:dyDescent="0.35">
      <c r="A14" s="43" t="s">
        <v>148</v>
      </c>
      <c r="B14" s="61" t="s">
        <v>180</v>
      </c>
      <c r="C14" s="140">
        <v>20248319.424560547</v>
      </c>
      <c r="D14" s="141">
        <v>56546.975496201776</v>
      </c>
      <c r="E14" s="141">
        <v>16315.79246994853</v>
      </c>
      <c r="F14" s="142">
        <v>16469.203722748905</v>
      </c>
    </row>
    <row r="15" spans="1:6" x14ac:dyDescent="0.35">
      <c r="A15" s="43" t="s">
        <v>149</v>
      </c>
      <c r="B15" s="61" t="s">
        <v>181</v>
      </c>
      <c r="C15" s="140">
        <v>39795151.249023438</v>
      </c>
      <c r="D15" s="141">
        <v>56714.490546271205</v>
      </c>
      <c r="E15" s="141">
        <v>22146.318461418152</v>
      </c>
      <c r="F15" s="142">
        <v>17026.881496965885</v>
      </c>
    </row>
    <row r="16" spans="1:6" x14ac:dyDescent="0.35">
      <c r="A16" s="43" t="s">
        <v>150</v>
      </c>
      <c r="B16" s="61" t="s">
        <v>182</v>
      </c>
      <c r="C16" s="140">
        <v>37347558.618164063</v>
      </c>
      <c r="D16" s="141">
        <v>56694.32221724093</v>
      </c>
      <c r="E16" s="141">
        <v>21374.461115837097</v>
      </c>
      <c r="F16" s="142">
        <v>16959.754594862461</v>
      </c>
    </row>
    <row r="17" spans="1:6" x14ac:dyDescent="0.35">
      <c r="A17" s="43" t="s">
        <v>151</v>
      </c>
      <c r="B17" s="61" t="s">
        <v>183</v>
      </c>
      <c r="C17" s="140">
        <v>53731454.306640625</v>
      </c>
      <c r="D17" s="141">
        <v>56911.566488549113</v>
      </c>
      <c r="E17" s="141">
        <v>40885.237724304199</v>
      </c>
      <c r="F17" s="142">
        <v>17700.653759479523</v>
      </c>
    </row>
    <row r="18" spans="1:6" x14ac:dyDescent="0.35">
      <c r="A18" s="43" t="s">
        <v>152</v>
      </c>
      <c r="B18" s="61" t="s">
        <v>184</v>
      </c>
      <c r="C18" s="140">
        <v>44828426.125</v>
      </c>
      <c r="D18" s="141">
        <v>56756.569635290653</v>
      </c>
      <c r="E18" s="141">
        <v>24936.299397230148</v>
      </c>
      <c r="F18" s="142">
        <v>17166.030287325382</v>
      </c>
    </row>
    <row r="19" spans="1:6" x14ac:dyDescent="0.35">
      <c r="A19" s="43" t="s">
        <v>153</v>
      </c>
      <c r="B19" s="61" t="s">
        <v>185</v>
      </c>
      <c r="C19" s="140">
        <v>56112692.013671875</v>
      </c>
      <c r="D19" s="141">
        <v>56940.429180383682</v>
      </c>
      <c r="E19" s="141">
        <v>43722.545137405396</v>
      </c>
      <c r="F19" s="142">
        <v>17807.324313163757</v>
      </c>
    </row>
    <row r="20" spans="1:6" x14ac:dyDescent="0.35">
      <c r="A20" s="43" t="s">
        <v>154</v>
      </c>
      <c r="B20" s="61" t="s">
        <v>186</v>
      </c>
      <c r="C20" s="140">
        <v>48900369.326171875</v>
      </c>
      <c r="D20" s="141">
        <v>56807.247971583158</v>
      </c>
      <c r="E20" s="141">
        <v>32579.816717386246</v>
      </c>
      <c r="F20" s="142">
        <v>17349.397665709257</v>
      </c>
    </row>
    <row r="21" spans="1:6" x14ac:dyDescent="0.35">
      <c r="A21" s="43" t="s">
        <v>155</v>
      </c>
      <c r="B21" s="61" t="s">
        <v>187</v>
      </c>
      <c r="C21" s="140">
        <v>49268654.298339844</v>
      </c>
      <c r="D21" s="141">
        <v>56810.840652570128</v>
      </c>
      <c r="E21" s="141">
        <v>28265.877273082733</v>
      </c>
      <c r="F21" s="142">
        <v>17345.565769374371</v>
      </c>
    </row>
    <row r="22" spans="1:6" x14ac:dyDescent="0.35">
      <c r="A22" s="43" t="s">
        <v>156</v>
      </c>
      <c r="B22" s="61" t="s">
        <v>188</v>
      </c>
      <c r="C22" s="140">
        <v>49254102.950683594</v>
      </c>
      <c r="D22" s="141">
        <v>56810.043277282268</v>
      </c>
      <c r="E22" s="141">
        <v>33557.690755605698</v>
      </c>
      <c r="F22" s="142">
        <v>17361.828851610422</v>
      </c>
    </row>
    <row r="23" spans="1:6" x14ac:dyDescent="0.35">
      <c r="A23" s="43" t="s">
        <v>168</v>
      </c>
      <c r="B23" s="61" t="s">
        <v>189</v>
      </c>
      <c r="C23" s="140">
        <v>46073942.107421875</v>
      </c>
      <c r="D23" s="141">
        <v>56769.55635156855</v>
      </c>
      <c r="E23" s="141">
        <v>29988.41600894928</v>
      </c>
      <c r="F23" s="142">
        <v>17226.730527669191</v>
      </c>
    </row>
    <row r="24" spans="1:6" x14ac:dyDescent="0.35">
      <c r="A24" s="44" t="s">
        <v>157</v>
      </c>
      <c r="B24" s="62" t="s">
        <v>190</v>
      </c>
      <c r="C24" s="143">
        <v>48543089.105957031</v>
      </c>
      <c r="D24" s="144">
        <v>56804.875603817403</v>
      </c>
      <c r="E24" s="144">
        <v>28093.292135238647</v>
      </c>
      <c r="F24" s="145">
        <v>17325.677593767643</v>
      </c>
    </row>
    <row r="25" spans="1:6" x14ac:dyDescent="0.35">
      <c r="C25" s="19"/>
      <c r="D25" s="16"/>
      <c r="E25" s="16"/>
      <c r="F25" s="16"/>
    </row>
    <row r="27" spans="1:6" x14ac:dyDescent="0.35">
      <c r="B27" s="58"/>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T36"/>
  <sheetViews>
    <sheetView workbookViewId="0">
      <selection activeCell="A6" sqref="A6"/>
    </sheetView>
  </sheetViews>
  <sheetFormatPr defaultRowHeight="14.5" x14ac:dyDescent="0.35"/>
  <cols>
    <col min="1" max="1" width="34" customWidth="1"/>
    <col min="2" max="2" width="7.54296875" style="2" customWidth="1"/>
    <col min="3" max="23" width="6.453125" customWidth="1"/>
    <col min="24" max="45" width="9.1796875" style="10"/>
  </cols>
  <sheetData>
    <row r="1" spans="1:45" x14ac:dyDescent="0.35">
      <c r="B1" s="32" t="s">
        <v>358</v>
      </c>
      <c r="C1" s="33"/>
      <c r="D1" s="33"/>
      <c r="E1" s="33"/>
      <c r="F1" s="33"/>
      <c r="G1" s="33"/>
      <c r="H1" s="33"/>
      <c r="I1" s="33"/>
      <c r="J1" s="33"/>
      <c r="K1" s="33"/>
      <c r="L1" s="33"/>
      <c r="M1" s="33"/>
      <c r="N1" s="33"/>
      <c r="O1" s="33"/>
      <c r="P1" s="33"/>
      <c r="Q1" s="33"/>
      <c r="R1" s="33"/>
      <c r="S1" s="33"/>
      <c r="T1" s="33"/>
      <c r="U1" s="33"/>
      <c r="V1" s="33"/>
      <c r="W1" s="34"/>
    </row>
    <row r="2" spans="1:45" x14ac:dyDescent="0.35">
      <c r="B2" s="2" t="s">
        <v>197</v>
      </c>
      <c r="C2" s="10"/>
      <c r="D2" s="10"/>
      <c r="E2" s="10"/>
      <c r="F2" s="10"/>
      <c r="G2" s="10"/>
      <c r="H2" s="10"/>
      <c r="I2" s="10"/>
      <c r="J2" s="10"/>
      <c r="K2" s="10"/>
      <c r="L2" s="10"/>
      <c r="M2" s="10"/>
      <c r="N2" s="10"/>
      <c r="O2" s="10"/>
      <c r="P2" s="10"/>
      <c r="Q2" s="10"/>
      <c r="R2" s="10"/>
      <c r="S2" s="10"/>
      <c r="T2" s="10"/>
      <c r="U2" s="10"/>
      <c r="V2" s="10"/>
      <c r="W2" s="35"/>
    </row>
    <row r="3" spans="1:45" s="6" customFormat="1" x14ac:dyDescent="0.35">
      <c r="A3" s="23" t="s">
        <v>196</v>
      </c>
      <c r="B3" s="131" t="s">
        <v>158</v>
      </c>
      <c r="C3" s="132" t="s">
        <v>159</v>
      </c>
      <c r="D3" s="132" t="s">
        <v>160</v>
      </c>
      <c r="E3" s="132" t="s">
        <v>161</v>
      </c>
      <c r="F3" s="132" t="s">
        <v>162</v>
      </c>
      <c r="G3" s="132" t="s">
        <v>163</v>
      </c>
      <c r="H3" s="132" t="s">
        <v>164</v>
      </c>
      <c r="I3" s="132" t="s">
        <v>165</v>
      </c>
      <c r="J3" s="132" t="s">
        <v>166</v>
      </c>
      <c r="K3" s="132" t="s">
        <v>167</v>
      </c>
      <c r="L3" s="132" t="s">
        <v>147</v>
      </c>
      <c r="M3" s="132" t="s">
        <v>148</v>
      </c>
      <c r="N3" s="132" t="s">
        <v>149</v>
      </c>
      <c r="O3" s="132" t="s">
        <v>150</v>
      </c>
      <c r="P3" s="132" t="s">
        <v>151</v>
      </c>
      <c r="Q3" s="132" t="s">
        <v>152</v>
      </c>
      <c r="R3" s="132" t="s">
        <v>153</v>
      </c>
      <c r="S3" s="132" t="s">
        <v>154</v>
      </c>
      <c r="T3" s="132" t="s">
        <v>155</v>
      </c>
      <c r="U3" s="132" t="s">
        <v>156</v>
      </c>
      <c r="V3" s="132" t="s">
        <v>168</v>
      </c>
      <c r="W3" s="133" t="s">
        <v>157</v>
      </c>
      <c r="X3" s="13"/>
      <c r="Y3" s="13"/>
      <c r="Z3" s="13"/>
      <c r="AA3" s="13"/>
      <c r="AB3" s="13"/>
      <c r="AC3" s="13"/>
      <c r="AD3" s="13"/>
      <c r="AE3" s="13"/>
      <c r="AF3" s="13"/>
      <c r="AG3" s="13"/>
      <c r="AH3" s="13"/>
      <c r="AI3" s="13"/>
      <c r="AJ3" s="13"/>
      <c r="AK3" s="13"/>
      <c r="AL3" s="13"/>
      <c r="AM3" s="13"/>
      <c r="AN3" s="13"/>
      <c r="AO3" s="13"/>
      <c r="AP3" s="13"/>
      <c r="AQ3" s="13"/>
      <c r="AR3" s="13"/>
      <c r="AS3" s="13"/>
    </row>
    <row r="4" spans="1:45" x14ac:dyDescent="0.35">
      <c r="A4" s="92" t="s">
        <v>10</v>
      </c>
      <c r="B4" s="146">
        <v>0</v>
      </c>
      <c r="C4" s="147">
        <v>0</v>
      </c>
      <c r="D4" s="147">
        <v>0</v>
      </c>
      <c r="E4" s="148">
        <v>0</v>
      </c>
      <c r="F4" s="148">
        <v>0</v>
      </c>
      <c r="G4" s="148">
        <v>0</v>
      </c>
      <c r="H4" s="148">
        <v>0</v>
      </c>
      <c r="I4" s="148">
        <v>0</v>
      </c>
      <c r="J4" s="148">
        <v>0</v>
      </c>
      <c r="K4" s="148">
        <v>0</v>
      </c>
      <c r="L4" s="148">
        <v>0</v>
      </c>
      <c r="M4" s="148">
        <v>0</v>
      </c>
      <c r="N4" s="148">
        <v>0</v>
      </c>
      <c r="O4" s="148">
        <v>0</v>
      </c>
      <c r="P4" s="148">
        <v>0</v>
      </c>
      <c r="Q4" s="148">
        <v>0</v>
      </c>
      <c r="R4" s="148">
        <v>0</v>
      </c>
      <c r="S4" s="148">
        <v>0</v>
      </c>
      <c r="T4" s="148">
        <v>0</v>
      </c>
      <c r="U4" s="148">
        <v>0</v>
      </c>
      <c r="V4" s="148">
        <v>0</v>
      </c>
      <c r="W4" s="149">
        <v>0</v>
      </c>
    </row>
    <row r="5" spans="1:45" x14ac:dyDescent="0.35">
      <c r="A5" s="93" t="s">
        <v>11</v>
      </c>
      <c r="B5" s="146">
        <v>948</v>
      </c>
      <c r="C5" s="147">
        <v>237</v>
      </c>
      <c r="D5" s="147">
        <v>948</v>
      </c>
      <c r="E5" s="148">
        <v>948</v>
      </c>
      <c r="F5" s="148">
        <v>948</v>
      </c>
      <c r="G5" s="148">
        <v>948</v>
      </c>
      <c r="H5" s="148">
        <v>948</v>
      </c>
      <c r="I5" s="148">
        <v>711</v>
      </c>
      <c r="J5" s="148">
        <v>948</v>
      </c>
      <c r="K5" s="148">
        <v>948</v>
      </c>
      <c r="L5" s="148">
        <v>0</v>
      </c>
      <c r="M5" s="148">
        <v>0</v>
      </c>
      <c r="N5" s="148">
        <v>0</v>
      </c>
      <c r="O5" s="148">
        <v>0</v>
      </c>
      <c r="P5" s="148">
        <v>474</v>
      </c>
      <c r="Q5" s="148">
        <v>0</v>
      </c>
      <c r="R5" s="148">
        <v>0</v>
      </c>
      <c r="S5" s="148">
        <v>948</v>
      </c>
      <c r="T5" s="148">
        <v>948</v>
      </c>
      <c r="U5" s="148">
        <v>948</v>
      </c>
      <c r="V5" s="148">
        <v>948</v>
      </c>
      <c r="W5" s="149">
        <v>948</v>
      </c>
    </row>
    <row r="6" spans="1:45" x14ac:dyDescent="0.35">
      <c r="A6" s="93" t="s">
        <v>12</v>
      </c>
      <c r="B6" s="146">
        <v>0</v>
      </c>
      <c r="C6" s="147">
        <v>236.60000991821286</v>
      </c>
      <c r="D6" s="147">
        <v>54.600002288818345</v>
      </c>
      <c r="E6" s="148">
        <v>0</v>
      </c>
      <c r="F6" s="148">
        <v>18.20000076293945</v>
      </c>
      <c r="G6" s="148">
        <v>0</v>
      </c>
      <c r="H6" s="148">
        <v>18.20000076293945</v>
      </c>
      <c r="I6" s="148">
        <v>54.600002288818345</v>
      </c>
      <c r="J6" s="148">
        <v>0</v>
      </c>
      <c r="K6" s="148">
        <v>0</v>
      </c>
      <c r="L6" s="148">
        <v>0</v>
      </c>
      <c r="M6" s="148">
        <v>0</v>
      </c>
      <c r="N6" s="148">
        <v>0</v>
      </c>
      <c r="O6" s="148">
        <v>0</v>
      </c>
      <c r="P6" s="148">
        <v>0</v>
      </c>
      <c r="Q6" s="148">
        <v>18.20000076293945</v>
      </c>
      <c r="R6" s="148">
        <v>0</v>
      </c>
      <c r="S6" s="148">
        <v>18.20000076293945</v>
      </c>
      <c r="T6" s="148">
        <v>0</v>
      </c>
      <c r="U6" s="148">
        <v>54.600002288818345</v>
      </c>
      <c r="V6" s="148">
        <v>18.20000076293945</v>
      </c>
      <c r="W6" s="149">
        <v>0</v>
      </c>
    </row>
    <row r="7" spans="1:45" x14ac:dyDescent="0.35">
      <c r="A7" s="93" t="s">
        <v>13</v>
      </c>
      <c r="B7" s="146">
        <v>1900</v>
      </c>
      <c r="C7" s="147">
        <v>800</v>
      </c>
      <c r="D7" s="147">
        <v>1900</v>
      </c>
      <c r="E7" s="148">
        <v>2200</v>
      </c>
      <c r="F7" s="148">
        <v>1700</v>
      </c>
      <c r="G7" s="148">
        <v>1900</v>
      </c>
      <c r="H7" s="148">
        <v>2000</v>
      </c>
      <c r="I7" s="148">
        <v>1700</v>
      </c>
      <c r="J7" s="148">
        <v>1700</v>
      </c>
      <c r="K7" s="148">
        <v>1700</v>
      </c>
      <c r="L7" s="148">
        <v>3100</v>
      </c>
      <c r="M7" s="148">
        <v>2800</v>
      </c>
      <c r="N7" s="148">
        <v>3200</v>
      </c>
      <c r="O7" s="148">
        <v>2500</v>
      </c>
      <c r="P7" s="148">
        <v>2200</v>
      </c>
      <c r="Q7" s="148">
        <v>2700</v>
      </c>
      <c r="R7" s="148">
        <v>2000</v>
      </c>
      <c r="S7" s="148">
        <v>1800</v>
      </c>
      <c r="T7" s="148">
        <v>1900</v>
      </c>
      <c r="U7" s="148">
        <v>2000</v>
      </c>
      <c r="V7" s="148">
        <v>1800</v>
      </c>
      <c r="W7" s="149">
        <v>2100</v>
      </c>
    </row>
    <row r="8" spans="1:45" x14ac:dyDescent="0.35">
      <c r="A8" s="93" t="s">
        <v>14</v>
      </c>
      <c r="B8" s="146">
        <v>200</v>
      </c>
      <c r="C8" s="147">
        <v>200</v>
      </c>
      <c r="D8" s="147">
        <v>215</v>
      </c>
      <c r="E8" s="148">
        <v>200</v>
      </c>
      <c r="F8" s="148">
        <v>200</v>
      </c>
      <c r="G8" s="148">
        <v>200</v>
      </c>
      <c r="H8" s="148">
        <v>200</v>
      </c>
      <c r="I8" s="148">
        <v>200</v>
      </c>
      <c r="J8" s="148">
        <v>200</v>
      </c>
      <c r="K8" s="148">
        <v>200</v>
      </c>
      <c r="L8" s="148">
        <v>200</v>
      </c>
      <c r="M8" s="148">
        <v>200</v>
      </c>
      <c r="N8" s="148">
        <v>200</v>
      </c>
      <c r="O8" s="148">
        <v>200</v>
      </c>
      <c r="P8" s="148">
        <v>200</v>
      </c>
      <c r="Q8" s="148">
        <v>200</v>
      </c>
      <c r="R8" s="148">
        <v>200</v>
      </c>
      <c r="S8" s="148">
        <v>200</v>
      </c>
      <c r="T8" s="148">
        <v>0</v>
      </c>
      <c r="U8" s="148">
        <v>200</v>
      </c>
      <c r="V8" s="148">
        <v>200</v>
      </c>
      <c r="W8" s="149">
        <v>0</v>
      </c>
    </row>
    <row r="9" spans="1:45" x14ac:dyDescent="0.35">
      <c r="A9" s="93" t="s">
        <v>15</v>
      </c>
      <c r="B9" s="146">
        <v>200</v>
      </c>
      <c r="C9" s="147">
        <v>200</v>
      </c>
      <c r="D9" s="147">
        <v>0</v>
      </c>
      <c r="E9" s="148">
        <v>200</v>
      </c>
      <c r="F9" s="148">
        <v>200</v>
      </c>
      <c r="G9" s="148">
        <v>200</v>
      </c>
      <c r="H9" s="148">
        <v>200</v>
      </c>
      <c r="I9" s="148">
        <v>200</v>
      </c>
      <c r="J9" s="148">
        <v>200</v>
      </c>
      <c r="K9" s="148">
        <v>200</v>
      </c>
      <c r="L9" s="148">
        <v>200</v>
      </c>
      <c r="M9" s="148">
        <v>200</v>
      </c>
      <c r="N9" s="148">
        <v>200</v>
      </c>
      <c r="O9" s="148">
        <v>200</v>
      </c>
      <c r="P9" s="148">
        <v>200</v>
      </c>
      <c r="Q9" s="148">
        <v>200</v>
      </c>
      <c r="R9" s="148">
        <v>200</v>
      </c>
      <c r="S9" s="148">
        <v>200</v>
      </c>
      <c r="T9" s="148">
        <v>200</v>
      </c>
      <c r="U9" s="148">
        <v>200</v>
      </c>
      <c r="V9" s="148">
        <v>200</v>
      </c>
      <c r="W9" s="149">
        <v>200</v>
      </c>
    </row>
    <row r="10" spans="1:45" x14ac:dyDescent="0.35">
      <c r="A10" s="93" t="s">
        <v>16</v>
      </c>
      <c r="B10" s="146">
        <v>350</v>
      </c>
      <c r="C10" s="147">
        <v>350</v>
      </c>
      <c r="D10" s="147">
        <v>0</v>
      </c>
      <c r="E10" s="148">
        <v>0</v>
      </c>
      <c r="F10" s="148">
        <v>350</v>
      </c>
      <c r="G10" s="148">
        <v>350</v>
      </c>
      <c r="H10" s="148">
        <v>350</v>
      </c>
      <c r="I10" s="148">
        <v>350</v>
      </c>
      <c r="J10" s="148">
        <v>350</v>
      </c>
      <c r="K10" s="148">
        <v>350</v>
      </c>
      <c r="L10" s="148">
        <v>350</v>
      </c>
      <c r="M10" s="148">
        <v>0</v>
      </c>
      <c r="N10" s="148">
        <v>350</v>
      </c>
      <c r="O10" s="148">
        <v>350</v>
      </c>
      <c r="P10" s="148">
        <v>350</v>
      </c>
      <c r="Q10" s="148">
        <v>350</v>
      </c>
      <c r="R10" s="148">
        <v>350</v>
      </c>
      <c r="S10" s="148">
        <v>350</v>
      </c>
      <c r="T10" s="148">
        <v>350</v>
      </c>
      <c r="U10" s="148">
        <v>350</v>
      </c>
      <c r="V10" s="148">
        <v>350</v>
      </c>
      <c r="W10" s="149">
        <v>350</v>
      </c>
    </row>
    <row r="11" spans="1:45" x14ac:dyDescent="0.35">
      <c r="A11" s="93" t="s">
        <v>17</v>
      </c>
      <c r="B11" s="146">
        <v>0</v>
      </c>
      <c r="C11" s="147">
        <v>0</v>
      </c>
      <c r="D11" s="147">
        <v>0</v>
      </c>
      <c r="E11" s="148">
        <v>0</v>
      </c>
      <c r="F11" s="148">
        <v>0</v>
      </c>
      <c r="G11" s="148">
        <v>0</v>
      </c>
      <c r="H11" s="148">
        <v>0</v>
      </c>
      <c r="I11" s="148">
        <v>0</v>
      </c>
      <c r="J11" s="148">
        <v>0</v>
      </c>
      <c r="K11" s="148">
        <v>0</v>
      </c>
      <c r="L11" s="148">
        <v>0</v>
      </c>
      <c r="M11" s="148">
        <v>0</v>
      </c>
      <c r="N11" s="148">
        <v>0</v>
      </c>
      <c r="O11" s="148">
        <v>0</v>
      </c>
      <c r="P11" s="148">
        <v>0</v>
      </c>
      <c r="Q11" s="148">
        <v>0</v>
      </c>
      <c r="R11" s="148">
        <v>0</v>
      </c>
      <c r="S11" s="148">
        <v>0</v>
      </c>
      <c r="T11" s="148">
        <v>0</v>
      </c>
      <c r="U11" s="148">
        <v>0</v>
      </c>
      <c r="V11" s="148">
        <v>0</v>
      </c>
      <c r="W11" s="149">
        <v>0</v>
      </c>
    </row>
    <row r="12" spans="1:45" x14ac:dyDescent="0.35">
      <c r="A12" s="93" t="s">
        <v>18</v>
      </c>
      <c r="B12" s="146">
        <v>400</v>
      </c>
      <c r="C12" s="147">
        <v>400</v>
      </c>
      <c r="D12" s="147">
        <v>400</v>
      </c>
      <c r="E12" s="148">
        <v>400</v>
      </c>
      <c r="F12" s="148">
        <v>400</v>
      </c>
      <c r="G12" s="148">
        <v>400</v>
      </c>
      <c r="H12" s="148">
        <v>400</v>
      </c>
      <c r="I12" s="148">
        <v>400</v>
      </c>
      <c r="J12" s="148">
        <v>400</v>
      </c>
      <c r="K12" s="148">
        <v>400</v>
      </c>
      <c r="L12" s="148">
        <v>0</v>
      </c>
      <c r="M12" s="148">
        <v>400</v>
      </c>
      <c r="N12" s="148">
        <v>0</v>
      </c>
      <c r="O12" s="148">
        <v>400</v>
      </c>
      <c r="P12" s="148">
        <v>400</v>
      </c>
      <c r="Q12" s="148">
        <v>0</v>
      </c>
      <c r="R12" s="148">
        <v>400</v>
      </c>
      <c r="S12" s="148">
        <v>400</v>
      </c>
      <c r="T12" s="148">
        <v>400</v>
      </c>
      <c r="U12" s="148">
        <v>400</v>
      </c>
      <c r="V12" s="148">
        <v>400</v>
      </c>
      <c r="W12" s="149">
        <v>400</v>
      </c>
    </row>
    <row r="13" spans="1:45" x14ac:dyDescent="0.35">
      <c r="A13" s="93" t="s">
        <v>19</v>
      </c>
      <c r="B13" s="146">
        <v>0</v>
      </c>
      <c r="C13" s="147">
        <v>0</v>
      </c>
      <c r="D13" s="147">
        <v>0</v>
      </c>
      <c r="E13" s="148">
        <v>0</v>
      </c>
      <c r="F13" s="148">
        <v>0</v>
      </c>
      <c r="G13" s="148">
        <v>0</v>
      </c>
      <c r="H13" s="148">
        <v>0</v>
      </c>
      <c r="I13" s="148">
        <v>0</v>
      </c>
      <c r="J13" s="148">
        <v>0</v>
      </c>
      <c r="K13" s="148">
        <v>0</v>
      </c>
      <c r="L13" s="148">
        <v>0</v>
      </c>
      <c r="M13" s="148">
        <v>0</v>
      </c>
      <c r="N13" s="148">
        <v>0</v>
      </c>
      <c r="O13" s="148">
        <v>0</v>
      </c>
      <c r="P13" s="148">
        <v>0</v>
      </c>
      <c r="Q13" s="148">
        <v>0</v>
      </c>
      <c r="R13" s="148">
        <v>0</v>
      </c>
      <c r="S13" s="148">
        <v>0</v>
      </c>
      <c r="T13" s="148">
        <v>0</v>
      </c>
      <c r="U13" s="148">
        <v>0</v>
      </c>
      <c r="V13" s="148">
        <v>0</v>
      </c>
      <c r="W13" s="149">
        <v>0</v>
      </c>
    </row>
    <row r="14" spans="1:45" x14ac:dyDescent="0.35">
      <c r="A14" s="93" t="s">
        <v>20</v>
      </c>
      <c r="B14" s="146">
        <v>300</v>
      </c>
      <c r="C14" s="147">
        <v>300</v>
      </c>
      <c r="D14" s="147">
        <v>100</v>
      </c>
      <c r="E14" s="148">
        <v>300</v>
      </c>
      <c r="F14" s="148">
        <v>300</v>
      </c>
      <c r="G14" s="148">
        <v>300</v>
      </c>
      <c r="H14" s="148">
        <v>300</v>
      </c>
      <c r="I14" s="148">
        <v>300</v>
      </c>
      <c r="J14" s="148">
        <v>300</v>
      </c>
      <c r="K14" s="148">
        <v>300</v>
      </c>
      <c r="L14" s="148">
        <v>0</v>
      </c>
      <c r="M14" s="148">
        <v>0</v>
      </c>
      <c r="N14" s="148">
        <v>0</v>
      </c>
      <c r="O14" s="148">
        <v>0</v>
      </c>
      <c r="P14" s="148">
        <v>200</v>
      </c>
      <c r="Q14" s="148">
        <v>100</v>
      </c>
      <c r="R14" s="148">
        <v>100</v>
      </c>
      <c r="S14" s="148">
        <v>300</v>
      </c>
      <c r="T14" s="148">
        <v>300</v>
      </c>
      <c r="U14" s="148">
        <v>300</v>
      </c>
      <c r="V14" s="148">
        <v>300</v>
      </c>
      <c r="W14" s="149">
        <v>300</v>
      </c>
    </row>
    <row r="15" spans="1:45" x14ac:dyDescent="0.35">
      <c r="A15" s="93" t="s">
        <v>21</v>
      </c>
      <c r="B15" s="146">
        <v>1392.9999847412109</v>
      </c>
      <c r="C15" s="147">
        <v>2088.349983215332</v>
      </c>
      <c r="D15" s="147">
        <v>0</v>
      </c>
      <c r="E15" s="148">
        <v>1295.0500030517578</v>
      </c>
      <c r="F15" s="148">
        <v>1393.5999908447266</v>
      </c>
      <c r="G15" s="148">
        <v>1491.6499938964844</v>
      </c>
      <c r="H15" s="148">
        <v>1492.6999969482422</v>
      </c>
      <c r="I15" s="148">
        <v>1294.4000015258789</v>
      </c>
      <c r="J15" s="148">
        <v>1392.5999984741211</v>
      </c>
      <c r="K15" s="148">
        <v>1593.2999877929688</v>
      </c>
      <c r="L15" s="148">
        <v>1993.5000076293945</v>
      </c>
      <c r="M15" s="148">
        <v>2970.9600677490234</v>
      </c>
      <c r="N15" s="148">
        <v>1692.0999908447266</v>
      </c>
      <c r="O15" s="148">
        <v>99</v>
      </c>
      <c r="P15" s="148">
        <v>1695.3499984741211</v>
      </c>
      <c r="Q15" s="148">
        <v>2293.75</v>
      </c>
      <c r="R15" s="148">
        <v>2292.0500030517578</v>
      </c>
      <c r="S15" s="148">
        <v>696.39999389648438</v>
      </c>
      <c r="T15" s="148">
        <v>895.25000762939453</v>
      </c>
      <c r="U15" s="148">
        <v>895.19999694824219</v>
      </c>
      <c r="V15" s="148">
        <v>696.39999389648438</v>
      </c>
      <c r="W15" s="149">
        <v>1094.4500045776367</v>
      </c>
    </row>
    <row r="16" spans="1:45" x14ac:dyDescent="0.35">
      <c r="A16" s="93" t="s">
        <v>22</v>
      </c>
      <c r="B16" s="146">
        <v>0</v>
      </c>
      <c r="C16" s="147">
        <v>299.75</v>
      </c>
      <c r="D16" s="147">
        <v>499.74998474121094</v>
      </c>
      <c r="E16" s="148">
        <v>0</v>
      </c>
      <c r="F16" s="148">
        <v>0</v>
      </c>
      <c r="G16" s="148">
        <v>0</v>
      </c>
      <c r="H16" s="148">
        <v>0</v>
      </c>
      <c r="I16" s="148">
        <v>0</v>
      </c>
      <c r="J16" s="148">
        <v>0</v>
      </c>
      <c r="K16" s="148">
        <v>0</v>
      </c>
      <c r="L16" s="148">
        <v>0</v>
      </c>
      <c r="M16" s="148">
        <v>297</v>
      </c>
      <c r="N16" s="148">
        <v>0</v>
      </c>
      <c r="O16" s="148">
        <v>0</v>
      </c>
      <c r="P16" s="148">
        <v>0</v>
      </c>
      <c r="Q16" s="148">
        <v>0</v>
      </c>
      <c r="R16" s="148">
        <v>0</v>
      </c>
      <c r="S16" s="148">
        <v>0</v>
      </c>
      <c r="T16" s="148">
        <v>0</v>
      </c>
      <c r="U16" s="148">
        <v>0</v>
      </c>
      <c r="V16" s="148">
        <v>0</v>
      </c>
      <c r="W16" s="149">
        <v>0</v>
      </c>
    </row>
    <row r="17" spans="1:23" x14ac:dyDescent="0.35">
      <c r="A17" s="93" t="s">
        <v>23</v>
      </c>
      <c r="B17" s="146">
        <v>0</v>
      </c>
      <c r="C17" s="147">
        <v>0</v>
      </c>
      <c r="D17" s="147">
        <v>0</v>
      </c>
      <c r="E17" s="148">
        <v>0</v>
      </c>
      <c r="F17" s="148">
        <v>0</v>
      </c>
      <c r="G17" s="148">
        <v>0</v>
      </c>
      <c r="H17" s="148">
        <v>0</v>
      </c>
      <c r="I17" s="148">
        <v>0</v>
      </c>
      <c r="J17" s="148">
        <v>0</v>
      </c>
      <c r="K17" s="148">
        <v>0</v>
      </c>
      <c r="L17" s="148">
        <v>0</v>
      </c>
      <c r="M17" s="148">
        <v>0</v>
      </c>
      <c r="N17" s="148">
        <v>0</v>
      </c>
      <c r="O17" s="148">
        <v>0</v>
      </c>
      <c r="P17" s="148">
        <v>0</v>
      </c>
      <c r="Q17" s="148">
        <v>0</v>
      </c>
      <c r="R17" s="148">
        <v>0</v>
      </c>
      <c r="S17" s="148">
        <v>0</v>
      </c>
      <c r="T17" s="148">
        <v>0</v>
      </c>
      <c r="U17" s="148">
        <v>0</v>
      </c>
      <c r="V17" s="148">
        <v>0</v>
      </c>
      <c r="W17" s="149">
        <v>0</v>
      </c>
    </row>
    <row r="18" spans="1:23" x14ac:dyDescent="0.35">
      <c r="A18" s="93" t="s">
        <v>24</v>
      </c>
      <c r="B18" s="146">
        <v>0</v>
      </c>
      <c r="C18" s="147">
        <v>0</v>
      </c>
      <c r="D18" s="147">
        <v>0</v>
      </c>
      <c r="E18" s="148">
        <v>0</v>
      </c>
      <c r="F18" s="148">
        <v>0</v>
      </c>
      <c r="G18" s="148">
        <v>0</v>
      </c>
      <c r="H18" s="148">
        <v>0</v>
      </c>
      <c r="I18" s="148">
        <v>0</v>
      </c>
      <c r="J18" s="148">
        <v>0</v>
      </c>
      <c r="K18" s="148">
        <v>0</v>
      </c>
      <c r="L18" s="148">
        <v>0</v>
      </c>
      <c r="M18" s="148">
        <v>0</v>
      </c>
      <c r="N18" s="148">
        <v>0</v>
      </c>
      <c r="O18" s="148">
        <v>0</v>
      </c>
      <c r="P18" s="148">
        <v>0</v>
      </c>
      <c r="Q18" s="148">
        <v>0</v>
      </c>
      <c r="R18" s="148">
        <v>0</v>
      </c>
      <c r="S18" s="148">
        <v>0</v>
      </c>
      <c r="T18" s="148">
        <v>0</v>
      </c>
      <c r="U18" s="148">
        <v>0</v>
      </c>
      <c r="V18" s="148">
        <v>0</v>
      </c>
      <c r="W18" s="149">
        <v>0</v>
      </c>
    </row>
    <row r="19" spans="1:23" x14ac:dyDescent="0.35">
      <c r="A19" s="93" t="s">
        <v>25</v>
      </c>
      <c r="B19" s="146">
        <v>0</v>
      </c>
      <c r="C19" s="147">
        <v>0</v>
      </c>
      <c r="D19" s="147">
        <v>0</v>
      </c>
      <c r="E19" s="148">
        <v>0</v>
      </c>
      <c r="F19" s="148">
        <v>0</v>
      </c>
      <c r="G19" s="148">
        <v>0</v>
      </c>
      <c r="H19" s="148">
        <v>0</v>
      </c>
      <c r="I19" s="148">
        <v>0</v>
      </c>
      <c r="J19" s="148">
        <v>0</v>
      </c>
      <c r="K19" s="148">
        <v>0</v>
      </c>
      <c r="L19" s="148">
        <v>0</v>
      </c>
      <c r="M19" s="148">
        <v>0</v>
      </c>
      <c r="N19" s="148">
        <v>0</v>
      </c>
      <c r="O19" s="148">
        <v>0</v>
      </c>
      <c r="P19" s="148">
        <v>0</v>
      </c>
      <c r="Q19" s="148">
        <v>0</v>
      </c>
      <c r="R19" s="148">
        <v>0</v>
      </c>
      <c r="S19" s="148">
        <v>0</v>
      </c>
      <c r="T19" s="148">
        <v>0</v>
      </c>
      <c r="U19" s="148">
        <v>0</v>
      </c>
      <c r="V19" s="148">
        <v>0</v>
      </c>
      <c r="W19" s="149">
        <v>0</v>
      </c>
    </row>
    <row r="20" spans="1:23" x14ac:dyDescent="0.35">
      <c r="A20" s="93" t="s">
        <v>26</v>
      </c>
      <c r="B20" s="146">
        <v>200</v>
      </c>
      <c r="C20" s="147">
        <v>275</v>
      </c>
      <c r="D20" s="147">
        <v>0</v>
      </c>
      <c r="E20" s="148">
        <v>175</v>
      </c>
      <c r="F20" s="148">
        <v>350</v>
      </c>
      <c r="G20" s="148">
        <v>225</v>
      </c>
      <c r="H20" s="148">
        <v>175</v>
      </c>
      <c r="I20" s="148">
        <v>125</v>
      </c>
      <c r="J20" s="148">
        <v>200</v>
      </c>
      <c r="K20" s="148">
        <v>100</v>
      </c>
      <c r="L20" s="148">
        <v>22000</v>
      </c>
      <c r="M20" s="148">
        <v>0</v>
      </c>
      <c r="N20" s="148">
        <v>24500</v>
      </c>
      <c r="O20" s="148">
        <v>0</v>
      </c>
      <c r="P20" s="148">
        <v>4275</v>
      </c>
      <c r="Q20" s="148">
        <v>1025</v>
      </c>
      <c r="R20" s="148">
        <v>875</v>
      </c>
      <c r="S20" s="148">
        <v>200</v>
      </c>
      <c r="T20" s="148">
        <v>300</v>
      </c>
      <c r="U20" s="148">
        <v>325</v>
      </c>
      <c r="V20" s="148">
        <v>200</v>
      </c>
      <c r="W20" s="149">
        <v>125</v>
      </c>
    </row>
    <row r="21" spans="1:23" x14ac:dyDescent="0.35">
      <c r="A21" s="93" t="s">
        <v>27</v>
      </c>
      <c r="B21" s="146">
        <v>50</v>
      </c>
      <c r="C21" s="147">
        <v>25</v>
      </c>
      <c r="D21" s="147">
        <v>150</v>
      </c>
      <c r="E21" s="148">
        <v>50</v>
      </c>
      <c r="F21" s="148">
        <v>100</v>
      </c>
      <c r="G21" s="148">
        <v>350</v>
      </c>
      <c r="H21" s="148">
        <v>125</v>
      </c>
      <c r="I21" s="148">
        <v>575</v>
      </c>
      <c r="J21" s="148">
        <v>100</v>
      </c>
      <c r="K21" s="148">
        <v>325</v>
      </c>
      <c r="L21" s="148">
        <v>4200</v>
      </c>
      <c r="M21" s="148">
        <v>0</v>
      </c>
      <c r="N21" s="148">
        <v>0</v>
      </c>
      <c r="O21" s="148">
        <v>0</v>
      </c>
      <c r="P21" s="148">
        <v>25</v>
      </c>
      <c r="Q21" s="148">
        <v>0</v>
      </c>
      <c r="R21" s="148">
        <v>3550</v>
      </c>
      <c r="S21" s="148">
        <v>0</v>
      </c>
      <c r="T21" s="148">
        <v>0</v>
      </c>
      <c r="U21" s="148">
        <v>150</v>
      </c>
      <c r="V21" s="148">
        <v>0</v>
      </c>
      <c r="W21" s="149">
        <v>25</v>
      </c>
    </row>
    <row r="22" spans="1:23" x14ac:dyDescent="0.35">
      <c r="A22" s="93" t="s">
        <v>28</v>
      </c>
      <c r="B22" s="146">
        <v>300</v>
      </c>
      <c r="C22" s="147">
        <v>225</v>
      </c>
      <c r="D22" s="147">
        <v>625</v>
      </c>
      <c r="E22" s="148">
        <v>75</v>
      </c>
      <c r="F22" s="148">
        <v>25</v>
      </c>
      <c r="G22" s="148">
        <v>0</v>
      </c>
      <c r="H22" s="148">
        <v>200</v>
      </c>
      <c r="I22" s="148">
        <v>75</v>
      </c>
      <c r="J22" s="148">
        <v>175</v>
      </c>
      <c r="K22" s="148">
        <v>200</v>
      </c>
      <c r="L22" s="148">
        <v>0</v>
      </c>
      <c r="M22" s="148">
        <v>0</v>
      </c>
      <c r="N22" s="148">
        <v>0</v>
      </c>
      <c r="O22" s="148">
        <v>0</v>
      </c>
      <c r="P22" s="148">
        <v>0</v>
      </c>
      <c r="Q22" s="148">
        <v>0</v>
      </c>
      <c r="R22" s="148">
        <v>0</v>
      </c>
      <c r="S22" s="148">
        <v>250</v>
      </c>
      <c r="T22" s="148">
        <v>0</v>
      </c>
      <c r="U22" s="148">
        <v>50</v>
      </c>
      <c r="V22" s="148">
        <v>250</v>
      </c>
      <c r="W22" s="149">
        <v>150</v>
      </c>
    </row>
    <row r="23" spans="1:23" x14ac:dyDescent="0.35">
      <c r="A23" s="93" t="s">
        <v>29</v>
      </c>
      <c r="B23" s="146">
        <v>0</v>
      </c>
      <c r="C23" s="147">
        <v>1000</v>
      </c>
      <c r="D23" s="147">
        <v>275</v>
      </c>
      <c r="E23" s="148">
        <v>350</v>
      </c>
      <c r="F23" s="148">
        <v>150</v>
      </c>
      <c r="G23" s="148">
        <v>250</v>
      </c>
      <c r="H23" s="148">
        <v>425</v>
      </c>
      <c r="I23" s="148">
        <v>100</v>
      </c>
      <c r="J23" s="148">
        <v>150</v>
      </c>
      <c r="K23" s="148">
        <v>75</v>
      </c>
      <c r="L23" s="148">
        <v>0</v>
      </c>
      <c r="M23" s="148">
        <v>0</v>
      </c>
      <c r="N23" s="148">
        <v>0</v>
      </c>
      <c r="O23" s="148">
        <v>0</v>
      </c>
      <c r="P23" s="148">
        <v>0</v>
      </c>
      <c r="Q23" s="148">
        <v>0</v>
      </c>
      <c r="R23" s="148">
        <v>0</v>
      </c>
      <c r="S23" s="148">
        <v>0</v>
      </c>
      <c r="T23" s="148">
        <v>75</v>
      </c>
      <c r="U23" s="148">
        <v>150</v>
      </c>
      <c r="V23" s="148">
        <v>0</v>
      </c>
      <c r="W23" s="149">
        <v>0</v>
      </c>
    </row>
    <row r="24" spans="1:23" x14ac:dyDescent="0.35">
      <c r="A24" s="93" t="s">
        <v>30</v>
      </c>
      <c r="B24" s="146">
        <v>0</v>
      </c>
      <c r="C24" s="147">
        <v>0</v>
      </c>
      <c r="D24" s="147">
        <v>0</v>
      </c>
      <c r="E24" s="148">
        <v>0</v>
      </c>
      <c r="F24" s="148">
        <v>0</v>
      </c>
      <c r="G24" s="148">
        <v>0</v>
      </c>
      <c r="H24" s="148">
        <v>0</v>
      </c>
      <c r="I24" s="148">
        <v>0</v>
      </c>
      <c r="J24" s="148">
        <v>0</v>
      </c>
      <c r="K24" s="148">
        <v>0</v>
      </c>
      <c r="L24" s="148">
        <v>0</v>
      </c>
      <c r="M24" s="148">
        <v>21300</v>
      </c>
      <c r="N24" s="148">
        <v>0</v>
      </c>
      <c r="O24" s="148">
        <v>19600</v>
      </c>
      <c r="P24" s="148">
        <v>0</v>
      </c>
      <c r="Q24" s="148">
        <v>2700</v>
      </c>
      <c r="R24" s="148">
        <v>0</v>
      </c>
      <c r="S24" s="148">
        <v>0</v>
      </c>
      <c r="T24" s="148">
        <v>0</v>
      </c>
      <c r="U24" s="148">
        <v>0</v>
      </c>
      <c r="V24" s="148">
        <v>0</v>
      </c>
      <c r="W24" s="149">
        <v>0</v>
      </c>
    </row>
    <row r="25" spans="1:23" x14ac:dyDescent="0.35">
      <c r="A25" s="93" t="s">
        <v>31</v>
      </c>
      <c r="B25" s="146">
        <v>89.410003662109375</v>
      </c>
      <c r="C25" s="147">
        <v>89.410003662109375</v>
      </c>
      <c r="D25" s="147">
        <v>89.410003662109375</v>
      </c>
      <c r="E25" s="148">
        <v>89.410003662109375</v>
      </c>
      <c r="F25" s="148">
        <v>89.410003662109375</v>
      </c>
      <c r="G25" s="148">
        <v>89.410003662109375</v>
      </c>
      <c r="H25" s="148">
        <v>89.410003662109375</v>
      </c>
      <c r="I25" s="148">
        <v>89.410003662109375</v>
      </c>
      <c r="J25" s="148">
        <v>89.410003662109375</v>
      </c>
      <c r="K25" s="148">
        <v>89.410003662109375</v>
      </c>
      <c r="L25" s="148">
        <v>89.410003662109375</v>
      </c>
      <c r="M25" s="148">
        <v>89.410003662109375</v>
      </c>
      <c r="N25" s="148">
        <v>89.410003662109375</v>
      </c>
      <c r="O25" s="148">
        <v>89.410003662109375</v>
      </c>
      <c r="P25" s="148">
        <v>89.410003662109375</v>
      </c>
      <c r="Q25" s="148">
        <v>89.410003662109375</v>
      </c>
      <c r="R25" s="148">
        <v>89.410003662109375</v>
      </c>
      <c r="S25" s="148">
        <v>89.410003662109375</v>
      </c>
      <c r="T25" s="148">
        <v>89.410003662109375</v>
      </c>
      <c r="U25" s="148">
        <v>89.410003662109375</v>
      </c>
      <c r="V25" s="148">
        <v>89.410003662109375</v>
      </c>
      <c r="W25" s="149">
        <v>89.410003662109375</v>
      </c>
    </row>
    <row r="26" spans="1:23" x14ac:dyDescent="0.35">
      <c r="A26" s="93" t="s">
        <v>32</v>
      </c>
      <c r="B26" s="146">
        <v>125</v>
      </c>
      <c r="C26" s="147">
        <v>500</v>
      </c>
      <c r="D26" s="147">
        <v>125</v>
      </c>
      <c r="E26" s="148">
        <v>250</v>
      </c>
      <c r="F26" s="148">
        <v>500</v>
      </c>
      <c r="G26" s="148">
        <v>250</v>
      </c>
      <c r="H26" s="148">
        <v>500</v>
      </c>
      <c r="I26" s="148">
        <v>375</v>
      </c>
      <c r="J26" s="148">
        <v>250</v>
      </c>
      <c r="K26" s="148">
        <v>250</v>
      </c>
      <c r="L26" s="148">
        <v>0</v>
      </c>
      <c r="M26" s="148">
        <v>250</v>
      </c>
      <c r="N26" s="148">
        <v>0</v>
      </c>
      <c r="O26" s="148">
        <v>1125</v>
      </c>
      <c r="P26" s="148">
        <v>125</v>
      </c>
      <c r="Q26" s="148">
        <v>0</v>
      </c>
      <c r="R26" s="148">
        <v>0</v>
      </c>
      <c r="S26" s="148">
        <v>375</v>
      </c>
      <c r="T26" s="148">
        <v>125</v>
      </c>
      <c r="U26" s="148">
        <v>125</v>
      </c>
      <c r="V26" s="148">
        <v>375</v>
      </c>
      <c r="W26" s="149">
        <v>125</v>
      </c>
    </row>
    <row r="27" spans="1:23" x14ac:dyDescent="0.35">
      <c r="A27" s="93" t="s">
        <v>33</v>
      </c>
      <c r="B27" s="146">
        <v>124.59999847412109</v>
      </c>
      <c r="C27" s="147">
        <v>224.84999847412109</v>
      </c>
      <c r="D27" s="147">
        <v>0</v>
      </c>
      <c r="E27" s="148">
        <v>0</v>
      </c>
      <c r="F27" s="148">
        <v>0</v>
      </c>
      <c r="G27" s="148">
        <v>0</v>
      </c>
      <c r="H27" s="148">
        <v>0</v>
      </c>
      <c r="I27" s="148">
        <v>0</v>
      </c>
      <c r="J27" s="148">
        <v>0</v>
      </c>
      <c r="K27" s="148">
        <v>0</v>
      </c>
      <c r="L27" s="148">
        <v>0</v>
      </c>
      <c r="M27" s="148">
        <v>372.01000213623047</v>
      </c>
      <c r="N27" s="148">
        <v>0</v>
      </c>
      <c r="O27" s="148">
        <v>124.09999847412109</v>
      </c>
      <c r="P27" s="148">
        <v>0</v>
      </c>
      <c r="Q27" s="148">
        <v>0</v>
      </c>
      <c r="R27" s="148">
        <v>0</v>
      </c>
      <c r="S27" s="148">
        <v>0</v>
      </c>
      <c r="T27" s="148">
        <v>0</v>
      </c>
      <c r="U27" s="148">
        <v>0</v>
      </c>
      <c r="V27" s="148">
        <v>0</v>
      </c>
      <c r="W27" s="149">
        <v>0</v>
      </c>
    </row>
    <row r="28" spans="1:23" x14ac:dyDescent="0.35">
      <c r="A28" s="93" t="s">
        <v>34</v>
      </c>
      <c r="B28" s="146">
        <v>0</v>
      </c>
      <c r="C28" s="147">
        <v>0</v>
      </c>
      <c r="D28" s="147">
        <v>0</v>
      </c>
      <c r="E28" s="148">
        <v>0</v>
      </c>
      <c r="F28" s="148">
        <v>0</v>
      </c>
      <c r="G28" s="148">
        <v>0</v>
      </c>
      <c r="H28" s="148">
        <v>0</v>
      </c>
      <c r="I28" s="148">
        <v>0</v>
      </c>
      <c r="J28" s="148">
        <v>0</v>
      </c>
      <c r="K28" s="148">
        <v>0</v>
      </c>
      <c r="L28" s="148">
        <v>0</v>
      </c>
      <c r="M28" s="148">
        <v>0</v>
      </c>
      <c r="N28" s="148">
        <v>0</v>
      </c>
      <c r="O28" s="148">
        <v>0</v>
      </c>
      <c r="P28" s="148">
        <v>0</v>
      </c>
      <c r="Q28" s="148">
        <v>0</v>
      </c>
      <c r="R28" s="148">
        <v>0</v>
      </c>
      <c r="S28" s="148">
        <v>0</v>
      </c>
      <c r="T28" s="148">
        <v>300</v>
      </c>
      <c r="U28" s="148">
        <v>0</v>
      </c>
      <c r="V28" s="148">
        <v>0</v>
      </c>
      <c r="W28" s="149">
        <v>300</v>
      </c>
    </row>
    <row r="29" spans="1:23" x14ac:dyDescent="0.35">
      <c r="A29" s="93" t="s">
        <v>35</v>
      </c>
      <c r="B29" s="146">
        <v>90</v>
      </c>
      <c r="C29" s="147">
        <v>150</v>
      </c>
      <c r="D29" s="147">
        <v>150</v>
      </c>
      <c r="E29" s="148">
        <v>135</v>
      </c>
      <c r="F29" s="148">
        <v>150</v>
      </c>
      <c r="G29" s="148">
        <v>150</v>
      </c>
      <c r="H29" s="148">
        <v>135</v>
      </c>
      <c r="I29" s="148">
        <v>135</v>
      </c>
      <c r="J29" s="148">
        <v>150</v>
      </c>
      <c r="K29" s="148">
        <v>75</v>
      </c>
      <c r="L29" s="148">
        <v>0</v>
      </c>
      <c r="M29" s="148">
        <v>75</v>
      </c>
      <c r="N29" s="148">
        <v>0</v>
      </c>
      <c r="O29" s="148">
        <v>0</v>
      </c>
      <c r="P29" s="148">
        <v>15</v>
      </c>
      <c r="Q29" s="148">
        <v>15</v>
      </c>
      <c r="R29" s="148">
        <v>0</v>
      </c>
      <c r="S29" s="148">
        <v>105</v>
      </c>
      <c r="T29" s="148">
        <v>120</v>
      </c>
      <c r="U29" s="148">
        <v>120</v>
      </c>
      <c r="V29" s="148">
        <v>105</v>
      </c>
      <c r="W29" s="149">
        <v>150</v>
      </c>
    </row>
    <row r="30" spans="1:23" x14ac:dyDescent="0.35">
      <c r="A30" s="93" t="s">
        <v>36</v>
      </c>
      <c r="B30" s="146">
        <v>0</v>
      </c>
      <c r="C30" s="147">
        <v>0</v>
      </c>
      <c r="D30" s="147">
        <v>0</v>
      </c>
      <c r="E30" s="148">
        <v>0</v>
      </c>
      <c r="F30" s="148">
        <v>0</v>
      </c>
      <c r="G30" s="148">
        <v>0</v>
      </c>
      <c r="H30" s="148">
        <v>0</v>
      </c>
      <c r="I30" s="148">
        <v>0</v>
      </c>
      <c r="J30" s="148">
        <v>0</v>
      </c>
      <c r="K30" s="148">
        <v>0</v>
      </c>
      <c r="L30" s="148">
        <v>0</v>
      </c>
      <c r="M30" s="148">
        <v>0</v>
      </c>
      <c r="N30" s="148">
        <v>0</v>
      </c>
      <c r="O30" s="148">
        <v>0</v>
      </c>
      <c r="P30" s="148">
        <v>0</v>
      </c>
      <c r="Q30" s="148">
        <v>0</v>
      </c>
      <c r="R30" s="148">
        <v>0</v>
      </c>
      <c r="S30" s="148">
        <v>0</v>
      </c>
      <c r="T30" s="148">
        <v>0</v>
      </c>
      <c r="U30" s="148">
        <v>0</v>
      </c>
      <c r="V30" s="148">
        <v>0</v>
      </c>
      <c r="W30" s="149">
        <v>0</v>
      </c>
    </row>
    <row r="31" spans="1:23" x14ac:dyDescent="0.35">
      <c r="A31" s="93" t="s">
        <v>37</v>
      </c>
      <c r="B31" s="146">
        <v>0</v>
      </c>
      <c r="C31" s="147">
        <v>0</v>
      </c>
      <c r="D31" s="147">
        <v>1800</v>
      </c>
      <c r="E31" s="148">
        <v>0</v>
      </c>
      <c r="F31" s="148">
        <v>0</v>
      </c>
      <c r="G31" s="148">
        <v>0</v>
      </c>
      <c r="H31" s="148">
        <v>0</v>
      </c>
      <c r="I31" s="148">
        <v>0</v>
      </c>
      <c r="J31" s="148">
        <v>0</v>
      </c>
      <c r="K31" s="148">
        <v>0</v>
      </c>
      <c r="L31" s="148">
        <v>0</v>
      </c>
      <c r="M31" s="148">
        <v>0</v>
      </c>
      <c r="N31" s="148">
        <v>0</v>
      </c>
      <c r="O31" s="148">
        <v>0</v>
      </c>
      <c r="P31" s="148">
        <v>0</v>
      </c>
      <c r="Q31" s="148">
        <v>0</v>
      </c>
      <c r="R31" s="148">
        <v>0</v>
      </c>
      <c r="S31" s="148">
        <v>50</v>
      </c>
      <c r="T31" s="148">
        <v>50</v>
      </c>
      <c r="U31" s="148">
        <v>50</v>
      </c>
      <c r="V31" s="148">
        <v>50</v>
      </c>
      <c r="W31" s="149">
        <v>0</v>
      </c>
    </row>
    <row r="32" spans="1:23" x14ac:dyDescent="0.35">
      <c r="A32" s="93" t="s">
        <v>38</v>
      </c>
      <c r="B32" s="146">
        <v>0</v>
      </c>
      <c r="C32" s="147">
        <v>0</v>
      </c>
      <c r="D32" s="147">
        <v>900</v>
      </c>
      <c r="E32" s="148">
        <v>0</v>
      </c>
      <c r="F32" s="148">
        <v>0</v>
      </c>
      <c r="G32" s="148">
        <v>0</v>
      </c>
      <c r="H32" s="148">
        <v>0</v>
      </c>
      <c r="I32" s="148">
        <v>0</v>
      </c>
      <c r="J32" s="148">
        <v>0</v>
      </c>
      <c r="K32" s="148">
        <v>0</v>
      </c>
      <c r="L32" s="148">
        <v>0</v>
      </c>
      <c r="M32" s="148">
        <v>0</v>
      </c>
      <c r="N32" s="148">
        <v>0</v>
      </c>
      <c r="O32" s="148">
        <v>0</v>
      </c>
      <c r="P32" s="148">
        <v>0</v>
      </c>
      <c r="Q32" s="148">
        <v>0</v>
      </c>
      <c r="R32" s="148">
        <v>0</v>
      </c>
      <c r="S32" s="148">
        <v>630</v>
      </c>
      <c r="T32" s="148">
        <v>630</v>
      </c>
      <c r="U32" s="148">
        <v>630</v>
      </c>
      <c r="V32" s="148">
        <v>630</v>
      </c>
      <c r="W32" s="149">
        <v>0</v>
      </c>
    </row>
    <row r="33" spans="1:46" s="2" customFormat="1" x14ac:dyDescent="0.35">
      <c r="A33" s="93" t="s">
        <v>39</v>
      </c>
      <c r="B33" s="146">
        <v>28.360000610351559</v>
      </c>
      <c r="C33" s="147">
        <v>28.360000610351559</v>
      </c>
      <c r="D33" s="147">
        <v>28.360000610351559</v>
      </c>
      <c r="E33" s="148">
        <v>28.360000610351559</v>
      </c>
      <c r="F33" s="148">
        <v>28.360000610351559</v>
      </c>
      <c r="G33" s="148">
        <v>28.360000610351559</v>
      </c>
      <c r="H33" s="148">
        <v>28.360000610351559</v>
      </c>
      <c r="I33" s="148">
        <v>28.360000610351559</v>
      </c>
      <c r="J33" s="148">
        <v>28.360000610351559</v>
      </c>
      <c r="K33" s="148">
        <v>28.360000610351559</v>
      </c>
      <c r="L33" s="148">
        <v>28.360000610351559</v>
      </c>
      <c r="M33" s="148">
        <v>28.360000610351559</v>
      </c>
      <c r="N33" s="148">
        <v>28.360000610351559</v>
      </c>
      <c r="O33" s="148">
        <v>28.360000610351559</v>
      </c>
      <c r="P33" s="148">
        <v>28.360000610351559</v>
      </c>
      <c r="Q33" s="148">
        <v>28.360000610351559</v>
      </c>
      <c r="R33" s="148">
        <v>28.360000610351559</v>
      </c>
      <c r="S33" s="148">
        <v>28.360000610351559</v>
      </c>
      <c r="T33" s="148">
        <v>28.360000610351559</v>
      </c>
      <c r="U33" s="148">
        <v>28.360000610351559</v>
      </c>
      <c r="V33" s="148">
        <v>28.360000610351559</v>
      </c>
      <c r="W33" s="149">
        <v>28.360000610351559</v>
      </c>
      <c r="X33" s="10"/>
      <c r="Y33" s="10"/>
      <c r="Z33" s="10"/>
      <c r="AA33" s="10"/>
      <c r="AB33" s="10"/>
      <c r="AC33" s="10"/>
      <c r="AD33" s="10"/>
      <c r="AE33" s="10"/>
      <c r="AF33" s="10"/>
      <c r="AG33" s="10"/>
      <c r="AH33" s="10"/>
      <c r="AI33" s="10"/>
      <c r="AJ33" s="10"/>
      <c r="AK33" s="10"/>
      <c r="AL33" s="10"/>
      <c r="AM33" s="10"/>
      <c r="AN33" s="10"/>
      <c r="AO33" s="10"/>
      <c r="AP33" s="10"/>
      <c r="AQ33" s="10"/>
      <c r="AR33" s="10"/>
      <c r="AS33" s="10"/>
      <c r="AT33" s="10"/>
    </row>
    <row r="34" spans="1:46" s="2" customFormat="1" x14ac:dyDescent="0.35">
      <c r="A34" s="93" t="s">
        <v>40</v>
      </c>
      <c r="B34" s="146">
        <v>123.04000151157379</v>
      </c>
      <c r="C34" s="147">
        <v>191.75999999046326</v>
      </c>
      <c r="D34" s="147">
        <v>178.4000016450882</v>
      </c>
      <c r="E34" s="148">
        <v>179.82000303268433</v>
      </c>
      <c r="F34" s="148">
        <v>174.71000289916992</v>
      </c>
      <c r="G34" s="148">
        <v>190.0300018787384</v>
      </c>
      <c r="H34" s="148">
        <v>196.87000036239624</v>
      </c>
      <c r="I34" s="148">
        <v>187.85999941825867</v>
      </c>
      <c r="J34" s="148">
        <v>139.84000182151794</v>
      </c>
      <c r="K34" s="148">
        <v>185.39000141620636</v>
      </c>
      <c r="L34" s="148">
        <v>58.570000290870667</v>
      </c>
      <c r="M34" s="148">
        <v>58.570000290870667</v>
      </c>
      <c r="N34" s="148">
        <v>128.14000165462494</v>
      </c>
      <c r="O34" s="148">
        <v>204.39000236988068</v>
      </c>
      <c r="P34" s="148">
        <v>177.92000305652618</v>
      </c>
      <c r="Q34" s="148">
        <v>122.23999845981598</v>
      </c>
      <c r="R34" s="148">
        <v>129.2099986076355</v>
      </c>
      <c r="S34" s="148">
        <v>216.68000096082687</v>
      </c>
      <c r="T34" s="148">
        <v>216.68000096082687</v>
      </c>
      <c r="U34" s="148">
        <v>216.68000096082687</v>
      </c>
      <c r="V34" s="148">
        <v>216.68000096082687</v>
      </c>
      <c r="W34" s="149">
        <v>181.63000166416168</v>
      </c>
      <c r="X34" s="10"/>
      <c r="Y34" s="10"/>
      <c r="Z34" s="10"/>
      <c r="AA34" s="10"/>
      <c r="AB34" s="10"/>
      <c r="AC34" s="10"/>
      <c r="AD34" s="10"/>
      <c r="AE34" s="10"/>
      <c r="AF34" s="10"/>
      <c r="AG34" s="10"/>
      <c r="AH34" s="10"/>
      <c r="AI34" s="10"/>
      <c r="AJ34" s="10"/>
      <c r="AK34" s="10"/>
      <c r="AL34" s="10"/>
      <c r="AM34" s="10"/>
      <c r="AN34" s="10"/>
      <c r="AO34" s="10"/>
      <c r="AP34" s="10"/>
      <c r="AQ34" s="10"/>
      <c r="AR34" s="10"/>
      <c r="AS34" s="10"/>
      <c r="AT34" s="10"/>
    </row>
    <row r="35" spans="1:46" s="2" customFormat="1" x14ac:dyDescent="0.35">
      <c r="A35" s="93" t="s">
        <v>41</v>
      </c>
      <c r="B35" s="146">
        <v>512.71792364120483</v>
      </c>
      <c r="C35" s="147">
        <v>527.6476092338562</v>
      </c>
      <c r="D35" s="147">
        <v>527.6476092338562</v>
      </c>
      <c r="E35" s="148">
        <v>527.6476092338562</v>
      </c>
      <c r="F35" s="148">
        <v>453.20678949356079</v>
      </c>
      <c r="G35" s="148">
        <v>416.97172403335571</v>
      </c>
      <c r="H35" s="148">
        <v>328.63694477081299</v>
      </c>
      <c r="I35" s="148">
        <v>512.71792364120483</v>
      </c>
      <c r="J35" s="148">
        <v>512.71792364120483</v>
      </c>
      <c r="K35" s="148">
        <v>527.6476092338562</v>
      </c>
      <c r="L35" s="148">
        <v>402.06444692611694</v>
      </c>
      <c r="M35" s="148">
        <v>308.17462348937988</v>
      </c>
      <c r="N35" s="148">
        <v>402.06444692611694</v>
      </c>
      <c r="O35" s="148">
        <v>527.6476092338562</v>
      </c>
      <c r="P35" s="148">
        <v>451.96343374252319</v>
      </c>
      <c r="Q35" s="148">
        <v>402.06444692611694</v>
      </c>
      <c r="R35" s="148">
        <v>451.96343374252319</v>
      </c>
      <c r="S35" s="148">
        <v>512.71792364120483</v>
      </c>
      <c r="T35" s="148">
        <v>512.71792364120483</v>
      </c>
      <c r="U35" s="148">
        <v>453.20678949356079</v>
      </c>
      <c r="V35" s="148">
        <v>512.71792364120483</v>
      </c>
      <c r="W35" s="149">
        <v>512.71792364120483</v>
      </c>
      <c r="X35" s="10"/>
      <c r="Y35" s="10"/>
      <c r="Z35" s="10"/>
      <c r="AA35" s="10"/>
      <c r="AB35" s="10"/>
      <c r="AC35" s="10"/>
      <c r="AD35" s="10"/>
      <c r="AE35" s="10"/>
      <c r="AF35" s="10"/>
      <c r="AG35" s="10"/>
      <c r="AH35" s="10"/>
      <c r="AI35" s="10"/>
      <c r="AJ35" s="10"/>
      <c r="AK35" s="10"/>
      <c r="AL35" s="10"/>
      <c r="AM35" s="10"/>
      <c r="AN35" s="10"/>
      <c r="AO35" s="10"/>
      <c r="AP35" s="10"/>
      <c r="AQ35" s="10"/>
      <c r="AR35" s="10"/>
      <c r="AS35" s="10"/>
      <c r="AT35" s="10"/>
    </row>
    <row r="36" spans="1:46" s="2" customFormat="1" x14ac:dyDescent="0.35">
      <c r="A36" s="93" t="s">
        <v>42</v>
      </c>
      <c r="B36" s="146">
        <v>210.33343124389646</v>
      </c>
      <c r="C36" s="147">
        <v>210.33343124389646</v>
      </c>
      <c r="D36" s="147">
        <v>241.32472991943357</v>
      </c>
      <c r="E36" s="148">
        <v>210.33343124389646</v>
      </c>
      <c r="F36" s="148">
        <v>210.33343124389646</v>
      </c>
      <c r="G36" s="148">
        <v>210.33343124389646</v>
      </c>
      <c r="H36" s="148">
        <v>210.33343124389646</v>
      </c>
      <c r="I36" s="148">
        <v>210.33343124389646</v>
      </c>
      <c r="J36" s="148">
        <v>210.33343124389646</v>
      </c>
      <c r="K36" s="148">
        <v>210.33343124389646</v>
      </c>
      <c r="L36" s="148">
        <v>210.33343124389646</v>
      </c>
      <c r="M36" s="148">
        <v>210.33343124389646</v>
      </c>
      <c r="N36" s="148">
        <v>210.33343124389646</v>
      </c>
      <c r="O36" s="148">
        <v>210.33343124389646</v>
      </c>
      <c r="P36" s="148">
        <v>210.33343124389646</v>
      </c>
      <c r="Q36" s="148">
        <v>210.33343124389646</v>
      </c>
      <c r="R36" s="148">
        <v>210.33343124389646</v>
      </c>
      <c r="S36" s="148">
        <v>241.32472991943357</v>
      </c>
      <c r="T36" s="148">
        <v>241.32472991943357</v>
      </c>
      <c r="U36" s="148">
        <v>241.32472991943357</v>
      </c>
      <c r="V36" s="148">
        <v>241.32472991943357</v>
      </c>
      <c r="W36" s="149">
        <v>210.33343124389646</v>
      </c>
      <c r="X36" s="10"/>
      <c r="Y36" s="10"/>
      <c r="Z36" s="10"/>
      <c r="AA36" s="10"/>
      <c r="AB36" s="10"/>
      <c r="AC36" s="10"/>
      <c r="AD36" s="10"/>
      <c r="AE36" s="10"/>
      <c r="AF36" s="10"/>
      <c r="AG36" s="10"/>
      <c r="AH36" s="10"/>
      <c r="AI36" s="10"/>
      <c r="AJ36" s="10"/>
      <c r="AK36" s="10"/>
      <c r="AL36" s="10"/>
      <c r="AM36" s="10"/>
      <c r="AN36" s="10"/>
      <c r="AO36" s="10"/>
      <c r="AP36" s="10"/>
      <c r="AQ36" s="10"/>
      <c r="AR36" s="10"/>
      <c r="AS36" s="10"/>
      <c r="AT36" s="10"/>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H28"/>
  <sheetViews>
    <sheetView workbookViewId="0">
      <selection activeCell="C16" sqref="C16"/>
    </sheetView>
  </sheetViews>
  <sheetFormatPr defaultRowHeight="14.5" x14ac:dyDescent="0.35"/>
  <cols>
    <col min="1" max="1" width="11.453125" customWidth="1"/>
    <col min="2" max="2" width="52" bestFit="1" customWidth="1"/>
    <col min="3" max="3" width="22.7265625" bestFit="1" customWidth="1"/>
    <col min="4" max="4" width="31" bestFit="1" customWidth="1"/>
    <col min="5" max="5" width="27.453125" bestFit="1" customWidth="1"/>
    <col min="7" max="8" width="15.26953125" bestFit="1" customWidth="1"/>
  </cols>
  <sheetData>
    <row r="1" spans="1:8" s="17" customFormat="1" ht="39.75" customHeight="1" x14ac:dyDescent="0.35">
      <c r="A1" s="45" t="s">
        <v>191</v>
      </c>
      <c r="B1" s="46" t="s">
        <v>192</v>
      </c>
      <c r="C1" s="46" t="s">
        <v>195</v>
      </c>
      <c r="D1" s="46" t="s">
        <v>193</v>
      </c>
      <c r="E1" s="47" t="s">
        <v>194</v>
      </c>
    </row>
    <row r="2" spans="1:8" x14ac:dyDescent="0.35">
      <c r="A2" s="61" t="s">
        <v>158</v>
      </c>
      <c r="B2" s="28" t="s">
        <v>169</v>
      </c>
      <c r="C2" s="141">
        <v>15528538.026505301</v>
      </c>
      <c r="D2" s="48">
        <f>C2*$E$2</f>
        <v>15528538026.505301</v>
      </c>
      <c r="E2" s="35">
        <v>1000</v>
      </c>
      <c r="H2" s="3"/>
    </row>
    <row r="3" spans="1:8" x14ac:dyDescent="0.35">
      <c r="A3" s="61" t="s">
        <v>159</v>
      </c>
      <c r="B3" s="28" t="s">
        <v>170</v>
      </c>
      <c r="C3" s="141">
        <v>17107808.711747993</v>
      </c>
      <c r="D3" s="48">
        <f t="shared" ref="D3:D23" si="0">C3*$E$2</f>
        <v>17107808711.747993</v>
      </c>
      <c r="E3" s="35"/>
    </row>
    <row r="4" spans="1:8" x14ac:dyDescent="0.35">
      <c r="A4" s="61" t="s">
        <v>160</v>
      </c>
      <c r="B4" s="28" t="s">
        <v>171</v>
      </c>
      <c r="C4" s="141">
        <v>16354909.819624674</v>
      </c>
      <c r="D4" s="48">
        <f t="shared" si="0"/>
        <v>16354909819.624674</v>
      </c>
      <c r="E4" s="35"/>
    </row>
    <row r="5" spans="1:8" x14ac:dyDescent="0.35">
      <c r="A5" s="61" t="s">
        <v>161</v>
      </c>
      <c r="B5" s="28" t="s">
        <v>172</v>
      </c>
      <c r="C5" s="141">
        <v>15539520.8977657</v>
      </c>
      <c r="D5" s="48">
        <f t="shared" si="0"/>
        <v>15539520897.765699</v>
      </c>
      <c r="E5" s="35"/>
    </row>
    <row r="6" spans="1:8" x14ac:dyDescent="0.35">
      <c r="A6" s="61" t="s">
        <v>162</v>
      </c>
      <c r="B6" s="28" t="s">
        <v>173</v>
      </c>
      <c r="C6" s="141">
        <v>15536687.945868453</v>
      </c>
      <c r="D6" s="48">
        <f t="shared" si="0"/>
        <v>15536687945.868452</v>
      </c>
      <c r="E6" s="35"/>
    </row>
    <row r="7" spans="1:8" x14ac:dyDescent="0.35">
      <c r="A7" s="61" t="s">
        <v>163</v>
      </c>
      <c r="B7" s="28" t="s">
        <v>174</v>
      </c>
      <c r="C7" s="141">
        <v>15874917.347190296</v>
      </c>
      <c r="D7" s="48">
        <f t="shared" si="0"/>
        <v>15874917347.190296</v>
      </c>
      <c r="E7" s="35"/>
    </row>
    <row r="8" spans="1:8" x14ac:dyDescent="0.35">
      <c r="A8" s="61" t="s">
        <v>164</v>
      </c>
      <c r="B8" s="28" t="s">
        <v>175</v>
      </c>
      <c r="C8" s="141">
        <v>15972085.23087715</v>
      </c>
      <c r="D8" s="48">
        <f t="shared" si="0"/>
        <v>15972085230.87715</v>
      </c>
      <c r="E8" s="35"/>
    </row>
    <row r="9" spans="1:8" x14ac:dyDescent="0.35">
      <c r="A9" s="61" t="s">
        <v>165</v>
      </c>
      <c r="B9" s="28" t="s">
        <v>176</v>
      </c>
      <c r="C9" s="141">
        <v>15409213.709526362</v>
      </c>
      <c r="D9" s="48">
        <f t="shared" si="0"/>
        <v>15409213709.526361</v>
      </c>
      <c r="E9" s="35"/>
    </row>
    <row r="10" spans="1:8" x14ac:dyDescent="0.35">
      <c r="A10" s="61" t="s">
        <v>166</v>
      </c>
      <c r="B10" s="28" t="s">
        <v>177</v>
      </c>
      <c r="C10" s="141">
        <v>15563985.051363371</v>
      </c>
      <c r="D10" s="48">
        <f t="shared" si="0"/>
        <v>15563985051.363371</v>
      </c>
      <c r="E10" s="35"/>
    </row>
    <row r="11" spans="1:8" x14ac:dyDescent="0.35">
      <c r="A11" s="61" t="s">
        <v>167</v>
      </c>
      <c r="B11" s="28" t="s">
        <v>178</v>
      </c>
      <c r="C11" s="141">
        <v>15443240.547117939</v>
      </c>
      <c r="D11" s="48">
        <f t="shared" si="0"/>
        <v>15443240547.117939</v>
      </c>
      <c r="E11" s="35"/>
    </row>
    <row r="12" spans="1:8" x14ac:dyDescent="0.35">
      <c r="A12" s="61" t="s">
        <v>147</v>
      </c>
      <c r="B12" s="28" t="s">
        <v>179</v>
      </c>
      <c r="C12" s="141">
        <v>32032260.987970054</v>
      </c>
      <c r="D12" s="48">
        <f t="shared" si="0"/>
        <v>32032260987.970055</v>
      </c>
      <c r="E12" s="35"/>
    </row>
    <row r="13" spans="1:8" x14ac:dyDescent="0.35">
      <c r="A13" s="61" t="s">
        <v>148</v>
      </c>
      <c r="B13" s="28" t="s">
        <v>180</v>
      </c>
      <c r="C13" s="141">
        <v>66643942.643772945</v>
      </c>
      <c r="D13" s="48">
        <f t="shared" si="0"/>
        <v>66643942643.772942</v>
      </c>
      <c r="E13" s="35"/>
    </row>
    <row r="14" spans="1:8" x14ac:dyDescent="0.35">
      <c r="A14" s="61" t="s">
        <v>149</v>
      </c>
      <c r="B14" s="28" t="s">
        <v>181</v>
      </c>
      <c r="C14" s="141">
        <v>23346161.837124102</v>
      </c>
      <c r="D14" s="48">
        <f t="shared" si="0"/>
        <v>23346161837.124104</v>
      </c>
      <c r="E14" s="35"/>
    </row>
    <row r="15" spans="1:8" x14ac:dyDescent="0.35">
      <c r="A15" s="61" t="s">
        <v>150</v>
      </c>
      <c r="B15" s="28" t="s">
        <v>182</v>
      </c>
      <c r="C15" s="141">
        <v>46951589.731619097</v>
      </c>
      <c r="D15" s="48">
        <f t="shared" si="0"/>
        <v>46951589731.619095</v>
      </c>
      <c r="E15" s="35"/>
    </row>
    <row r="16" spans="1:8" x14ac:dyDescent="0.35">
      <c r="A16" s="61" t="s">
        <v>151</v>
      </c>
      <c r="B16" s="28" t="s">
        <v>183</v>
      </c>
      <c r="C16" s="141">
        <v>30841853.774858225</v>
      </c>
      <c r="D16" s="48">
        <f t="shared" si="0"/>
        <v>30841853774.858227</v>
      </c>
      <c r="E16" s="35"/>
    </row>
    <row r="17" spans="1:5" x14ac:dyDescent="0.35">
      <c r="A17" s="61" t="s">
        <v>152</v>
      </c>
      <c r="B17" s="28" t="s">
        <v>184</v>
      </c>
      <c r="C17" s="141">
        <v>22845544.145212792</v>
      </c>
      <c r="D17" s="48">
        <f t="shared" si="0"/>
        <v>22845544145.212791</v>
      </c>
      <c r="E17" s="35"/>
    </row>
    <row r="18" spans="1:5" x14ac:dyDescent="0.35">
      <c r="A18" s="61" t="s">
        <v>153</v>
      </c>
      <c r="B18" s="28" t="s">
        <v>185</v>
      </c>
      <c r="C18" s="141">
        <v>39010442.184740849</v>
      </c>
      <c r="D18" s="48">
        <f t="shared" si="0"/>
        <v>39010442184.740852</v>
      </c>
      <c r="E18" s="35"/>
    </row>
    <row r="19" spans="1:5" x14ac:dyDescent="0.35">
      <c r="A19" s="61" t="s">
        <v>154</v>
      </c>
      <c r="B19" s="28" t="s">
        <v>186</v>
      </c>
      <c r="C19" s="141">
        <v>16075748.462170715</v>
      </c>
      <c r="D19" s="48">
        <f t="shared" si="0"/>
        <v>16075748462.170715</v>
      </c>
      <c r="E19" s="35"/>
    </row>
    <row r="20" spans="1:5" x14ac:dyDescent="0.35">
      <c r="A20" s="61" t="s">
        <v>155</v>
      </c>
      <c r="B20" s="28" t="s">
        <v>187</v>
      </c>
      <c r="C20" s="141">
        <v>16616430.183289133</v>
      </c>
      <c r="D20" s="48">
        <f t="shared" si="0"/>
        <v>16616430183.289133</v>
      </c>
      <c r="E20" s="35"/>
    </row>
    <row r="21" spans="1:5" x14ac:dyDescent="0.35">
      <c r="A21" s="61" t="s">
        <v>156</v>
      </c>
      <c r="B21" s="28" t="s">
        <v>188</v>
      </c>
      <c r="C21" s="141">
        <v>16271936.701457277</v>
      </c>
      <c r="D21" s="48">
        <f t="shared" si="0"/>
        <v>16271936701.457277</v>
      </c>
      <c r="E21" s="35"/>
    </row>
    <row r="22" spans="1:5" x14ac:dyDescent="0.35">
      <c r="A22" s="61" t="s">
        <v>168</v>
      </c>
      <c r="B22" s="28" t="s">
        <v>189</v>
      </c>
      <c r="C22" s="141">
        <v>16095450.472720999</v>
      </c>
      <c r="D22" s="48">
        <f t="shared" si="0"/>
        <v>16095450472.720999</v>
      </c>
      <c r="E22" s="35"/>
    </row>
    <row r="23" spans="1:5" x14ac:dyDescent="0.35">
      <c r="A23" s="62" t="s">
        <v>157</v>
      </c>
      <c r="B23" s="22" t="s">
        <v>190</v>
      </c>
      <c r="C23" s="144">
        <v>15835075.107759263</v>
      </c>
      <c r="D23" s="49">
        <f t="shared" si="0"/>
        <v>15835075107.759264</v>
      </c>
      <c r="E23" s="37"/>
    </row>
    <row r="27" spans="1:5" x14ac:dyDescent="0.35">
      <c r="A27" s="8"/>
      <c r="B27" s="58"/>
    </row>
    <row r="28" spans="1:5" x14ac:dyDescent="0.35">
      <c r="A28" s="8"/>
      <c r="B28" s="58"/>
    </row>
  </sheetData>
  <pageMargins left="0.7" right="0.7" top="0.75" bottom="0.75" header="0.3" footer="0.3"/>
  <pageSetup orientation="portrait" horizontalDpi="360" verticalDpi="36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AC55"/>
  <sheetViews>
    <sheetView topLeftCell="A4" workbookViewId="0">
      <pane xSplit="2" topLeftCell="C1" activePane="topRight" state="frozen"/>
      <selection pane="topRight" activeCell="B18" sqref="B18"/>
    </sheetView>
  </sheetViews>
  <sheetFormatPr defaultRowHeight="14.5" x14ac:dyDescent="0.35"/>
  <cols>
    <col min="1" max="1" width="39.54296875" style="10" customWidth="1"/>
    <col min="2" max="2" width="32.1796875" customWidth="1"/>
    <col min="3" max="5" width="15.54296875" customWidth="1"/>
    <col min="6" max="6" width="15.54296875" style="11" customWidth="1"/>
    <col min="7" max="7" width="15.54296875" style="12" customWidth="1"/>
    <col min="8" max="8" width="9.81640625" customWidth="1"/>
    <col min="9" max="10" width="9.54296875" bestFit="1" customWidth="1"/>
  </cols>
  <sheetData>
    <row r="1" spans="1:3" ht="58" x14ac:dyDescent="0.35">
      <c r="A1" s="24" t="s">
        <v>191</v>
      </c>
      <c r="B1" s="25" t="s">
        <v>192</v>
      </c>
      <c r="C1" s="26" t="s">
        <v>202</v>
      </c>
    </row>
    <row r="2" spans="1:3" x14ac:dyDescent="0.35">
      <c r="A2" s="27" t="s">
        <v>158</v>
      </c>
      <c r="B2" s="28" t="s">
        <v>169</v>
      </c>
      <c r="C2" s="125">
        <f t="array" ref="C2:C23">TRANSPOSE(H45:AC45)</f>
        <v>260106.06666666665</v>
      </c>
    </row>
    <row r="3" spans="1:3" x14ac:dyDescent="0.35">
      <c r="A3" s="27" t="s">
        <v>159</v>
      </c>
      <c r="B3" s="28" t="s">
        <v>170</v>
      </c>
      <c r="C3" s="125">
        <v>469009.75394772063</v>
      </c>
    </row>
    <row r="4" spans="1:3" x14ac:dyDescent="0.35">
      <c r="A4" s="27" t="s">
        <v>160</v>
      </c>
      <c r="B4" s="28" t="s">
        <v>171</v>
      </c>
      <c r="C4" s="125">
        <v>302318.58486171759</v>
      </c>
    </row>
    <row r="5" spans="1:3" x14ac:dyDescent="0.35">
      <c r="A5" s="27" t="s">
        <v>161</v>
      </c>
      <c r="B5" s="28" t="s">
        <v>172</v>
      </c>
      <c r="C5" s="125">
        <v>458257.98486171762</v>
      </c>
    </row>
    <row r="6" spans="1:3" x14ac:dyDescent="0.35">
      <c r="A6" s="27" t="s">
        <v>162</v>
      </c>
      <c r="B6" s="28" t="s">
        <v>173</v>
      </c>
      <c r="C6" s="125">
        <v>457712.13333333336</v>
      </c>
    </row>
    <row r="7" spans="1:3" x14ac:dyDescent="0.35">
      <c r="A7" s="27" t="s">
        <v>163</v>
      </c>
      <c r="B7" s="28" t="s">
        <v>174</v>
      </c>
      <c r="C7" s="125">
        <v>464753.59394772066</v>
      </c>
    </row>
    <row r="8" spans="1:3" x14ac:dyDescent="0.35">
      <c r="A8" s="27" t="s">
        <v>164</v>
      </c>
      <c r="B8" s="28" t="s">
        <v>175</v>
      </c>
      <c r="C8" s="125">
        <v>620692.99394772062</v>
      </c>
    </row>
    <row r="9" spans="1:3" x14ac:dyDescent="0.35">
      <c r="A9" s="27" t="s">
        <v>165</v>
      </c>
      <c r="B9" s="28" t="s">
        <v>176</v>
      </c>
      <c r="C9" s="125">
        <v>464753.59394772066</v>
      </c>
    </row>
    <row r="10" spans="1:3" x14ac:dyDescent="0.35">
      <c r="A10" s="27" t="s">
        <v>166</v>
      </c>
      <c r="B10" s="28" t="s">
        <v>177</v>
      </c>
      <c r="C10" s="125">
        <v>423086.92728105397</v>
      </c>
    </row>
    <row r="11" spans="1:3" x14ac:dyDescent="0.35">
      <c r="A11" s="27" t="s">
        <v>167</v>
      </c>
      <c r="B11" s="28" t="s">
        <v>178</v>
      </c>
      <c r="C11" s="125">
        <v>458257.98486171756</v>
      </c>
    </row>
    <row r="12" spans="1:3" x14ac:dyDescent="0.35">
      <c r="A12" s="27" t="s">
        <v>147</v>
      </c>
      <c r="B12" s="28" t="s">
        <v>179</v>
      </c>
      <c r="C12" s="125">
        <v>104166.66666666667</v>
      </c>
    </row>
    <row r="13" spans="1:3" x14ac:dyDescent="0.35">
      <c r="A13" s="27" t="s">
        <v>148</v>
      </c>
      <c r="B13" s="28" t="s">
        <v>180</v>
      </c>
      <c r="C13" s="125">
        <v>104166.66666666667</v>
      </c>
    </row>
    <row r="14" spans="1:3" x14ac:dyDescent="0.35">
      <c r="A14" s="27" t="s">
        <v>149</v>
      </c>
      <c r="B14" s="28" t="s">
        <v>181</v>
      </c>
      <c r="C14" s="125">
        <v>260651.91819505094</v>
      </c>
    </row>
    <row r="15" spans="1:3" x14ac:dyDescent="0.35">
      <c r="A15" s="27" t="s">
        <v>150</v>
      </c>
      <c r="B15" s="28" t="s">
        <v>182</v>
      </c>
      <c r="C15" s="125">
        <v>480966.81761111831</v>
      </c>
    </row>
    <row r="16" spans="1:3" x14ac:dyDescent="0.35">
      <c r="A16" s="27" t="s">
        <v>151</v>
      </c>
      <c r="B16" s="28" t="s">
        <v>183</v>
      </c>
      <c r="C16" s="125">
        <v>302318.58486171759</v>
      </c>
    </row>
    <row r="17" spans="1:29" x14ac:dyDescent="0.35">
      <c r="A17" s="27" t="s">
        <v>152</v>
      </c>
      <c r="B17" s="28" t="s">
        <v>184</v>
      </c>
      <c r="C17" s="125">
        <v>260106.06666666665</v>
      </c>
    </row>
    <row r="18" spans="1:29" x14ac:dyDescent="0.35">
      <c r="A18" s="27" t="s">
        <v>153</v>
      </c>
      <c r="B18" s="28" t="s">
        <v>185</v>
      </c>
      <c r="C18" s="125">
        <v>416591.31819505093</v>
      </c>
    </row>
    <row r="19" spans="1:29" x14ac:dyDescent="0.35">
      <c r="A19" s="27" t="s">
        <v>154</v>
      </c>
      <c r="B19" s="28" t="s">
        <v>186</v>
      </c>
      <c r="C19" s="125">
        <v>675887.43118909991</v>
      </c>
    </row>
    <row r="20" spans="1:29" x14ac:dyDescent="0.35">
      <c r="A20" s="27" t="s">
        <v>155</v>
      </c>
      <c r="B20" s="28" t="s">
        <v>187</v>
      </c>
      <c r="C20" s="125">
        <v>675887.43118909991</v>
      </c>
    </row>
    <row r="21" spans="1:29" x14ac:dyDescent="0.35">
      <c r="A21" s="27" t="s">
        <v>156</v>
      </c>
      <c r="B21" s="28" t="s">
        <v>188</v>
      </c>
      <c r="C21" s="125">
        <v>675887.43118909991</v>
      </c>
    </row>
    <row r="22" spans="1:29" x14ac:dyDescent="0.35">
      <c r="A22" s="27" t="s">
        <v>168</v>
      </c>
      <c r="B22" s="28" t="s">
        <v>189</v>
      </c>
      <c r="C22" s="125">
        <v>675887.43118909991</v>
      </c>
    </row>
    <row r="23" spans="1:29" x14ac:dyDescent="0.35">
      <c r="A23" s="30" t="s">
        <v>157</v>
      </c>
      <c r="B23" s="22" t="s">
        <v>190</v>
      </c>
      <c r="C23" s="126">
        <v>305070.87843969924</v>
      </c>
    </row>
    <row r="25" spans="1:29" ht="17" x14ac:dyDescent="0.4">
      <c r="A25" s="112" t="s">
        <v>110</v>
      </c>
      <c r="B25" s="113"/>
    </row>
    <row r="26" spans="1:29" x14ac:dyDescent="0.35">
      <c r="A26" s="111" t="s">
        <v>118</v>
      </c>
    </row>
    <row r="27" spans="1:29" ht="16.5" x14ac:dyDescent="0.35">
      <c r="A27" s="9">
        <v>1000</v>
      </c>
      <c r="F27"/>
      <c r="H27" s="13" t="s">
        <v>278</v>
      </c>
    </row>
    <row r="28" spans="1:29" ht="43.5" x14ac:dyDescent="0.35">
      <c r="A28" s="103" t="s">
        <v>111</v>
      </c>
      <c r="B28" s="103" t="s">
        <v>112</v>
      </c>
      <c r="C28" s="103" t="s">
        <v>113</v>
      </c>
      <c r="D28" s="103" t="s">
        <v>359</v>
      </c>
      <c r="E28" s="103" t="s">
        <v>114</v>
      </c>
      <c r="F28" s="104" t="s">
        <v>277</v>
      </c>
      <c r="G28" s="104" t="s">
        <v>115</v>
      </c>
      <c r="H28" s="60" t="s">
        <v>158</v>
      </c>
      <c r="I28" s="52" t="s">
        <v>159</v>
      </c>
      <c r="J28" s="52" t="s">
        <v>160</v>
      </c>
      <c r="K28" s="52" t="s">
        <v>161</v>
      </c>
      <c r="L28" s="52" t="s">
        <v>162</v>
      </c>
      <c r="M28" s="52" t="s">
        <v>163</v>
      </c>
      <c r="N28" s="52" t="s">
        <v>164</v>
      </c>
      <c r="O28" s="52" t="s">
        <v>165</v>
      </c>
      <c r="P28" s="52" t="s">
        <v>166</v>
      </c>
      <c r="Q28" s="52" t="s">
        <v>167</v>
      </c>
      <c r="R28" s="52" t="s">
        <v>147</v>
      </c>
      <c r="S28" s="52" t="s">
        <v>148</v>
      </c>
      <c r="T28" s="52" t="s">
        <v>149</v>
      </c>
      <c r="U28" s="52" t="s">
        <v>150</v>
      </c>
      <c r="V28" s="52" t="s">
        <v>151</v>
      </c>
      <c r="W28" s="52" t="s">
        <v>152</v>
      </c>
      <c r="X28" s="52" t="s">
        <v>153</v>
      </c>
      <c r="Y28" s="52" t="s">
        <v>154</v>
      </c>
      <c r="Z28" s="52" t="s">
        <v>155</v>
      </c>
      <c r="AA28" s="52" t="s">
        <v>156</v>
      </c>
      <c r="AB28" s="52" t="s">
        <v>168</v>
      </c>
      <c r="AC28" s="53" t="s">
        <v>157</v>
      </c>
    </row>
    <row r="29" spans="1:29" x14ac:dyDescent="0.35">
      <c r="A29" s="278" t="s">
        <v>116</v>
      </c>
      <c r="B29" s="170" t="s">
        <v>117</v>
      </c>
      <c r="C29" s="171">
        <v>64</v>
      </c>
      <c r="D29" s="171">
        <v>39</v>
      </c>
      <c r="E29" s="178" t="s">
        <v>273</v>
      </c>
      <c r="F29" s="166">
        <f>$B$49*$B$50</f>
        <v>155939.4</v>
      </c>
      <c r="G29" s="166">
        <f>$B$49*$B$50</f>
        <v>155939.4</v>
      </c>
      <c r="H29" s="150">
        <v>1</v>
      </c>
      <c r="I29" s="147">
        <v>1</v>
      </c>
      <c r="J29" s="147">
        <v>1</v>
      </c>
      <c r="K29" s="147">
        <v>1</v>
      </c>
      <c r="L29" s="147">
        <v>1</v>
      </c>
      <c r="M29" s="147">
        <v>1</v>
      </c>
      <c r="N29" s="147">
        <v>1</v>
      </c>
      <c r="O29" s="147">
        <v>1</v>
      </c>
      <c r="P29" s="147">
        <v>1</v>
      </c>
      <c r="Q29" s="147">
        <v>1</v>
      </c>
      <c r="R29" s="147"/>
      <c r="S29" s="147"/>
      <c r="T29" s="147">
        <v>1</v>
      </c>
      <c r="U29" s="147">
        <v>1</v>
      </c>
      <c r="V29" s="147">
        <v>1</v>
      </c>
      <c r="W29" s="147">
        <v>1</v>
      </c>
      <c r="X29" s="147">
        <v>1</v>
      </c>
      <c r="Y29" s="147">
        <v>1</v>
      </c>
      <c r="Z29" s="147">
        <v>1</v>
      </c>
      <c r="AA29" s="147">
        <v>1</v>
      </c>
      <c r="AB29" s="147">
        <v>1</v>
      </c>
      <c r="AC29" s="151">
        <v>1</v>
      </c>
    </row>
    <row r="30" spans="1:29" x14ac:dyDescent="0.35">
      <c r="A30" s="278"/>
      <c r="B30" s="170" t="s">
        <v>119</v>
      </c>
      <c r="C30" s="171">
        <v>2</v>
      </c>
      <c r="D30" s="171">
        <v>1</v>
      </c>
      <c r="E30" s="178" t="s">
        <v>273</v>
      </c>
      <c r="F30" s="166">
        <f>$B$49*$B$50</f>
        <v>155939.4</v>
      </c>
      <c r="G30" s="166">
        <f>$B$49*$B$50</f>
        <v>155939.4</v>
      </c>
      <c r="H30" s="150"/>
      <c r="I30" s="147">
        <v>1</v>
      </c>
      <c r="J30" s="147"/>
      <c r="K30" s="147">
        <v>1</v>
      </c>
      <c r="L30" s="147">
        <v>1</v>
      </c>
      <c r="M30" s="147">
        <v>1</v>
      </c>
      <c r="N30" s="147">
        <v>1</v>
      </c>
      <c r="O30" s="147">
        <v>1</v>
      </c>
      <c r="P30" s="147">
        <v>1</v>
      </c>
      <c r="Q30" s="147"/>
      <c r="R30" s="147"/>
      <c r="S30" s="147"/>
      <c r="T30" s="147"/>
      <c r="U30" s="147"/>
      <c r="V30" s="147"/>
      <c r="W30" s="147"/>
      <c r="X30" s="147">
        <v>1</v>
      </c>
      <c r="Y30" s="147">
        <v>1</v>
      </c>
      <c r="Z30" s="147">
        <v>1</v>
      </c>
      <c r="AA30" s="147">
        <v>1</v>
      </c>
      <c r="AB30" s="147">
        <v>1</v>
      </c>
      <c r="AC30" s="151"/>
    </row>
    <row r="31" spans="1:29" x14ac:dyDescent="0.35">
      <c r="A31" s="277" t="s">
        <v>120</v>
      </c>
      <c r="B31" s="107" t="s">
        <v>121</v>
      </c>
      <c r="C31" s="167">
        <v>50</v>
      </c>
      <c r="D31" s="167">
        <v>24</v>
      </c>
      <c r="E31" s="167">
        <v>1.2</v>
      </c>
      <c r="F31" s="166">
        <f>(C31*A$27)/E31</f>
        <v>41666.666666666672</v>
      </c>
      <c r="G31" s="166">
        <f>(D31*A$27)/E31</f>
        <v>20000</v>
      </c>
      <c r="H31" s="150"/>
      <c r="I31" s="147">
        <v>1</v>
      </c>
      <c r="J31" s="147">
        <v>1</v>
      </c>
      <c r="K31" s="147">
        <v>1</v>
      </c>
      <c r="L31" s="147">
        <v>1</v>
      </c>
      <c r="M31" s="147">
        <v>1</v>
      </c>
      <c r="N31" s="147">
        <v>1</v>
      </c>
      <c r="O31" s="147">
        <v>1</v>
      </c>
      <c r="P31" s="147"/>
      <c r="Q31" s="147">
        <v>1</v>
      </c>
      <c r="R31" s="147"/>
      <c r="S31" s="147"/>
      <c r="T31" s="147"/>
      <c r="U31" s="147">
        <v>1</v>
      </c>
      <c r="V31" s="147">
        <v>1</v>
      </c>
      <c r="W31" s="147"/>
      <c r="X31" s="147"/>
      <c r="Y31" s="147">
        <v>1</v>
      </c>
      <c r="Z31" s="147">
        <v>1</v>
      </c>
      <c r="AA31" s="147">
        <v>1</v>
      </c>
      <c r="AB31" s="147">
        <v>1</v>
      </c>
      <c r="AC31" s="151">
        <v>1</v>
      </c>
    </row>
    <row r="32" spans="1:29" x14ac:dyDescent="0.35">
      <c r="A32" s="277"/>
      <c r="B32" s="107" t="s">
        <v>122</v>
      </c>
      <c r="C32" s="167">
        <v>3</v>
      </c>
      <c r="D32" s="167">
        <v>31</v>
      </c>
      <c r="E32" s="167">
        <v>1.0900000000000001</v>
      </c>
      <c r="F32" s="166">
        <f t="shared" ref="F32:F36" si="0">(C32*A$27)/E32</f>
        <v>2752.2935779816512</v>
      </c>
      <c r="G32" s="166">
        <f t="shared" ref="G32:G36" si="1">(D32*A$27)/E32</f>
        <v>28440.366972477063</v>
      </c>
      <c r="H32" s="150"/>
      <c r="I32" s="147">
        <v>1</v>
      </c>
      <c r="J32" s="147"/>
      <c r="K32" s="147"/>
      <c r="L32" s="147"/>
      <c r="M32" s="147">
        <v>1</v>
      </c>
      <c r="N32" s="147">
        <v>1</v>
      </c>
      <c r="O32" s="147">
        <v>1</v>
      </c>
      <c r="P32" s="147">
        <v>1</v>
      </c>
      <c r="Q32" s="147"/>
      <c r="R32" s="147"/>
      <c r="S32" s="147"/>
      <c r="T32" s="147"/>
      <c r="U32" s="147"/>
      <c r="V32" s="147"/>
      <c r="W32" s="147"/>
      <c r="X32" s="147"/>
      <c r="Y32" s="147">
        <v>1</v>
      </c>
      <c r="Z32" s="147">
        <v>1</v>
      </c>
      <c r="AA32" s="147">
        <v>1</v>
      </c>
      <c r="AB32" s="147">
        <v>1</v>
      </c>
      <c r="AC32" s="151">
        <v>1</v>
      </c>
    </row>
    <row r="33" spans="1:29" x14ac:dyDescent="0.35">
      <c r="A33" s="277" t="s">
        <v>123</v>
      </c>
      <c r="B33" s="108" t="s">
        <v>124</v>
      </c>
      <c r="C33" s="168">
        <v>11</v>
      </c>
      <c r="D33" s="168">
        <v>11</v>
      </c>
      <c r="E33" s="168">
        <v>0.57999999999999996</v>
      </c>
      <c r="F33" s="166">
        <f t="shared" si="0"/>
        <v>18965.517241379312</v>
      </c>
      <c r="G33" s="166">
        <f t="shared" si="1"/>
        <v>18965.517241379312</v>
      </c>
      <c r="H33" s="150"/>
      <c r="I33" s="147"/>
      <c r="J33" s="147"/>
      <c r="K33" s="147"/>
      <c r="L33" s="147"/>
      <c r="M33" s="147"/>
      <c r="N33" s="147"/>
      <c r="O33" s="147"/>
      <c r="P33" s="147"/>
      <c r="Q33" s="147"/>
      <c r="R33" s="147"/>
      <c r="S33" s="147"/>
      <c r="T33" s="147"/>
      <c r="U33" s="147">
        <v>1</v>
      </c>
      <c r="V33" s="147"/>
      <c r="W33" s="147"/>
      <c r="X33" s="147"/>
      <c r="Y33" s="147">
        <v>1</v>
      </c>
      <c r="Z33" s="147">
        <v>1</v>
      </c>
      <c r="AA33" s="147">
        <v>1</v>
      </c>
      <c r="AB33" s="147">
        <v>1</v>
      </c>
      <c r="AC33" s="151"/>
    </row>
    <row r="34" spans="1:29" x14ac:dyDescent="0.35">
      <c r="A34" s="277"/>
      <c r="B34" s="108" t="s">
        <v>125</v>
      </c>
      <c r="C34" s="168">
        <v>58</v>
      </c>
      <c r="D34" s="168">
        <v>58</v>
      </c>
      <c r="E34" s="168">
        <v>0.57999999999999996</v>
      </c>
      <c r="F34" s="166">
        <f t="shared" si="0"/>
        <v>100000</v>
      </c>
      <c r="G34" s="166">
        <f t="shared" si="1"/>
        <v>100000</v>
      </c>
      <c r="H34" s="150">
        <v>1</v>
      </c>
      <c r="I34" s="147">
        <v>1</v>
      </c>
      <c r="J34" s="147">
        <v>1</v>
      </c>
      <c r="K34" s="147">
        <v>1</v>
      </c>
      <c r="L34" s="147">
        <v>1</v>
      </c>
      <c r="M34" s="147">
        <v>1</v>
      </c>
      <c r="N34" s="147">
        <v>1</v>
      </c>
      <c r="O34" s="147">
        <v>1</v>
      </c>
      <c r="P34" s="147">
        <v>1</v>
      </c>
      <c r="Q34" s="147">
        <v>1</v>
      </c>
      <c r="R34" s="147">
        <v>1</v>
      </c>
      <c r="S34" s="147">
        <v>1</v>
      </c>
      <c r="T34" s="147">
        <v>1</v>
      </c>
      <c r="U34" s="147">
        <v>1</v>
      </c>
      <c r="V34" s="147">
        <v>1</v>
      </c>
      <c r="W34" s="147">
        <v>1</v>
      </c>
      <c r="X34" s="147">
        <v>1</v>
      </c>
      <c r="Y34" s="147">
        <v>1</v>
      </c>
      <c r="Z34" s="147">
        <v>1</v>
      </c>
      <c r="AA34" s="147">
        <v>1</v>
      </c>
      <c r="AB34" s="147">
        <v>1</v>
      </c>
      <c r="AC34" s="151">
        <v>1</v>
      </c>
    </row>
    <row r="35" spans="1:29" x14ac:dyDescent="0.35">
      <c r="A35" s="277"/>
      <c r="B35" s="108" t="s">
        <v>126</v>
      </c>
      <c r="C35" s="168">
        <v>0.2</v>
      </c>
      <c r="D35" s="168">
        <v>0.2</v>
      </c>
      <c r="E35" s="168">
        <v>0.24</v>
      </c>
      <c r="F35" s="166">
        <f t="shared" si="0"/>
        <v>833.33333333333337</v>
      </c>
      <c r="G35" s="166">
        <f t="shared" si="1"/>
        <v>833.33333333333337</v>
      </c>
      <c r="H35" s="150"/>
      <c r="I35" s="147"/>
      <c r="J35" s="147"/>
      <c r="K35" s="147"/>
      <c r="L35" s="147"/>
      <c r="M35" s="147"/>
      <c r="N35" s="147"/>
      <c r="O35" s="147"/>
      <c r="P35" s="147"/>
      <c r="Q35" s="147"/>
      <c r="R35" s="147"/>
      <c r="S35" s="147"/>
      <c r="T35" s="147"/>
      <c r="U35" s="147"/>
      <c r="V35" s="147"/>
      <c r="W35" s="147"/>
      <c r="X35" s="147"/>
      <c r="Y35" s="147"/>
      <c r="Z35" s="147"/>
      <c r="AA35" s="147"/>
      <c r="AB35" s="147"/>
      <c r="AC35" s="151"/>
    </row>
    <row r="36" spans="1:29" x14ac:dyDescent="0.35">
      <c r="A36" s="277"/>
      <c r="B36" s="108" t="s">
        <v>127</v>
      </c>
      <c r="C36" s="168">
        <v>1</v>
      </c>
      <c r="D36" s="168">
        <v>1</v>
      </c>
      <c r="E36" s="168">
        <v>0.24</v>
      </c>
      <c r="F36" s="166">
        <f t="shared" si="0"/>
        <v>4166.666666666667</v>
      </c>
      <c r="G36" s="166">
        <f t="shared" si="1"/>
        <v>4166.666666666667</v>
      </c>
      <c r="H36" s="150">
        <v>1</v>
      </c>
      <c r="I36" s="147">
        <v>1</v>
      </c>
      <c r="J36" s="147">
        <v>1</v>
      </c>
      <c r="K36" s="147">
        <v>1</v>
      </c>
      <c r="L36" s="147">
        <v>1</v>
      </c>
      <c r="M36" s="147">
        <v>1</v>
      </c>
      <c r="N36" s="147">
        <v>1</v>
      </c>
      <c r="O36" s="147">
        <v>1</v>
      </c>
      <c r="P36" s="147">
        <v>1</v>
      </c>
      <c r="Q36" s="147">
        <v>1</v>
      </c>
      <c r="R36" s="147">
        <v>1</v>
      </c>
      <c r="S36" s="147">
        <v>1</v>
      </c>
      <c r="T36" s="147">
        <v>1</v>
      </c>
      <c r="U36" s="147">
        <v>1</v>
      </c>
      <c r="V36" s="147">
        <v>1</v>
      </c>
      <c r="W36" s="147">
        <v>1</v>
      </c>
      <c r="X36" s="147">
        <v>1</v>
      </c>
      <c r="Y36" s="147">
        <v>1</v>
      </c>
      <c r="Z36" s="147">
        <v>1</v>
      </c>
      <c r="AA36" s="147">
        <v>1</v>
      </c>
      <c r="AB36" s="147">
        <v>1</v>
      </c>
      <c r="AC36" s="151">
        <v>1</v>
      </c>
    </row>
    <row r="37" spans="1:29" x14ac:dyDescent="0.35">
      <c r="A37" s="277" t="s">
        <v>128</v>
      </c>
      <c r="B37" s="172" t="s">
        <v>129</v>
      </c>
      <c r="C37" s="173">
        <v>1</v>
      </c>
      <c r="D37" s="173">
        <v>9</v>
      </c>
      <c r="E37" s="178" t="s">
        <v>273</v>
      </c>
      <c r="F37" s="166">
        <f>$C$49*$C$50</f>
        <v>13858.300000000001</v>
      </c>
      <c r="G37" s="166">
        <f>$C$49*$C$50</f>
        <v>13858.300000000001</v>
      </c>
      <c r="H37" s="150"/>
      <c r="I37" s="147"/>
      <c r="J37" s="147"/>
      <c r="K37" s="147"/>
      <c r="L37" s="147"/>
      <c r="M37" s="147"/>
      <c r="N37" s="147"/>
      <c r="O37" s="147"/>
      <c r="P37" s="147"/>
      <c r="Q37" s="147"/>
      <c r="R37" s="147"/>
      <c r="S37" s="147"/>
      <c r="T37" s="147"/>
      <c r="U37" s="147"/>
      <c r="V37" s="147"/>
      <c r="W37" s="147"/>
      <c r="X37" s="147"/>
      <c r="Y37" s="147">
        <v>1</v>
      </c>
      <c r="Z37" s="147">
        <v>1</v>
      </c>
      <c r="AA37" s="147">
        <v>1</v>
      </c>
      <c r="AB37" s="147">
        <v>1</v>
      </c>
      <c r="AC37" s="151"/>
    </row>
    <row r="38" spans="1:29" x14ac:dyDescent="0.35">
      <c r="A38" s="277"/>
      <c r="B38" s="172" t="s">
        <v>130</v>
      </c>
      <c r="C38" s="173">
        <v>1</v>
      </c>
      <c r="D38" s="173">
        <v>18</v>
      </c>
      <c r="E38" s="178" t="s">
        <v>273</v>
      </c>
      <c r="F38" s="166">
        <f>$C$49*$C$50</f>
        <v>13858.300000000001</v>
      </c>
      <c r="G38" s="166">
        <f>$C$49*$C$50</f>
        <v>13858.300000000001</v>
      </c>
      <c r="H38" s="150"/>
      <c r="I38" s="147"/>
      <c r="J38" s="147"/>
      <c r="K38" s="147"/>
      <c r="L38" s="147"/>
      <c r="M38" s="147"/>
      <c r="N38" s="147"/>
      <c r="O38" s="147"/>
      <c r="P38" s="147"/>
      <c r="Q38" s="147"/>
      <c r="R38" s="147"/>
      <c r="S38" s="147"/>
      <c r="T38" s="147"/>
      <c r="U38" s="147"/>
      <c r="V38" s="147"/>
      <c r="W38" s="147"/>
      <c r="X38" s="147"/>
      <c r="Y38" s="147">
        <v>1</v>
      </c>
      <c r="Z38" s="147">
        <v>1</v>
      </c>
      <c r="AA38" s="147">
        <v>1</v>
      </c>
      <c r="AB38" s="147">
        <v>1</v>
      </c>
      <c r="AC38" s="151"/>
    </row>
    <row r="39" spans="1:29" x14ac:dyDescent="0.35">
      <c r="A39" s="277" t="s">
        <v>131</v>
      </c>
      <c r="B39" s="75" t="s">
        <v>132</v>
      </c>
      <c r="C39" s="169">
        <v>7</v>
      </c>
      <c r="D39" s="169">
        <v>4</v>
      </c>
      <c r="E39" s="169">
        <v>1.87</v>
      </c>
      <c r="F39" s="166">
        <f>(C39*A$27)/E39</f>
        <v>3743.3155080213901</v>
      </c>
      <c r="G39" s="166">
        <f>(D39*A$27)/E39</f>
        <v>2139.0374331550802</v>
      </c>
      <c r="H39" s="150"/>
      <c r="I39" s="147">
        <v>1</v>
      </c>
      <c r="J39" s="147"/>
      <c r="K39" s="147"/>
      <c r="L39" s="147"/>
      <c r="M39" s="147">
        <v>1</v>
      </c>
      <c r="N39" s="147">
        <v>1</v>
      </c>
      <c r="O39" s="147">
        <v>1</v>
      </c>
      <c r="P39" s="147">
        <v>1</v>
      </c>
      <c r="Q39" s="147"/>
      <c r="R39" s="147"/>
      <c r="S39" s="147"/>
      <c r="T39" s="147"/>
      <c r="U39" s="147">
        <v>1</v>
      </c>
      <c r="V39" s="147"/>
      <c r="W39" s="147"/>
      <c r="X39" s="147"/>
      <c r="Y39" s="147">
        <v>1</v>
      </c>
      <c r="Z39" s="147">
        <v>1</v>
      </c>
      <c r="AA39" s="147">
        <v>1</v>
      </c>
      <c r="AB39" s="147">
        <v>1</v>
      </c>
      <c r="AC39" s="151"/>
    </row>
    <row r="40" spans="1:29" x14ac:dyDescent="0.35">
      <c r="A40" s="277"/>
      <c r="B40" s="75" t="s">
        <v>133</v>
      </c>
      <c r="C40" s="169">
        <v>5</v>
      </c>
      <c r="D40" s="169">
        <v>4</v>
      </c>
      <c r="E40" s="169">
        <v>9.16</v>
      </c>
      <c r="F40" s="166">
        <f>(C40*A$27)/E40</f>
        <v>545.8515283842795</v>
      </c>
      <c r="G40" s="166">
        <f>(D40*A$27)/E40</f>
        <v>436.68122270742356</v>
      </c>
      <c r="H40" s="150"/>
      <c r="I40" s="147">
        <v>1</v>
      </c>
      <c r="J40" s="147">
        <v>1</v>
      </c>
      <c r="K40" s="147">
        <v>1</v>
      </c>
      <c r="L40" s="147"/>
      <c r="M40" s="147">
        <v>1</v>
      </c>
      <c r="N40" s="147">
        <v>1</v>
      </c>
      <c r="O40" s="147">
        <v>1</v>
      </c>
      <c r="P40" s="147">
        <v>1</v>
      </c>
      <c r="Q40" s="147">
        <v>1</v>
      </c>
      <c r="R40" s="147"/>
      <c r="S40" s="147"/>
      <c r="T40" s="147">
        <v>1</v>
      </c>
      <c r="U40" s="147">
        <v>1</v>
      </c>
      <c r="V40" s="147">
        <v>1</v>
      </c>
      <c r="W40" s="147"/>
      <c r="X40" s="147">
        <v>1</v>
      </c>
      <c r="Y40" s="147">
        <v>1</v>
      </c>
      <c r="Z40" s="147">
        <v>1</v>
      </c>
      <c r="AA40" s="147">
        <v>1</v>
      </c>
      <c r="AB40" s="147">
        <v>1</v>
      </c>
      <c r="AC40" s="151">
        <v>1</v>
      </c>
    </row>
    <row r="41" spans="1:29" x14ac:dyDescent="0.35">
      <c r="A41" s="277" t="s">
        <v>134</v>
      </c>
      <c r="B41" s="75" t="s">
        <v>135</v>
      </c>
      <c r="C41" s="169">
        <v>3</v>
      </c>
      <c r="D41" s="169">
        <v>2</v>
      </c>
      <c r="E41" s="178" t="s">
        <v>273</v>
      </c>
      <c r="F41" s="166">
        <f>($C$49+$D$49)*$D$50</f>
        <v>4256.16</v>
      </c>
      <c r="G41" s="166">
        <f>($C$49+$D$49)*$D$50</f>
        <v>4256.16</v>
      </c>
      <c r="H41" s="150"/>
      <c r="I41" s="147"/>
      <c r="J41" s="147"/>
      <c r="K41" s="147"/>
      <c r="L41" s="147"/>
      <c r="M41" s="147"/>
      <c r="N41" s="147"/>
      <c r="O41" s="147"/>
      <c r="P41" s="147"/>
      <c r="Q41" s="147"/>
      <c r="R41" s="147"/>
      <c r="S41" s="147"/>
      <c r="T41" s="147"/>
      <c r="U41" s="147"/>
      <c r="V41" s="147"/>
      <c r="W41" s="147"/>
      <c r="X41" s="147"/>
      <c r="Y41" s="147">
        <v>1</v>
      </c>
      <c r="Z41" s="147">
        <v>1</v>
      </c>
      <c r="AA41" s="147">
        <v>1</v>
      </c>
      <c r="AB41" s="147">
        <v>1</v>
      </c>
      <c r="AC41" s="151"/>
    </row>
    <row r="42" spans="1:29" x14ac:dyDescent="0.35">
      <c r="A42" s="277"/>
      <c r="B42" s="75" t="s">
        <v>136</v>
      </c>
      <c r="C42" s="169">
        <v>3</v>
      </c>
      <c r="D42" s="169">
        <v>3</v>
      </c>
      <c r="E42" s="178" t="s">
        <v>273</v>
      </c>
      <c r="F42" s="166">
        <f>($C$49+$D$49)*$D$50</f>
        <v>4256.16</v>
      </c>
      <c r="G42" s="166">
        <f>($C$49+$D$49)*$D$50</f>
        <v>4256.16</v>
      </c>
      <c r="H42" s="150"/>
      <c r="I42" s="147">
        <v>1</v>
      </c>
      <c r="J42" s="147"/>
      <c r="K42" s="147"/>
      <c r="L42" s="147"/>
      <c r="M42" s="147"/>
      <c r="N42" s="147"/>
      <c r="O42" s="147"/>
      <c r="P42" s="147"/>
      <c r="Q42" s="147"/>
      <c r="R42" s="147"/>
      <c r="S42" s="147"/>
      <c r="T42" s="147"/>
      <c r="U42" s="147"/>
      <c r="V42" s="147"/>
      <c r="W42" s="147"/>
      <c r="X42" s="147"/>
      <c r="Y42" s="147">
        <v>1</v>
      </c>
      <c r="Z42" s="147">
        <v>1</v>
      </c>
      <c r="AA42" s="147">
        <v>1</v>
      </c>
      <c r="AB42" s="147">
        <v>1</v>
      </c>
      <c r="AC42" s="151"/>
    </row>
    <row r="43" spans="1:29" x14ac:dyDescent="0.35">
      <c r="A43" s="75" t="s">
        <v>137</v>
      </c>
      <c r="B43" s="75" t="s">
        <v>138</v>
      </c>
      <c r="C43" s="169">
        <v>9</v>
      </c>
      <c r="D43" s="169">
        <v>9</v>
      </c>
      <c r="E43" s="169">
        <v>0.34</v>
      </c>
      <c r="F43" s="166">
        <f>(C43*A$27)/E43</f>
        <v>26470.588235294115</v>
      </c>
      <c r="G43" s="166">
        <f>(D43*A$27)/E43</f>
        <v>26470.588235294115</v>
      </c>
      <c r="H43" s="150"/>
      <c r="I43" s="147"/>
      <c r="J43" s="147"/>
      <c r="K43" s="147"/>
      <c r="L43" s="147"/>
      <c r="M43" s="147"/>
      <c r="N43" s="147"/>
      <c r="O43" s="147"/>
      <c r="P43" s="147"/>
      <c r="Q43" s="147"/>
      <c r="R43" s="147"/>
      <c r="S43" s="147"/>
      <c r="T43" s="147"/>
      <c r="U43" s="147"/>
      <c r="V43" s="147"/>
      <c r="W43" s="147"/>
      <c r="X43" s="147"/>
      <c r="Y43" s="147"/>
      <c r="Z43" s="147"/>
      <c r="AA43" s="147"/>
      <c r="AB43" s="147"/>
      <c r="AC43" s="151"/>
    </row>
    <row r="44" spans="1:29" x14ac:dyDescent="0.35">
      <c r="A44" s="75" t="s">
        <v>139</v>
      </c>
      <c r="B44" s="75" t="s">
        <v>140</v>
      </c>
      <c r="C44" s="169">
        <v>9</v>
      </c>
      <c r="D44" s="169">
        <v>5</v>
      </c>
      <c r="E44" s="178" t="s">
        <v>273</v>
      </c>
      <c r="F44" s="174">
        <f>$B$49*$B$50</f>
        <v>155939.4</v>
      </c>
      <c r="G44" s="174">
        <f>$B$49*$B$50</f>
        <v>155939.4</v>
      </c>
      <c r="H44" s="150"/>
      <c r="I44" s="147"/>
      <c r="J44" s="147"/>
      <c r="K44" s="147"/>
      <c r="L44" s="147"/>
      <c r="M44" s="147"/>
      <c r="N44" s="147">
        <v>1</v>
      </c>
      <c r="O44" s="147"/>
      <c r="P44" s="147"/>
      <c r="Q44" s="147">
        <v>1</v>
      </c>
      <c r="R44" s="147"/>
      <c r="S44" s="147"/>
      <c r="T44" s="147"/>
      <c r="U44" s="147">
        <v>1</v>
      </c>
      <c r="V44" s="147"/>
      <c r="W44" s="147"/>
      <c r="X44" s="147"/>
      <c r="Y44" s="147">
        <v>1</v>
      </c>
      <c r="Z44" s="147">
        <v>1</v>
      </c>
      <c r="AA44" s="147">
        <v>1</v>
      </c>
      <c r="AB44" s="147">
        <v>1</v>
      </c>
      <c r="AC44" s="151"/>
    </row>
    <row r="45" spans="1:29" x14ac:dyDescent="0.35">
      <c r="A45" s="28"/>
      <c r="B45" s="8"/>
      <c r="C45" s="8"/>
      <c r="D45" s="8"/>
      <c r="E45" s="109" t="s">
        <v>141</v>
      </c>
      <c r="F45" s="72">
        <f>SUM(F31:F36,F39,F40,F43,F44)</f>
        <v>355083.63275772741</v>
      </c>
      <c r="G45" s="72">
        <f>SUM(G31:G36,G39,G40,G43,G44)</f>
        <v>357391.59110501298</v>
      </c>
      <c r="H45" s="152">
        <f>SUMPRODUCT($F$29:$F$44,H$29:H$44)</f>
        <v>260106.06666666665</v>
      </c>
      <c r="I45" s="153">
        <f t="shared" ref="I45:AB45" si="2">SUMPRODUCT($F$29:$F$44,I$29:I$44)</f>
        <v>469009.75394772063</v>
      </c>
      <c r="J45" s="153">
        <f t="shared" si="2"/>
        <v>302318.58486171759</v>
      </c>
      <c r="K45" s="153">
        <f t="shared" si="2"/>
        <v>458257.98486171762</v>
      </c>
      <c r="L45" s="153">
        <f t="shared" si="2"/>
        <v>457712.13333333336</v>
      </c>
      <c r="M45" s="153">
        <f t="shared" si="2"/>
        <v>464753.59394772066</v>
      </c>
      <c r="N45" s="153">
        <f t="shared" si="2"/>
        <v>620692.99394772062</v>
      </c>
      <c r="O45" s="153">
        <f t="shared" si="2"/>
        <v>464753.59394772066</v>
      </c>
      <c r="P45" s="153">
        <f t="shared" si="2"/>
        <v>423086.92728105397</v>
      </c>
      <c r="Q45" s="153">
        <f t="shared" si="2"/>
        <v>458257.98486171756</v>
      </c>
      <c r="R45" s="153">
        <f t="shared" si="2"/>
        <v>104166.66666666667</v>
      </c>
      <c r="S45" s="153">
        <f t="shared" si="2"/>
        <v>104166.66666666667</v>
      </c>
      <c r="T45" s="153">
        <f t="shared" si="2"/>
        <v>260651.91819505094</v>
      </c>
      <c r="U45" s="153">
        <f t="shared" si="2"/>
        <v>480966.81761111831</v>
      </c>
      <c r="V45" s="153">
        <f t="shared" si="2"/>
        <v>302318.58486171759</v>
      </c>
      <c r="W45" s="153">
        <f t="shared" si="2"/>
        <v>260106.06666666665</v>
      </c>
      <c r="X45" s="153">
        <f t="shared" si="2"/>
        <v>416591.31819505093</v>
      </c>
      <c r="Y45" s="153">
        <f t="shared" si="2"/>
        <v>675887.43118909991</v>
      </c>
      <c r="Z45" s="153">
        <f t="shared" si="2"/>
        <v>675887.43118909991</v>
      </c>
      <c r="AA45" s="153">
        <f t="shared" si="2"/>
        <v>675887.43118909991</v>
      </c>
      <c r="AB45" s="153">
        <f t="shared" si="2"/>
        <v>675887.43118909991</v>
      </c>
      <c r="AC45" s="154">
        <f>SUMPRODUCT($F$29:$F$44,AC$29:AC$44)</f>
        <v>305070.87843969924</v>
      </c>
    </row>
    <row r="46" spans="1:29" x14ac:dyDescent="0.35">
      <c r="B46" s="8"/>
      <c r="C46" s="8"/>
      <c r="D46" s="8"/>
      <c r="E46" s="8"/>
      <c r="F46" s="110"/>
      <c r="G46" s="59"/>
    </row>
    <row r="47" spans="1:29" x14ac:dyDescent="0.35">
      <c r="A47" s="14"/>
    </row>
    <row r="48" spans="1:29" x14ac:dyDescent="0.35">
      <c r="A48" s="103"/>
      <c r="B48" s="103" t="s">
        <v>142</v>
      </c>
      <c r="C48" s="103" t="s">
        <v>143</v>
      </c>
      <c r="D48" s="103" t="s">
        <v>144</v>
      </c>
      <c r="E48" s="103" t="s">
        <v>145</v>
      </c>
      <c r="F48" s="103" t="s">
        <v>66</v>
      </c>
    </row>
    <row r="49" spans="1:7" x14ac:dyDescent="0.35">
      <c r="A49" s="164" t="s">
        <v>275</v>
      </c>
      <c r="B49" s="48">
        <v>1039596</v>
      </c>
      <c r="C49" s="48">
        <v>138583</v>
      </c>
      <c r="D49" s="165">
        <v>3289</v>
      </c>
      <c r="E49" s="165">
        <v>1</v>
      </c>
      <c r="F49" s="175">
        <v>1181469</v>
      </c>
    </row>
    <row r="50" spans="1:7" x14ac:dyDescent="0.35">
      <c r="A50" s="62" t="s">
        <v>274</v>
      </c>
      <c r="B50" s="188">
        <v>0.15</v>
      </c>
      <c r="C50" s="188">
        <v>0.1</v>
      </c>
      <c r="D50" s="188">
        <v>0.03</v>
      </c>
      <c r="E50" s="176" t="s">
        <v>273</v>
      </c>
      <c r="F50" s="177" t="s">
        <v>273</v>
      </c>
    </row>
    <row r="52" spans="1:7" x14ac:dyDescent="0.35">
      <c r="A52" s="118" t="s">
        <v>62</v>
      </c>
    </row>
    <row r="53" spans="1:7" s="8" customFormat="1" x14ac:dyDescent="0.35">
      <c r="A53" s="28" t="s">
        <v>276</v>
      </c>
      <c r="F53" s="110"/>
      <c r="G53" s="59"/>
    </row>
    <row r="54" spans="1:7" s="8" customFormat="1" x14ac:dyDescent="0.35">
      <c r="A54" s="28" t="s">
        <v>360</v>
      </c>
      <c r="F54" s="110"/>
      <c r="G54" s="59"/>
    </row>
    <row r="55" spans="1:7" s="8" customFormat="1" x14ac:dyDescent="0.35">
      <c r="A55" s="189" t="s">
        <v>361</v>
      </c>
      <c r="F55" s="110"/>
      <c r="G55" s="59"/>
    </row>
  </sheetData>
  <mergeCells count="6">
    <mergeCell ref="A41:A42"/>
    <mergeCell ref="A29:A30"/>
    <mergeCell ref="A31:A32"/>
    <mergeCell ref="A33:A36"/>
    <mergeCell ref="A37:A38"/>
    <mergeCell ref="A39:A40"/>
  </mergeCells>
  <pageMargins left="0.7" right="0.7" top="0.75" bottom="0.75" header="0.3" footer="0.3"/>
  <pageSetup orientation="portrait" horizontalDpi="90" verticalDpi="9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O47"/>
  <sheetViews>
    <sheetView topLeftCell="A4" zoomScaleNormal="100" workbookViewId="0">
      <selection activeCell="B9" sqref="B9:C10"/>
    </sheetView>
  </sheetViews>
  <sheetFormatPr defaultRowHeight="14.5" x14ac:dyDescent="0.35"/>
  <cols>
    <col min="1" max="1" width="9.1796875" customWidth="1"/>
    <col min="2" max="2" width="41.1796875" bestFit="1" customWidth="1"/>
    <col min="3" max="3" width="20.54296875" customWidth="1"/>
    <col min="4" max="4" width="22.26953125" customWidth="1"/>
    <col min="5" max="5" width="7.7265625" customWidth="1"/>
    <col min="6" max="7" width="16.81640625" customWidth="1"/>
    <col min="8" max="8" width="31.81640625" customWidth="1"/>
    <col min="9" max="9" width="15.26953125" customWidth="1"/>
    <col min="10" max="11" width="16.81640625" customWidth="1"/>
    <col min="13" max="13" width="34" customWidth="1"/>
    <col min="14" max="14" width="19.54296875" customWidth="1"/>
    <col min="15" max="15" width="10.7265625" customWidth="1"/>
  </cols>
  <sheetData>
    <row r="1" spans="1:15" ht="21" x14ac:dyDescent="0.5">
      <c r="A1" s="234" t="s">
        <v>319</v>
      </c>
    </row>
    <row r="2" spans="1:15" x14ac:dyDescent="0.35">
      <c r="A2" t="s">
        <v>320</v>
      </c>
      <c r="C2" s="227"/>
    </row>
    <row r="3" spans="1:15" x14ac:dyDescent="0.35">
      <c r="B3" s="227" t="s">
        <v>108</v>
      </c>
      <c r="C3" s="237" t="s">
        <v>105</v>
      </c>
    </row>
    <row r="4" spans="1:15" x14ac:dyDescent="0.35">
      <c r="B4" s="227" t="s">
        <v>324</v>
      </c>
      <c r="C4" s="237" t="s">
        <v>109</v>
      </c>
    </row>
    <row r="5" spans="1:15" x14ac:dyDescent="0.35">
      <c r="B5" s="227" t="s">
        <v>73</v>
      </c>
      <c r="C5" s="237" t="s">
        <v>74</v>
      </c>
    </row>
    <row r="6" spans="1:15" x14ac:dyDescent="0.35">
      <c r="B6" s="227" t="s">
        <v>321</v>
      </c>
      <c r="C6" s="227"/>
    </row>
    <row r="7" spans="1:15" x14ac:dyDescent="0.35">
      <c r="B7" s="227"/>
      <c r="C7" s="227"/>
    </row>
    <row r="8" spans="1:15" x14ac:dyDescent="0.35">
      <c r="A8" s="4" t="s">
        <v>325</v>
      </c>
      <c r="B8" s="4"/>
    </row>
    <row r="9" spans="1:15" x14ac:dyDescent="0.35">
      <c r="B9" s="235"/>
      <c r="C9" s="4" t="s">
        <v>323</v>
      </c>
    </row>
    <row r="10" spans="1:15" x14ac:dyDescent="0.35">
      <c r="B10" s="236"/>
      <c r="C10" s="4" t="s">
        <v>322</v>
      </c>
    </row>
    <row r="13" spans="1:15" ht="15.5" x14ac:dyDescent="0.35">
      <c r="B13" s="212" t="s">
        <v>326</v>
      </c>
      <c r="F13" s="212" t="s">
        <v>327</v>
      </c>
      <c r="I13" s="212" t="s">
        <v>317</v>
      </c>
      <c r="M13" s="233" t="s">
        <v>318</v>
      </c>
    </row>
    <row r="14" spans="1:15" ht="43.5" x14ac:dyDescent="0.35">
      <c r="B14" s="76" t="s">
        <v>76</v>
      </c>
      <c r="C14" s="73" t="s">
        <v>310</v>
      </c>
      <c r="D14" s="73" t="s">
        <v>309</v>
      </c>
      <c r="E14" s="13"/>
      <c r="F14" s="76" t="s">
        <v>313</v>
      </c>
      <c r="G14" s="76" t="s">
        <v>79</v>
      </c>
      <c r="I14" s="76" t="s">
        <v>76</v>
      </c>
      <c r="J14" s="73" t="s">
        <v>106</v>
      </c>
      <c r="K14" s="73" t="s">
        <v>107</v>
      </c>
      <c r="M14" s="76" t="s">
        <v>315</v>
      </c>
      <c r="N14" s="73" t="s">
        <v>316</v>
      </c>
      <c r="O14" s="76" t="s">
        <v>107</v>
      </c>
    </row>
    <row r="15" spans="1:15" x14ac:dyDescent="0.35">
      <c r="B15" s="56" t="s">
        <v>80</v>
      </c>
      <c r="C15" s="228">
        <v>1695.3</v>
      </c>
      <c r="D15" s="224" t="s">
        <v>60</v>
      </c>
      <c r="F15" s="56" t="s">
        <v>75</v>
      </c>
      <c r="G15" s="229">
        <v>333887</v>
      </c>
      <c r="I15" s="56" t="s">
        <v>75</v>
      </c>
      <c r="J15" s="187">
        <f>SUMIF($D$15:$D$43,F15,$C$15:$C$43)</f>
        <v>61714.100000000079</v>
      </c>
      <c r="K15" s="230">
        <f t="shared" ref="K15:K20" si="0">G15/J15</f>
        <v>5.4102222992800604</v>
      </c>
      <c r="M15" s="114" t="s">
        <v>10</v>
      </c>
      <c r="N15" s="75" t="s">
        <v>55</v>
      </c>
      <c r="O15" s="182">
        <f>INDEX($I$15:$K$28,MATCH(N15,$I$15:$I$28,0),3)</f>
        <v>0.1997271973206857</v>
      </c>
    </row>
    <row r="16" spans="1:15" x14ac:dyDescent="0.35">
      <c r="B16" s="56" t="s">
        <v>81</v>
      </c>
      <c r="C16" s="228">
        <v>4725.5</v>
      </c>
      <c r="D16" s="224" t="s">
        <v>77</v>
      </c>
      <c r="F16" s="56" t="s">
        <v>57</v>
      </c>
      <c r="G16" s="229">
        <v>120164</v>
      </c>
      <c r="I16" s="56" t="s">
        <v>57</v>
      </c>
      <c r="J16" s="187">
        <f>SUMIF($D$15:$D$43,F16,$C$15:$C$43)</f>
        <v>133408.39999999997</v>
      </c>
      <c r="K16" s="230">
        <f t="shared" si="0"/>
        <v>0.90072289301123487</v>
      </c>
      <c r="M16" s="114" t="s">
        <v>11</v>
      </c>
      <c r="N16" s="75" t="s">
        <v>55</v>
      </c>
      <c r="O16" s="182">
        <f t="shared" ref="O16:O47" si="1">INDEX($I$15:$K$28,MATCH(N16,$I$15:$I$28,0),3)</f>
        <v>0.1997271973206857</v>
      </c>
    </row>
    <row r="17" spans="2:15" x14ac:dyDescent="0.35">
      <c r="B17" s="56" t="s">
        <v>82</v>
      </c>
      <c r="C17" s="228">
        <v>997.4</v>
      </c>
      <c r="D17" s="224" t="s">
        <v>52</v>
      </c>
      <c r="F17" s="56" t="s">
        <v>52</v>
      </c>
      <c r="G17" s="229">
        <v>70831</v>
      </c>
      <c r="I17" s="56" t="s">
        <v>52</v>
      </c>
      <c r="J17" s="187">
        <f t="shared" ref="J17:J26" si="2">SUMIF($D$15:$D$43,F17,$C$15:$C$43)</f>
        <v>228026.49999999994</v>
      </c>
      <c r="K17" s="230">
        <f t="shared" si="0"/>
        <v>0.31062617722063013</v>
      </c>
      <c r="M17" s="114" t="s">
        <v>12</v>
      </c>
      <c r="N17" s="75" t="s">
        <v>55</v>
      </c>
      <c r="O17" s="182">
        <f t="shared" si="1"/>
        <v>0.1997271973206857</v>
      </c>
    </row>
    <row r="18" spans="2:15" x14ac:dyDescent="0.35">
      <c r="B18" s="56" t="s">
        <v>83</v>
      </c>
      <c r="C18" s="228">
        <v>79985.800000000309</v>
      </c>
      <c r="D18" s="224" t="s">
        <v>53</v>
      </c>
      <c r="F18" s="56" t="s">
        <v>55</v>
      </c>
      <c r="G18" s="229">
        <f>69113+42083</f>
        <v>111196</v>
      </c>
      <c r="I18" s="56" t="s">
        <v>55</v>
      </c>
      <c r="J18" s="187">
        <f t="shared" si="2"/>
        <v>556739.39999999921</v>
      </c>
      <c r="K18" s="230">
        <f t="shared" si="0"/>
        <v>0.1997271973206857</v>
      </c>
      <c r="M18" s="114" t="s">
        <v>13</v>
      </c>
      <c r="N18" s="75" t="s">
        <v>57</v>
      </c>
      <c r="O18" s="182">
        <f t="shared" si="1"/>
        <v>0.90072289301123487</v>
      </c>
    </row>
    <row r="19" spans="2:15" x14ac:dyDescent="0.35">
      <c r="B19" s="56" t="s">
        <v>84</v>
      </c>
      <c r="C19" s="228">
        <v>227029.09999999995</v>
      </c>
      <c r="D19" s="224" t="s">
        <v>52</v>
      </c>
      <c r="F19" s="56" t="s">
        <v>56</v>
      </c>
      <c r="G19" s="229">
        <v>55562</v>
      </c>
      <c r="I19" s="56" t="s">
        <v>56</v>
      </c>
      <c r="J19" s="187">
        <f t="shared" si="2"/>
        <v>99960.299999999988</v>
      </c>
      <c r="K19" s="230">
        <f t="shared" si="0"/>
        <v>0.55584066874549198</v>
      </c>
      <c r="M19" s="114" t="s">
        <v>14</v>
      </c>
      <c r="N19" s="75" t="s">
        <v>57</v>
      </c>
      <c r="O19" s="182">
        <f t="shared" si="1"/>
        <v>0.90072289301123487</v>
      </c>
    </row>
    <row r="20" spans="2:15" x14ac:dyDescent="0.35">
      <c r="B20" s="56" t="s">
        <v>85</v>
      </c>
      <c r="C20" s="228">
        <v>47</v>
      </c>
      <c r="D20" s="224" t="s">
        <v>60</v>
      </c>
      <c r="F20" s="56" t="s">
        <v>53</v>
      </c>
      <c r="G20" s="229">
        <f>53029+11485</f>
        <v>64514</v>
      </c>
      <c r="I20" s="56" t="s">
        <v>53</v>
      </c>
      <c r="J20" s="187">
        <f t="shared" si="2"/>
        <v>79985.800000000309</v>
      </c>
      <c r="K20" s="230">
        <f t="shared" si="0"/>
        <v>0.80656816584943514</v>
      </c>
      <c r="M20" s="114" t="s">
        <v>15</v>
      </c>
      <c r="N20" s="75" t="s">
        <v>57</v>
      </c>
      <c r="O20" s="182">
        <f t="shared" si="1"/>
        <v>0.90072289301123487</v>
      </c>
    </row>
    <row r="21" spans="2:15" x14ac:dyDescent="0.35">
      <c r="B21" s="56" t="s">
        <v>54</v>
      </c>
      <c r="C21" s="228">
        <v>3889.4000000000005</v>
      </c>
      <c r="D21" s="224" t="s">
        <v>54</v>
      </c>
      <c r="F21" s="56" t="s">
        <v>58</v>
      </c>
      <c r="G21" s="229">
        <v>29103</v>
      </c>
      <c r="I21" s="56" t="s">
        <v>58</v>
      </c>
      <c r="J21" s="187">
        <f>SUMIF($D$15:$D$43,F21,$C$15:$C$43)</f>
        <v>0</v>
      </c>
      <c r="K21" s="231" t="s">
        <v>273</v>
      </c>
      <c r="M21" s="114" t="s">
        <v>16</v>
      </c>
      <c r="N21" s="75" t="s">
        <v>57</v>
      </c>
      <c r="O21" s="182">
        <f t="shared" si="1"/>
        <v>0.90072289301123487</v>
      </c>
    </row>
    <row r="22" spans="2:15" x14ac:dyDescent="0.35">
      <c r="B22" s="56" t="s">
        <v>86</v>
      </c>
      <c r="C22" s="228">
        <v>22008.1</v>
      </c>
      <c r="D22" s="224" t="s">
        <v>78</v>
      </c>
      <c r="F22" s="56" t="s">
        <v>59</v>
      </c>
      <c r="G22" s="229">
        <v>12388</v>
      </c>
      <c r="I22" s="56" t="s">
        <v>59</v>
      </c>
      <c r="J22" s="187">
        <f t="shared" si="2"/>
        <v>14410.699999999948</v>
      </c>
      <c r="K22" s="230">
        <f t="shared" ref="K22:K28" si="3">G22/J22</f>
        <v>0.85963901822951316</v>
      </c>
      <c r="M22" s="114" t="s">
        <v>17</v>
      </c>
      <c r="N22" s="75" t="s">
        <v>57</v>
      </c>
      <c r="O22" s="182">
        <f t="shared" si="1"/>
        <v>0.90072289301123487</v>
      </c>
    </row>
    <row r="23" spans="2:15" x14ac:dyDescent="0.35">
      <c r="B23" s="56" t="s">
        <v>87</v>
      </c>
      <c r="C23" s="228">
        <v>1901.8999999999533</v>
      </c>
      <c r="D23" s="224" t="s">
        <v>59</v>
      </c>
      <c r="F23" s="56" t="s">
        <v>60</v>
      </c>
      <c r="G23" s="229">
        <v>39972</v>
      </c>
      <c r="I23" s="56" t="s">
        <v>60</v>
      </c>
      <c r="J23" s="187">
        <f t="shared" si="2"/>
        <v>4015.3000000000011</v>
      </c>
      <c r="K23" s="230">
        <f t="shared" si="3"/>
        <v>9.9549224217368533</v>
      </c>
      <c r="M23" s="114" t="s">
        <v>18</v>
      </c>
      <c r="N23" s="75" t="s">
        <v>57</v>
      </c>
      <c r="O23" s="182">
        <f t="shared" si="1"/>
        <v>0.90072289301123487</v>
      </c>
    </row>
    <row r="24" spans="2:15" x14ac:dyDescent="0.35">
      <c r="B24" s="56" t="s">
        <v>88</v>
      </c>
      <c r="C24" s="228">
        <v>2539.6</v>
      </c>
      <c r="D24" s="224" t="s">
        <v>59</v>
      </c>
      <c r="F24" s="56" t="s">
        <v>61</v>
      </c>
      <c r="G24" s="229">
        <v>11741</v>
      </c>
      <c r="I24" s="56" t="s">
        <v>61</v>
      </c>
      <c r="J24" s="187">
        <f t="shared" si="2"/>
        <v>32578.199999999269</v>
      </c>
      <c r="K24" s="230">
        <f t="shared" si="3"/>
        <v>0.36039437415204839</v>
      </c>
      <c r="M24" s="114" t="s">
        <v>19</v>
      </c>
      <c r="N24" s="75" t="s">
        <v>57</v>
      </c>
      <c r="O24" s="182">
        <f t="shared" si="1"/>
        <v>0.90072289301123487</v>
      </c>
    </row>
    <row r="25" spans="2:15" x14ac:dyDescent="0.35">
      <c r="B25" s="56" t="s">
        <v>89</v>
      </c>
      <c r="C25" s="228">
        <v>314009.60000000003</v>
      </c>
      <c r="D25" s="224" t="s">
        <v>55</v>
      </c>
      <c r="F25" s="56" t="s">
        <v>54</v>
      </c>
      <c r="G25" s="229">
        <v>8222</v>
      </c>
      <c r="I25" s="56" t="s">
        <v>54</v>
      </c>
      <c r="J25" s="187">
        <f t="shared" si="2"/>
        <v>3889.4000000000005</v>
      </c>
      <c r="K25" s="230">
        <f t="shared" si="3"/>
        <v>2.1139507379030182</v>
      </c>
      <c r="M25" s="114" t="s">
        <v>20</v>
      </c>
      <c r="N25" s="75" t="s">
        <v>57</v>
      </c>
      <c r="O25" s="182">
        <f t="shared" si="1"/>
        <v>0.90072289301123487</v>
      </c>
    </row>
    <row r="26" spans="2:15" x14ac:dyDescent="0.35">
      <c r="B26" s="56" t="s">
        <v>90</v>
      </c>
      <c r="C26" s="228">
        <v>157412.49999999924</v>
      </c>
      <c r="D26" s="224" t="s">
        <v>55</v>
      </c>
      <c r="F26" s="56" t="s">
        <v>77</v>
      </c>
      <c r="G26" s="229">
        <v>69698</v>
      </c>
      <c r="I26" s="56" t="s">
        <v>77</v>
      </c>
      <c r="J26" s="187">
        <f t="shared" si="2"/>
        <v>4725.5</v>
      </c>
      <c r="K26" s="230">
        <f t="shared" si="3"/>
        <v>14.749338694318062</v>
      </c>
      <c r="M26" s="114" t="s">
        <v>21</v>
      </c>
      <c r="N26" s="75" t="s">
        <v>75</v>
      </c>
      <c r="O26" s="182">
        <f t="shared" si="1"/>
        <v>5.4102222992800604</v>
      </c>
    </row>
    <row r="27" spans="2:15" x14ac:dyDescent="0.35">
      <c r="B27" s="56" t="s">
        <v>91</v>
      </c>
      <c r="C27" s="228">
        <v>5420.7999999999338</v>
      </c>
      <c r="D27" s="224" t="s">
        <v>55</v>
      </c>
      <c r="F27" s="56" t="s">
        <v>78</v>
      </c>
      <c r="G27" s="229">
        <v>7901</v>
      </c>
      <c r="I27" s="56" t="s">
        <v>78</v>
      </c>
      <c r="J27" s="187">
        <f>SUMIF($D$15:$D$43,F27,$C$15:$C$43)</f>
        <v>22008.1</v>
      </c>
      <c r="K27" s="230">
        <f t="shared" si="3"/>
        <v>0.35900418482286067</v>
      </c>
      <c r="M27" s="114" t="s">
        <v>22</v>
      </c>
      <c r="N27" s="75" t="s">
        <v>75</v>
      </c>
      <c r="O27" s="182">
        <f t="shared" si="1"/>
        <v>5.4102222992800604</v>
      </c>
    </row>
    <row r="28" spans="2:15" x14ac:dyDescent="0.35">
      <c r="B28" s="56" t="s">
        <v>92</v>
      </c>
      <c r="C28" s="228">
        <v>79482.499999999971</v>
      </c>
      <c r="D28" s="224" t="s">
        <v>55</v>
      </c>
      <c r="F28" s="56" t="s">
        <v>45</v>
      </c>
      <c r="G28" s="229">
        <v>2164914</v>
      </c>
      <c r="I28" s="56" t="s">
        <v>45</v>
      </c>
      <c r="J28" s="187">
        <f>SUMIF($D$15:$D$43,F28,$C$15:$C$43)</f>
        <v>35756.711000000003</v>
      </c>
      <c r="K28" s="230">
        <f t="shared" si="3"/>
        <v>60.545669315055285</v>
      </c>
      <c r="M28" s="114" t="s">
        <v>23</v>
      </c>
      <c r="N28" s="75" t="s">
        <v>75</v>
      </c>
      <c r="O28" s="182">
        <f t="shared" si="1"/>
        <v>5.4102222992800604</v>
      </c>
    </row>
    <row r="29" spans="2:15" x14ac:dyDescent="0.35">
      <c r="B29" s="56" t="s">
        <v>93</v>
      </c>
      <c r="C29" s="228">
        <v>110</v>
      </c>
      <c r="D29" s="224" t="s">
        <v>55</v>
      </c>
      <c r="F29" s="225" t="s">
        <v>62</v>
      </c>
      <c r="G29" s="33"/>
      <c r="J29" s="232"/>
      <c r="K29" s="33"/>
      <c r="M29" s="114" t="s">
        <v>24</v>
      </c>
      <c r="N29" s="75" t="s">
        <v>75</v>
      </c>
      <c r="O29" s="182">
        <f t="shared" si="1"/>
        <v>5.4102222992800604</v>
      </c>
    </row>
    <row r="30" spans="2:15" x14ac:dyDescent="0.35">
      <c r="B30" s="56" t="s">
        <v>56</v>
      </c>
      <c r="C30" s="228">
        <v>99960.299999999988</v>
      </c>
      <c r="D30" s="224" t="s">
        <v>56</v>
      </c>
      <c r="F30" s="226" t="s">
        <v>311</v>
      </c>
      <c r="M30" s="114" t="s">
        <v>25</v>
      </c>
      <c r="N30" s="75" t="s">
        <v>75</v>
      </c>
      <c r="O30" s="182">
        <f t="shared" si="1"/>
        <v>5.4102222992800604</v>
      </c>
    </row>
    <row r="31" spans="2:15" x14ac:dyDescent="0.35">
      <c r="B31" s="56" t="s">
        <v>94</v>
      </c>
      <c r="C31" s="228">
        <v>42</v>
      </c>
      <c r="D31" s="224" t="s">
        <v>57</v>
      </c>
      <c r="F31" s="226" t="s">
        <v>312</v>
      </c>
      <c r="M31" s="114" t="s">
        <v>26</v>
      </c>
      <c r="N31" s="75" t="s">
        <v>77</v>
      </c>
      <c r="O31" s="182">
        <f t="shared" si="1"/>
        <v>14.749338694318062</v>
      </c>
    </row>
    <row r="32" spans="2:15" x14ac:dyDescent="0.35">
      <c r="B32" s="56" t="s">
        <v>95</v>
      </c>
      <c r="C32" s="228">
        <v>133366.39999999997</v>
      </c>
      <c r="D32" s="224" t="s">
        <v>57</v>
      </c>
      <c r="F32" s="227" t="s">
        <v>314</v>
      </c>
      <c r="M32" s="114" t="s">
        <v>27</v>
      </c>
      <c r="N32" s="75" t="s">
        <v>77</v>
      </c>
      <c r="O32" s="182">
        <f t="shared" si="1"/>
        <v>14.749338694318062</v>
      </c>
    </row>
    <row r="33" spans="2:15" x14ac:dyDescent="0.35">
      <c r="B33" s="56" t="s">
        <v>96</v>
      </c>
      <c r="C33" s="228">
        <v>2273.0000000000009</v>
      </c>
      <c r="D33" s="224" t="s">
        <v>60</v>
      </c>
      <c r="M33" s="114" t="s">
        <v>28</v>
      </c>
      <c r="N33" s="75" t="s">
        <v>77</v>
      </c>
      <c r="O33" s="182">
        <f t="shared" si="1"/>
        <v>14.749338694318062</v>
      </c>
    </row>
    <row r="34" spans="2:15" x14ac:dyDescent="0.35">
      <c r="B34" s="56" t="s">
        <v>97</v>
      </c>
      <c r="C34" s="228">
        <v>304</v>
      </c>
      <c r="D34" s="224" t="s">
        <v>55</v>
      </c>
      <c r="M34" s="114" t="s">
        <v>29</v>
      </c>
      <c r="N34" s="75" t="s">
        <v>77</v>
      </c>
      <c r="O34" s="182">
        <f t="shared" si="1"/>
        <v>14.749338694318062</v>
      </c>
    </row>
    <row r="35" spans="2:15" x14ac:dyDescent="0.35">
      <c r="B35" s="56" t="s">
        <v>98</v>
      </c>
      <c r="C35" s="228">
        <v>690.10000000000014</v>
      </c>
      <c r="D35" s="224" t="s">
        <v>59</v>
      </c>
      <c r="M35" s="114" t="s">
        <v>30</v>
      </c>
      <c r="N35" s="74" t="s">
        <v>78</v>
      </c>
      <c r="O35" s="182">
        <f t="shared" si="1"/>
        <v>0.35900418482286067</v>
      </c>
    </row>
    <row r="36" spans="2:15" x14ac:dyDescent="0.35">
      <c r="B36" s="56" t="s">
        <v>99</v>
      </c>
      <c r="C36" s="228">
        <v>1638.6999999999998</v>
      </c>
      <c r="D36" s="224" t="s">
        <v>61</v>
      </c>
      <c r="M36" s="114" t="s">
        <v>31</v>
      </c>
      <c r="N36" s="75" t="s">
        <v>77</v>
      </c>
      <c r="O36" s="182">
        <f t="shared" si="1"/>
        <v>14.749338694318062</v>
      </c>
    </row>
    <row r="37" spans="2:15" x14ac:dyDescent="0.35">
      <c r="B37" s="56" t="s">
        <v>100</v>
      </c>
      <c r="C37" s="228">
        <v>30939.499999999269</v>
      </c>
      <c r="D37" s="224" t="s">
        <v>61</v>
      </c>
      <c r="M37" s="114" t="s">
        <v>32</v>
      </c>
      <c r="N37" s="75" t="s">
        <v>57</v>
      </c>
      <c r="O37" s="182">
        <f t="shared" si="1"/>
        <v>0.90072289301123487</v>
      </c>
    </row>
    <row r="38" spans="2:15" x14ac:dyDescent="0.35">
      <c r="B38" s="56" t="s">
        <v>101</v>
      </c>
      <c r="C38" s="228">
        <v>60217.100000000079</v>
      </c>
      <c r="D38" s="224" t="s">
        <v>75</v>
      </c>
      <c r="M38" s="114" t="s">
        <v>33</v>
      </c>
      <c r="N38" s="75" t="s">
        <v>75</v>
      </c>
      <c r="O38" s="182">
        <f t="shared" si="1"/>
        <v>5.4102222992800604</v>
      </c>
    </row>
    <row r="39" spans="2:15" x14ac:dyDescent="0.35">
      <c r="B39" s="56" t="s">
        <v>102</v>
      </c>
      <c r="C39" s="228">
        <v>405</v>
      </c>
      <c r="D39" s="224" t="s">
        <v>75</v>
      </c>
      <c r="M39" s="114" t="s">
        <v>34</v>
      </c>
      <c r="N39" s="75" t="s">
        <v>57</v>
      </c>
      <c r="O39" s="182">
        <f t="shared" si="1"/>
        <v>0.90072289301123487</v>
      </c>
    </row>
    <row r="40" spans="2:15" x14ac:dyDescent="0.35">
      <c r="B40" s="56" t="s">
        <v>103</v>
      </c>
      <c r="C40" s="228">
        <v>1092</v>
      </c>
      <c r="D40" s="224" t="s">
        <v>75</v>
      </c>
      <c r="M40" s="114" t="s">
        <v>35</v>
      </c>
      <c r="N40" s="75" t="s">
        <v>59</v>
      </c>
      <c r="O40" s="182">
        <f t="shared" si="1"/>
        <v>0.85963901822951316</v>
      </c>
    </row>
    <row r="41" spans="2:15" x14ac:dyDescent="0.35">
      <c r="B41" s="56" t="s">
        <v>104</v>
      </c>
      <c r="C41" s="228">
        <v>9279.0999999999949</v>
      </c>
      <c r="D41" s="224" t="s">
        <v>59</v>
      </c>
      <c r="M41" s="114" t="s">
        <v>36</v>
      </c>
      <c r="N41" s="75" t="s">
        <v>57</v>
      </c>
      <c r="O41" s="182">
        <f t="shared" si="1"/>
        <v>0.90072289301123487</v>
      </c>
    </row>
    <row r="42" spans="2:15" ht="16.5" x14ac:dyDescent="0.35">
      <c r="B42" s="56" t="s">
        <v>306</v>
      </c>
      <c r="C42" s="228">
        <v>6286.5229999999983</v>
      </c>
      <c r="D42" s="224" t="s">
        <v>45</v>
      </c>
      <c r="M42" s="114" t="s">
        <v>37</v>
      </c>
      <c r="N42" s="75" t="s">
        <v>75</v>
      </c>
      <c r="O42" s="182">
        <f t="shared" si="1"/>
        <v>5.4102222992800604</v>
      </c>
    </row>
    <row r="43" spans="2:15" ht="16.5" x14ac:dyDescent="0.35">
      <c r="B43" s="56" t="s">
        <v>308</v>
      </c>
      <c r="C43" s="228">
        <v>29470.188000000002</v>
      </c>
      <c r="D43" s="224" t="s">
        <v>45</v>
      </c>
      <c r="M43" s="114" t="s">
        <v>38</v>
      </c>
      <c r="N43" s="75" t="s">
        <v>75</v>
      </c>
      <c r="O43" s="182">
        <f t="shared" si="1"/>
        <v>5.4102222992800604</v>
      </c>
    </row>
    <row r="44" spans="2:15" x14ac:dyDescent="0.35">
      <c r="B44" s="6" t="s">
        <v>62</v>
      </c>
      <c r="M44" s="114" t="s">
        <v>39</v>
      </c>
      <c r="N44" s="75" t="s">
        <v>75</v>
      </c>
      <c r="O44" s="182">
        <f t="shared" si="1"/>
        <v>5.4102222992800604</v>
      </c>
    </row>
    <row r="45" spans="2:15" x14ac:dyDescent="0.35">
      <c r="B45" s="227" t="s">
        <v>307</v>
      </c>
      <c r="M45" s="114" t="s">
        <v>40</v>
      </c>
      <c r="N45" s="75" t="s">
        <v>45</v>
      </c>
      <c r="O45" s="182">
        <f t="shared" si="1"/>
        <v>60.545669315055285</v>
      </c>
    </row>
    <row r="46" spans="2:15" x14ac:dyDescent="0.35">
      <c r="C46" s="3"/>
      <c r="M46" s="114" t="s">
        <v>41</v>
      </c>
      <c r="N46" s="75" t="s">
        <v>45</v>
      </c>
      <c r="O46" s="182">
        <f t="shared" si="1"/>
        <v>60.545669315055285</v>
      </c>
    </row>
    <row r="47" spans="2:15" x14ac:dyDescent="0.35">
      <c r="M47" s="114" t="s">
        <v>42</v>
      </c>
      <c r="N47" s="75" t="s">
        <v>45</v>
      </c>
      <c r="O47" s="182">
        <f t="shared" si="1"/>
        <v>60.545669315055285</v>
      </c>
    </row>
  </sheetData>
  <dataValidations count="1">
    <dataValidation type="list" allowBlank="1" showInputMessage="1" showErrorMessage="1" sqref="D15:E44 N15:N47">
      <formula1>$F$15:$F$28</formula1>
    </dataValidation>
  </dataValidations>
  <hyperlinks>
    <hyperlink ref="C5" r:id="rId1" display="https://www.energy.gov/sites/default/files/2022-06/USEER 2022 National Report_1.pdf"/>
    <hyperlink ref="C3" r:id="rId2" display="https://www.eia.gov/electricity/data/eia860/"/>
    <hyperlink ref="C4" r:id="rId3" display="https://www.eia.gov/electricity/data/eia861/"/>
  </hyperlinks>
  <pageMargins left="0.7" right="0.7" top="0.75" bottom="0.75" header="0.3" footer="0.3"/>
  <pageSetup orientation="portrait" horizontalDpi="90" verticalDpi="90" r:id="rId4"/>
  <drawing r:id="rId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6671"/>
  </sheetPr>
  <dimension ref="A1"/>
  <sheetViews>
    <sheetView workbookViewId="0">
      <selection activeCell="U46" sqref="U46"/>
    </sheetView>
  </sheetViews>
  <sheetFormatPr defaultRowHeight="14.5" x14ac:dyDescent="0.3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Charts</vt:lpstr>
      </vt:variant>
      <vt:variant>
        <vt:i4>1</vt:i4>
      </vt:variant>
    </vt:vector>
  </HeadingPairs>
  <TitlesOfParts>
    <vt:vector size="15" baseType="lpstr">
      <vt:lpstr>ReadMe</vt:lpstr>
      <vt:lpstr>CBI_Calculator</vt:lpstr>
      <vt:lpstr>Data_Input_Tabs=&gt;</vt:lpstr>
      <vt:lpstr>Emissions_All</vt:lpstr>
      <vt:lpstr>Cumulative_Capacity</vt:lpstr>
      <vt:lpstr>PortfolioCost</vt:lpstr>
      <vt:lpstr>DR_Participation</vt:lpstr>
      <vt:lpstr>Jobs_Per_MW</vt:lpstr>
      <vt:lpstr>Updated_Automatically=&gt;</vt:lpstr>
      <vt:lpstr>Jobs_Creation</vt:lpstr>
      <vt:lpstr>DR_Peak_Capacity</vt:lpstr>
      <vt:lpstr>DER_Participation</vt:lpstr>
      <vt:lpstr>EE_Added</vt:lpstr>
      <vt:lpstr>DER_Storage_Participation</vt:lpstr>
      <vt:lpstr>DecisionTool_Chart</vt:lpstr>
    </vt:vector>
  </TitlesOfParts>
  <Company>PUGET SOUND ENERGY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Tobin, Tyler</dc:creator>
  <cp:lastModifiedBy>Tyson, Brian</cp:lastModifiedBy>
  <dcterms:created xsi:type="dcterms:W3CDTF">2022-06-29T21:33:31Z</dcterms:created>
  <dcterms:modified xsi:type="dcterms:W3CDTF">2022-09-22T19:17:36Z</dcterms:modified>
</cp:coreProperties>
</file>