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workbookPr/>
  <mc:AlternateContent xmlns:mc="http://schemas.openxmlformats.org/markup-compatibility/2006">
    <mc:Choice Requires="x15">
      <x15ac:absPath xmlns:x15ac="http://schemas.microsoft.com/office/spreadsheetml/2010/11/ac" url="R:\ResourcePlanning\2023 IRP\04. IRP Book\Electric Progress Report\9.0 - Appendices\H. Electric Analysis Inputs and Results\"/>
    </mc:Choice>
  </mc:AlternateContent>
  <xr:revisionPtr revIDLastSave="0" documentId="11_397E77111B5A1F93A51685A558D41DD52F46EE3A" xr6:coauthVersionLast="47" xr6:coauthVersionMax="47" xr10:uidLastSave="{00000000-0000-0000-0000-000000000000}"/>
  <bookViews>
    <workbookView xWindow="0" yWindow="0" windowWidth="28800" windowHeight="11775" firstSheet="22" activeTab="22" xr2:uid="{00000000-000D-0000-FFFF-FFFF00000000}"/>
  </bookViews>
  <sheets>
    <sheet name="Readme" sheetId="13" r:id="rId1"/>
    <sheet name="Operating Life Assumptions" sheetId="26" r:id="rId2"/>
    <sheet name="O&amp;M Costs Assumptions" sheetId="29" r:id="rId3"/>
    <sheet name="FOM Cost Curves" sheetId="32" r:id="rId4"/>
    <sheet name="Spur Line Assumptions" sheetId="25" r:id="rId5"/>
    <sheet name="Capital Cost Curves" sheetId="12" r:id="rId6"/>
    <sheet name="Capital Cost Comparisons" sheetId="33" r:id="rId7"/>
    <sheet name="Capital Cost Breakdowns -&gt;" sheetId="28" r:id="rId8"/>
    <sheet name="Offshore Wind" sheetId="1" r:id="rId9"/>
    <sheet name="Wind BC" sheetId="30" r:id="rId10"/>
    <sheet name="Wind WA" sheetId="2" r:id="rId11"/>
    <sheet name="Wind MT" sheetId="20" r:id="rId12"/>
    <sheet name="Wind ID WY" sheetId="21" r:id="rId13"/>
    <sheet name="Solar WA" sheetId="3" r:id="rId14"/>
    <sheet name="Solar ID WY" sheetId="23" r:id="rId15"/>
    <sheet name="Solar DER" sheetId="16" r:id="rId16"/>
    <sheet name="Biomass" sheetId="9" r:id="rId17"/>
    <sheet name="PHES WA OR" sheetId="5" r:id="rId18"/>
    <sheet name="PHES MT" sheetId="34" r:id="rId19"/>
    <sheet name="Battery Utility" sheetId="4" r:id="rId20"/>
    <sheet name="Battery DER" sheetId="18" r:id="rId21"/>
    <sheet name="Hybrid" sheetId="19" r:id="rId22"/>
    <sheet name="Frame Peaker" sheetId="8" r:id="rId23"/>
    <sheet name="CCCT" sheetId="6" r:id="rId24"/>
    <sheet name="Recip Peaker" sheetId="7" r:id="rId25"/>
    <sheet name="Small Modular Nuclear" sheetId="10" r:id="rId26"/>
    <sheet name="Inflation" sheetId="14" r:id="rId27"/>
  </sheets>
  <externalReferences>
    <externalReference r:id="rId28"/>
    <externalReference r:id="rId29"/>
    <externalReference r:id="rId30"/>
    <externalReference r:id="rId31"/>
    <externalReference r:id="rId32"/>
    <externalReference r:id="rId33"/>
    <externalReference r:id="rId34"/>
    <externalReference r:id="rId35"/>
  </externalReferences>
  <definedNames>
    <definedName name="_Fill" localSheetId="18" hidden="1">#REF!</definedName>
    <definedName name="_Fill" localSheetId="9" hidden="1">#REF!</definedName>
    <definedName name="_Fill" hidden="1">#REF!</definedName>
    <definedName name="_Order1">255</definedName>
    <definedName name="_Order2">255</definedName>
    <definedName name="AAAAAAAAAAAAAA" hidden="1">{#N/A,#N/A,FALSE,"Coversheet";#N/A,#N/A,FALSE,"QA"}</definedName>
    <definedName name="AccessDatabase">"I:\COMTREL\FINICLE\TradeSummary.mdb"</definedName>
    <definedName name="Apr_94" localSheetId="18">#REF!</definedName>
    <definedName name="Apr_94" localSheetId="9">#REF!</definedName>
    <definedName name="Apr_94">#REF!</definedName>
    <definedName name="Apr_95" localSheetId="18">#REF!</definedName>
    <definedName name="Apr_95" localSheetId="9">#REF!</definedName>
    <definedName name="Apr_95">#REF!</definedName>
    <definedName name="Apr_96" localSheetId="18">#REF!</definedName>
    <definedName name="Apr_96" localSheetId="9">#REF!</definedName>
    <definedName name="Apr_96">#REF!</definedName>
    <definedName name="Apr_97" localSheetId="18">#REF!</definedName>
    <definedName name="Apr_97" localSheetId="9">#REF!</definedName>
    <definedName name="Apr_97">#REF!</definedName>
    <definedName name="AS2DocOpenMode">"AS2DocumentEdit"</definedName>
    <definedName name="Aug_94" localSheetId="18">#REF!</definedName>
    <definedName name="Aug_94" localSheetId="9">#REF!</definedName>
    <definedName name="Aug_94">#REF!</definedName>
    <definedName name="Aug_95" localSheetId="18">#REF!</definedName>
    <definedName name="Aug_95" localSheetId="9">#REF!</definedName>
    <definedName name="Aug_95">#REF!</definedName>
    <definedName name="Aug_96" localSheetId="18">#REF!</definedName>
    <definedName name="Aug_96" localSheetId="9">#REF!</definedName>
    <definedName name="Aug_96">#REF!</definedName>
    <definedName name="Aug_97" localSheetId="18">#REF!</definedName>
    <definedName name="Aug_97" localSheetId="9">#REF!</definedName>
    <definedName name="Aug_97">#REF!</definedName>
    <definedName name="Aurora_Prices">"Monthly Price Summary'!$C$4:$H$63"</definedName>
    <definedName name="AuroraBaseYear">'[1]Aurora_New Resources'!$C$2</definedName>
    <definedName name="b" hidden="1">{#N/A,#N/A,FALSE,"Coversheet";#N/A,#N/A,FALSE,"QA"}</definedName>
    <definedName name="BaseYear">[1]Generics_Thermal!$H$2</definedName>
    <definedName name="Button_1">"TradeSummary_Ken_Finicle_List"</definedName>
    <definedName name="CAP_MW" localSheetId="18">#REF!</definedName>
    <definedName name="CAP_MW" localSheetId="9">#REF!</definedName>
    <definedName name="CAP_MW">#REF!</definedName>
    <definedName name="CBWorkbookPriority">-1894858854</definedName>
    <definedName name="ConversionFactor">[2]Assumptions!$B$13</definedName>
    <definedName name="DATA" localSheetId="18">#REF!</definedName>
    <definedName name="DATA" localSheetId="9">#REF!</definedName>
    <definedName name="DATA">#REF!</definedName>
    <definedName name="DATA___ADJP1" localSheetId="18">#REF!</definedName>
    <definedName name="DATA___ADJP1" localSheetId="9">#REF!</definedName>
    <definedName name="DATA___ADJP1">#REF!</definedName>
    <definedName name="Date" localSheetId="18">#REF!</definedName>
    <definedName name="Date" localSheetId="9">#REF!</definedName>
    <definedName name="Date">#REF!</definedName>
    <definedName name="Dec_94" localSheetId="18">#REF!</definedName>
    <definedName name="Dec_94" localSheetId="9">#REF!</definedName>
    <definedName name="Dec_94">#REF!</definedName>
    <definedName name="Dec_95" localSheetId="18">#REF!</definedName>
    <definedName name="Dec_95" localSheetId="9">#REF!</definedName>
    <definedName name="Dec_95">#REF!</definedName>
    <definedName name="Dec_96" localSheetId="18">#REF!</definedName>
    <definedName name="Dec_96" localSheetId="9">#REF!</definedName>
    <definedName name="Dec_96">#REF!</definedName>
    <definedName name="Dec_97" localSheetId="18">#REF!</definedName>
    <definedName name="Dec_97" localSheetId="9">#REF!</definedName>
    <definedName name="Dec_97">#REF!</definedName>
    <definedName name="DELETE01" hidden="1">{#N/A,#N/A,FALSE,"Coversheet";#N/A,#N/A,FALSE,"QA"}</definedName>
    <definedName name="DELETE02" hidden="1">{#N/A,#N/A,FALSE,"Schedule F";#N/A,#N/A,FALSE,"Schedule G"}</definedName>
    <definedName name="Delete06" hidden="1">{#N/A,#N/A,FALSE,"Coversheet";#N/A,#N/A,FALSE,"QA"}</definedName>
    <definedName name="Delete1" hidden="1">{#N/A,#N/A,FALSE,"Coversheet";#N/A,#N/A,FALSE,"QA"}</definedName>
    <definedName name="Disp_Dol" localSheetId="18">#REF!</definedName>
    <definedName name="Disp_Dol" localSheetId="9">#REF!</definedName>
    <definedName name="Disp_Dol">#REF!</definedName>
    <definedName name="Disp_MWH" localSheetId="18">#REF!</definedName>
    <definedName name="Disp_MWH" localSheetId="9">#REF!</definedName>
    <definedName name="Disp_MWH">#REF!</definedName>
    <definedName name="dsfasdf">-2060790043</definedName>
    <definedName name="EffTaxRate">[2]Assumptions!$B$14</definedName>
    <definedName name="EndDate">[2]Assumptions!$B$8</definedName>
    <definedName name="Escalator">1.025</definedName>
    <definedName name="Feb_94" localSheetId="18">#REF!</definedName>
    <definedName name="Feb_94" localSheetId="9">#REF!</definedName>
    <definedName name="Feb_94">#REF!</definedName>
    <definedName name="Feb_95" localSheetId="18">#REF!</definedName>
    <definedName name="Feb_95" localSheetId="9">#REF!</definedName>
    <definedName name="Feb_95">#REF!</definedName>
    <definedName name="Feb_96" localSheetId="18">#REF!</definedName>
    <definedName name="Feb_96" localSheetId="9">#REF!</definedName>
    <definedName name="Feb_96">#REF!</definedName>
    <definedName name="Feb_97" localSheetId="18">#REF!</definedName>
    <definedName name="Feb_97" localSheetId="9">#REF!</definedName>
    <definedName name="Feb_97">#REF!</definedName>
    <definedName name="FedTaxRate">[2]Assumptions!$B$15</definedName>
    <definedName name="GTInsRate">[2]Assumptions!$B$17</definedName>
    <definedName name="HTML_CodePage">1252</definedName>
    <definedName name="HTML_Control">{"'3P'!$A$1:$L$58"}</definedName>
    <definedName name="HTML_Description">""</definedName>
    <definedName name="HTML_Email">""</definedName>
    <definedName name="HTML_Header">"Attachment 3P"</definedName>
    <definedName name="HTML_LastUpdate">"09/20/2000"</definedName>
    <definedName name="HTML_LineAfter">FALSE</definedName>
    <definedName name="HTML_LineBefore">FALSE</definedName>
    <definedName name="HTML_Name">"BV"</definedName>
    <definedName name="HTML_OBDlg2">TRUE</definedName>
    <definedName name="HTML_OBDlg4">TRUE</definedName>
    <definedName name="HTML_OS">0</definedName>
    <definedName name="HTML_PathFile">"E:\BV Users_D\a50 - Design Engineering\50.2000, Guidelines\MyHTML.htm"</definedName>
    <definedName name="HTML_Title">"51_2101, a3"</definedName>
    <definedName name="inctaxrate">0.4</definedName>
    <definedName name="inf" localSheetId="2">[3]Reference!$B$1</definedName>
    <definedName name="inf">Inflation!$B$1</definedName>
    <definedName name="InsRate">[2]Assumptions!$B$12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_94" localSheetId="18">#REF!</definedName>
    <definedName name="Jan_94" localSheetId="9">#REF!</definedName>
    <definedName name="Jan_94">#REF!</definedName>
    <definedName name="Jan_95" localSheetId="18">#REF!</definedName>
    <definedName name="Jan_95" localSheetId="9">#REF!</definedName>
    <definedName name="Jan_95">#REF!</definedName>
    <definedName name="Jan_96" localSheetId="18">#REF!</definedName>
    <definedName name="Jan_96" localSheetId="9">#REF!</definedName>
    <definedName name="Jan_96">#REF!</definedName>
    <definedName name="Jan_97" localSheetId="18">#REF!</definedName>
    <definedName name="Jan_97" localSheetId="9">#REF!</definedName>
    <definedName name="Jan_97">#REF!</definedName>
    <definedName name="Jul_94" localSheetId="18">#REF!</definedName>
    <definedName name="Jul_94" localSheetId="9">#REF!</definedName>
    <definedName name="Jul_94">#REF!</definedName>
    <definedName name="Jul_95" localSheetId="18">#REF!</definedName>
    <definedName name="Jul_95" localSheetId="9">#REF!</definedName>
    <definedName name="Jul_95">#REF!</definedName>
    <definedName name="Jul_96" localSheetId="18">#REF!</definedName>
    <definedName name="Jul_96" localSheetId="9">#REF!</definedName>
    <definedName name="Jul_96">#REF!</definedName>
    <definedName name="Jul_97" localSheetId="18">#REF!</definedName>
    <definedName name="Jul_97" localSheetId="9">#REF!</definedName>
    <definedName name="Jul_97">#REF!</definedName>
    <definedName name="Jun_94" localSheetId="18">#REF!</definedName>
    <definedName name="Jun_94" localSheetId="9">#REF!</definedName>
    <definedName name="Jun_94">#REF!</definedName>
    <definedName name="Jun_95" localSheetId="18">#REF!</definedName>
    <definedName name="Jun_95" localSheetId="9">#REF!</definedName>
    <definedName name="Jun_95">#REF!</definedName>
    <definedName name="Jun_96" localSheetId="18">#REF!</definedName>
    <definedName name="Jun_96" localSheetId="9">#REF!</definedName>
    <definedName name="Jun_96">#REF!</definedName>
    <definedName name="Jun_97" localSheetId="18">#REF!</definedName>
    <definedName name="Jun_97" localSheetId="9">#REF!</definedName>
    <definedName name="Jun_97">#REF!</definedName>
    <definedName name="Mar_94" localSheetId="18">#REF!</definedName>
    <definedName name="Mar_94" localSheetId="9">#REF!</definedName>
    <definedName name="Mar_94">#REF!</definedName>
    <definedName name="Mar_95" localSheetId="18">#REF!</definedName>
    <definedName name="Mar_95" localSheetId="9">#REF!</definedName>
    <definedName name="Mar_95">#REF!</definedName>
    <definedName name="Mar_96" localSheetId="18">#REF!</definedName>
    <definedName name="Mar_96" localSheetId="9">#REF!</definedName>
    <definedName name="Mar_96">#REF!</definedName>
    <definedName name="Mar_97" localSheetId="18">#REF!</definedName>
    <definedName name="Mar_97" localSheetId="9">#REF!</definedName>
    <definedName name="Mar_97">#REF!</definedName>
    <definedName name="May_94" localSheetId="18">#REF!</definedName>
    <definedName name="May_94" localSheetId="9">#REF!</definedName>
    <definedName name="May_94">#REF!</definedName>
    <definedName name="May_95" localSheetId="18">#REF!</definedName>
    <definedName name="May_95" localSheetId="9">#REF!</definedName>
    <definedName name="May_95">#REF!</definedName>
    <definedName name="May_96" localSheetId="18">#REF!</definedName>
    <definedName name="May_96" localSheetId="9">#REF!</definedName>
    <definedName name="May_96">#REF!</definedName>
    <definedName name="May_97" localSheetId="18">#REF!</definedName>
    <definedName name="May_97" localSheetId="9">#REF!</definedName>
    <definedName name="May_97">#REF!</definedName>
    <definedName name="MWH" localSheetId="18">#REF!</definedName>
    <definedName name="MWH" localSheetId="9">#REF!</definedName>
    <definedName name="MWH">#REF!</definedName>
    <definedName name="Net_MW" localSheetId="18">#REF!</definedName>
    <definedName name="Net_MW" localSheetId="9">#REF!</definedName>
    <definedName name="Net_MW">#REF!</definedName>
    <definedName name="Nov_94" localSheetId="18">#REF!</definedName>
    <definedName name="Nov_94" localSheetId="9">#REF!</definedName>
    <definedName name="Nov_94">#REF!</definedName>
    <definedName name="Nov_95" localSheetId="18">#REF!</definedName>
    <definedName name="Nov_95" localSheetId="9">#REF!</definedName>
    <definedName name="Nov_95">#REF!</definedName>
    <definedName name="Nov_96" localSheetId="18">#REF!</definedName>
    <definedName name="Nov_96" localSheetId="9">#REF!</definedName>
    <definedName name="Nov_96">#REF!</definedName>
    <definedName name="Nov_97" localSheetId="18">#REF!</definedName>
    <definedName name="Nov_97" localSheetId="9">#REF!</definedName>
    <definedName name="Nov_97">#REF!</definedName>
    <definedName name="Number_of_Payments" localSheetId="18">MATCH(0.01,End_Bal,-1)+1</definedName>
    <definedName name="Number_of_Payments" localSheetId="9">MATCH(0.01,End_Bal,-1)+1</definedName>
    <definedName name="Number_of_Payments">MATCH(0.01,End_Bal,-1)+1</definedName>
    <definedName name="NvsASD">"V1999-02-28"</definedName>
    <definedName name="NvsAutoDrillOk">"VN"</definedName>
    <definedName name="NvsElapsedTime">0.00604305555316387</definedName>
    <definedName name="NvsEndTime">36245.5384840278</definedName>
    <definedName name="NvsInstSpec">"%,FPPL_SUPP_RES_CTR,TPPL_RPTD_SRC,NFOSSIL"</definedName>
    <definedName name="NvsLayoutType">"M3"</definedName>
    <definedName name="NvsNplSpec">"%,X,RNF..,CZF.."</definedName>
    <definedName name="NvsPanelEffdt">"V1900-01-01"</definedName>
    <definedName name="NvsPanelSetid">"VSHARE"</definedName>
    <definedName name="NvsReqBU">"V10000"</definedName>
    <definedName name="NvsReqBUOnly">"VN"</definedName>
    <definedName name="NvsTransLed">"VN"</definedName>
    <definedName name="NvsTreeASD">"V1999-02-28"</definedName>
    <definedName name="NvsValTbl.ACCOUNT">"GL_ACCOUNT_TBL"</definedName>
    <definedName name="NvsValTbl.BUSINESS_UNIT">"BUS_UNIT_TBL_GL"</definedName>
    <definedName name="NvsValTbl.DEPTID">"DEPARTMENT_TBL"</definedName>
    <definedName name="NvsValTbl.PPL_ACTIVITY">"PPL_ACT_ALL_VW"</definedName>
    <definedName name="NvsValTbl.PPL_CONS_RES_CTR">"PPL_CRC_ALL_VW"</definedName>
    <definedName name="NvsValTbl.PRODUCT">"PROD_ALL_VW"</definedName>
    <definedName name="NvsValTbl.PROJECT_ID">"PROJECT_TBL_VW"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Oct_94" localSheetId="18">#REF!</definedName>
    <definedName name="Oct_94" localSheetId="9">#REF!</definedName>
    <definedName name="Oct_94">#REF!</definedName>
    <definedName name="Oct_95" localSheetId="18">#REF!</definedName>
    <definedName name="Oct_95" localSheetId="9">#REF!</definedName>
    <definedName name="Oct_95">#REF!</definedName>
    <definedName name="Oct_96" localSheetId="18">#REF!</definedName>
    <definedName name="Oct_96" localSheetId="9">#REF!</definedName>
    <definedName name="Oct_96">#REF!</definedName>
    <definedName name="Oct_97" localSheetId="18">#REF!</definedName>
    <definedName name="Oct_97" localSheetId="9">#REF!</definedName>
    <definedName name="Oct_97">#REF!</definedName>
    <definedName name="OrigBaseYear">'[4]March Point2'!$M$8</definedName>
    <definedName name="Ph2BaseRate">'[4]March Point2'!$E$4</definedName>
    <definedName name="PraMills">[5]QFSumas_DAmt!$M$4:$M$252</definedName>
    <definedName name="PRAMMills" localSheetId="18">[6]QFSpokane_DAmt!#REF!</definedName>
    <definedName name="PRAMMills" localSheetId="9">[6]QFSpokane_DAmt!#REF!</definedName>
    <definedName name="PRAMMills">[6]QFSpokane_DAmt!#REF!</definedName>
    <definedName name="PRAMMwh" localSheetId="18">[7]QFSpokane_DAmt!#REF!</definedName>
    <definedName name="PRAMMwh" localSheetId="9">[7]QFSpokane_DAmt!#REF!</definedName>
    <definedName name="PRAMMwh">[7]QFSpokane_DAmt!#REF!</definedName>
    <definedName name="PreTaxWACC">[2]Assumptions!$B$19</definedName>
    <definedName name="PropTaxRate">[2]Assumptions!$B$10</definedName>
    <definedName name="PropTaxRatio">[2]Assumptions!$B$11</definedName>
    <definedName name="QFWFALLS" localSheetId="18">#REF!</definedName>
    <definedName name="QFWFALLS" localSheetId="9">#REF!</definedName>
    <definedName name="QFWFALLS">#REF!</definedName>
    <definedName name="QFWFALLS_ADJ" localSheetId="18">#REF!</definedName>
    <definedName name="QFWFALLS_ADJ" localSheetId="9">#REF!</definedName>
    <definedName name="QFWFALLS_ADJ">#REF!</definedName>
    <definedName name="QFWFALLS_ADJ_AMW" localSheetId="18">#REF!</definedName>
    <definedName name="QFWFALLS_ADJ_AMW" localSheetId="9">#REF!</definedName>
    <definedName name="QFWFALLS_ADJ_AMW">#REF!</definedName>
    <definedName name="QFWFALLS_ADJ_MWH" localSheetId="18">#REF!</definedName>
    <definedName name="QFWFALLS_ADJ_MWH" localSheetId="9">#REF!</definedName>
    <definedName name="QFWFALLS_ADJ_MWH">#REF!</definedName>
    <definedName name="QFWFALLS_AMW" localSheetId="18">#REF!</definedName>
    <definedName name="QFWFALLS_AMW" localSheetId="9">#REF!</definedName>
    <definedName name="QFWFALLS_AMW">#REF!</definedName>
    <definedName name="QFWFALLS_CAP" localSheetId="18">#REF!</definedName>
    <definedName name="QFWFALLS_CAP" localSheetId="9">#REF!</definedName>
    <definedName name="QFWFALLS_CAP">#REF!</definedName>
    <definedName name="QFWFALLS_MWH" localSheetId="18">#REF!</definedName>
    <definedName name="QFWFALLS_MWH" localSheetId="9">#REF!</definedName>
    <definedName name="QFWFALLS_MWH">#REF!</definedName>
    <definedName name="QFWFALLS_PKMW" localSheetId="18">#REF!</definedName>
    <definedName name="QFWFALLS_PKMW" localSheetId="9">#REF!</definedName>
    <definedName name="QFWFALLS_PKMW">#REF!</definedName>
    <definedName name="RENAME" localSheetId="18" hidden="1">#REF!</definedName>
    <definedName name="RENAME" localSheetId="9" hidden="1">#REF!</definedName>
    <definedName name="RENAME" hidden="1">#REF!</definedName>
    <definedName name="RENAME2" localSheetId="18" hidden="1">#REF!</definedName>
    <definedName name="RENAME2" localSheetId="9" hidden="1">#REF!</definedName>
    <definedName name="RENAME2" hidden="1">#REF!</definedName>
    <definedName name="RevBaseYear">'[4]March Point2'!$M$9</definedName>
    <definedName name="RevBaseYear2">'[4]March Point2'!$M$10</definedName>
    <definedName name="RevBaseYear3">'[4]March Point2'!$M$11</definedName>
    <definedName name="Sep_94" localSheetId="18">#REF!</definedName>
    <definedName name="Sep_94" localSheetId="9">#REF!</definedName>
    <definedName name="Sep_94">#REF!</definedName>
    <definedName name="Sep_95" localSheetId="18">#REF!</definedName>
    <definedName name="Sep_95" localSheetId="9">#REF!</definedName>
    <definedName name="Sep_95">#REF!</definedName>
    <definedName name="Sep_96" localSheetId="18">#REF!</definedName>
    <definedName name="Sep_96" localSheetId="9">#REF!</definedName>
    <definedName name="Sep_96">#REF!</definedName>
    <definedName name="Sep_97" localSheetId="18">#REF!</definedName>
    <definedName name="Sep_97" localSheetId="9">#REF!</definedName>
    <definedName name="Sep_97">#REF!</definedName>
    <definedName name="solver_eval">0</definedName>
    <definedName name="solver_ntri">1000</definedName>
    <definedName name="solver_rsmp">1</definedName>
    <definedName name="solver_seed">0</definedName>
    <definedName name="StartDate">[2]Assumptions!$C$6</definedName>
    <definedName name="TEst" hidden="1">{#N/A,#N/A,FALSE,"Coversheet";#N/A,#N/A,FALSE,"QA"}</definedName>
    <definedName name="Total_Payment" localSheetId="18">Scheduled_Payment+Extra_Payment</definedName>
    <definedName name="Total_Payment" localSheetId="9">Scheduled_Payment+Extra_Payment</definedName>
    <definedName name="Total_Payment">Scheduled_Payment+Extra_Payment</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VOMesc">'[1]Aurora_New Resources'!$C$4</definedName>
    <definedName name="wnp3ex_wkly_vect_input">[8]WNP3_BPA_Exchange!$D$75:$AR$243</definedName>
    <definedName name="wrn.Fundamental." hidden="1">{#N/A,#N/A,TRUE,"CoverPage";#N/A,#N/A,TRUE,"Gas";#N/A,#N/A,TRUE,"Power";#N/A,#N/A,TRUE,"Historical DJ Mthly Prices"}</definedName>
    <definedName name="wrn.Incentive._.Overhead." hidden="1">{#N/A,#N/A,FALSE,"Coversheet";#N/A,#N/A,FALSE,"QA"}</definedName>
    <definedName name="wrn.limit_reports." hidden="1">{#N/A,#N/A,FALSE,"Schedule F";#N/A,#N/A,FALSE,"Schedule G"}</definedName>
    <definedName name="wrn.MARGIN_WO_QTR." hidden="1">{#N/A,#N/A,FALSE,"Month ";#N/A,#N/A,FALSE,"YTD";#N/A,#N/A,FALSE,"12 mo ended"}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6" i="4" l="1"/>
  <c r="M16" i="4"/>
  <c r="B16" i="4"/>
  <c r="B17" i="29" l="1"/>
  <c r="B18" i="29"/>
  <c r="AC24" i="34" l="1"/>
  <c r="AB24" i="34"/>
  <c r="AA24" i="34"/>
  <c r="Z24" i="34"/>
  <c r="Y24" i="34"/>
  <c r="X24" i="34"/>
  <c r="W24" i="34"/>
  <c r="V24" i="34"/>
  <c r="U24" i="34"/>
  <c r="T24" i="34"/>
  <c r="S24" i="34"/>
  <c r="R24" i="34"/>
  <c r="Q24" i="34"/>
  <c r="P24" i="34"/>
  <c r="O24" i="34"/>
  <c r="N24" i="34"/>
  <c r="M24" i="34"/>
  <c r="L24" i="34"/>
  <c r="K24" i="34"/>
  <c r="J24" i="34"/>
  <c r="I24" i="34"/>
  <c r="H24" i="34"/>
  <c r="G24" i="34"/>
  <c r="F24" i="34"/>
  <c r="E24" i="34"/>
  <c r="D24" i="34"/>
  <c r="C24" i="34"/>
  <c r="B16" i="34"/>
  <c r="B10" i="34"/>
  <c r="B17" i="34" s="1"/>
  <c r="E16" i="25"/>
  <c r="F16" i="25" s="1"/>
  <c r="G16" i="25" s="1"/>
  <c r="H16" i="25" s="1"/>
  <c r="E9" i="34" s="1"/>
  <c r="B49" i="29"/>
  <c r="C17" i="34" l="1"/>
  <c r="D17" i="34" s="1"/>
  <c r="C8" i="34"/>
  <c r="D8" i="34" s="1"/>
  <c r="F8" i="34" s="1"/>
  <c r="G8" i="34" s="1"/>
  <c r="C15" i="34"/>
  <c r="D15" i="34" s="1"/>
  <c r="F15" i="34" s="1"/>
  <c r="G15" i="34" s="1"/>
  <c r="C13" i="34"/>
  <c r="D13" i="34" s="1"/>
  <c r="F13" i="34" s="1"/>
  <c r="G13" i="34" s="1"/>
  <c r="C11" i="34"/>
  <c r="D11" i="34" s="1"/>
  <c r="F11" i="34" s="1"/>
  <c r="C9" i="34"/>
  <c r="D9" i="34" s="1"/>
  <c r="F9" i="34" s="1"/>
  <c r="G9" i="34" s="1"/>
  <c r="C7" i="34"/>
  <c r="D7" i="34" s="1"/>
  <c r="F7" i="34" s="1"/>
  <c r="G7" i="34" s="1"/>
  <c r="C14" i="34"/>
  <c r="D14" i="34" s="1"/>
  <c r="F14" i="34" s="1"/>
  <c r="G14" i="34" s="1"/>
  <c r="C12" i="34"/>
  <c r="D12" i="34" s="1"/>
  <c r="F12" i="34" s="1"/>
  <c r="G12" i="34" s="1"/>
  <c r="C6" i="34"/>
  <c r="D6" i="34" s="1"/>
  <c r="F6" i="34" s="1"/>
  <c r="C16" i="34"/>
  <c r="D16" i="34" s="1"/>
  <c r="C10" i="34"/>
  <c r="D10" i="34" s="1"/>
  <c r="B56" i="29"/>
  <c r="F16" i="34" l="1"/>
  <c r="G16" i="34" s="1"/>
  <c r="G11" i="34"/>
  <c r="G6" i="34"/>
  <c r="F10" i="34"/>
  <c r="B9" i="29"/>
  <c r="B10" i="29"/>
  <c r="B11" i="29"/>
  <c r="B12" i="29"/>
  <c r="B13" i="29"/>
  <c r="B14" i="29"/>
  <c r="B15" i="29"/>
  <c r="B16" i="29"/>
  <c r="B26" i="29"/>
  <c r="B27" i="29"/>
  <c r="B28" i="29"/>
  <c r="B29" i="29"/>
  <c r="B8" i="29"/>
  <c r="G10" i="34" l="1"/>
  <c r="F17" i="34"/>
  <c r="G17" i="34" s="1"/>
  <c r="B25" i="34" s="1"/>
  <c r="C25" i="34" l="1"/>
  <c r="F15" i="12"/>
  <c r="B61" i="29"/>
  <c r="D25" i="34" l="1"/>
  <c r="G15" i="12"/>
  <c r="G50" i="12" s="1"/>
  <c r="E25" i="34" l="1"/>
  <c r="H15" i="12"/>
  <c r="H50" i="12" s="1"/>
  <c r="D24" i="6"/>
  <c r="F25" i="34" l="1"/>
  <c r="I15" i="12"/>
  <c r="I50" i="12" s="1"/>
  <c r="AC77" i="19"/>
  <c r="AB77" i="19"/>
  <c r="AA77" i="19"/>
  <c r="Z77" i="19"/>
  <c r="Y77" i="19"/>
  <c r="X77" i="19"/>
  <c r="W77" i="19"/>
  <c r="V77" i="19"/>
  <c r="U77" i="19"/>
  <c r="T77" i="19"/>
  <c r="S77" i="19"/>
  <c r="R77" i="19"/>
  <c r="Q77" i="19"/>
  <c r="P77" i="19"/>
  <c r="O77" i="19"/>
  <c r="N77" i="19"/>
  <c r="M77" i="19"/>
  <c r="L77" i="19"/>
  <c r="K77" i="19"/>
  <c r="J77" i="19"/>
  <c r="I77" i="19"/>
  <c r="H77" i="19"/>
  <c r="G77" i="19"/>
  <c r="F77" i="19"/>
  <c r="E77" i="19"/>
  <c r="D77" i="19"/>
  <c r="C77" i="19"/>
  <c r="AC81" i="19"/>
  <c r="AB81" i="19"/>
  <c r="AA81" i="19"/>
  <c r="Z81" i="19"/>
  <c r="Y81" i="19"/>
  <c r="X81" i="19"/>
  <c r="W81" i="19"/>
  <c r="V81" i="19"/>
  <c r="U81" i="19"/>
  <c r="T81" i="19"/>
  <c r="S81" i="19"/>
  <c r="R81" i="19"/>
  <c r="Q81" i="19"/>
  <c r="P81" i="19"/>
  <c r="O81" i="19"/>
  <c r="N81" i="19"/>
  <c r="M81" i="19"/>
  <c r="L81" i="19"/>
  <c r="K81" i="19"/>
  <c r="J81" i="19"/>
  <c r="I81" i="19"/>
  <c r="H81" i="19"/>
  <c r="G81" i="19"/>
  <c r="F81" i="19"/>
  <c r="E81" i="19"/>
  <c r="D81" i="19"/>
  <c r="C81" i="19"/>
  <c r="C73" i="19"/>
  <c r="AC73" i="19"/>
  <c r="AB73" i="19"/>
  <c r="AA73" i="19"/>
  <c r="Z73" i="19"/>
  <c r="Y73" i="19"/>
  <c r="X73" i="19"/>
  <c r="W73" i="19"/>
  <c r="V73" i="19"/>
  <c r="U73" i="19"/>
  <c r="T73" i="19"/>
  <c r="S73" i="19"/>
  <c r="R73" i="19"/>
  <c r="Q73" i="19"/>
  <c r="P73" i="19"/>
  <c r="O73" i="19"/>
  <c r="N73" i="19"/>
  <c r="M73" i="19"/>
  <c r="L73" i="19"/>
  <c r="K73" i="19"/>
  <c r="J73" i="19"/>
  <c r="I73" i="19"/>
  <c r="H73" i="19"/>
  <c r="G73" i="19"/>
  <c r="F73" i="19"/>
  <c r="E73" i="19"/>
  <c r="D73" i="19"/>
  <c r="AC63" i="19"/>
  <c r="AB63" i="19"/>
  <c r="AA63" i="19"/>
  <c r="Z63" i="19"/>
  <c r="Y63" i="19"/>
  <c r="X63" i="19"/>
  <c r="W63" i="19"/>
  <c r="V63" i="19"/>
  <c r="U63" i="19"/>
  <c r="T63" i="19"/>
  <c r="S63" i="19"/>
  <c r="R63" i="19"/>
  <c r="Q63" i="19"/>
  <c r="P63" i="19"/>
  <c r="O63" i="19"/>
  <c r="N63" i="19"/>
  <c r="M63" i="19"/>
  <c r="L63" i="19"/>
  <c r="K63" i="19"/>
  <c r="J63" i="19"/>
  <c r="I63" i="19"/>
  <c r="H63" i="19"/>
  <c r="G63" i="19"/>
  <c r="F63" i="19"/>
  <c r="E63" i="19"/>
  <c r="D63" i="19"/>
  <c r="C63" i="19"/>
  <c r="AC59" i="19"/>
  <c r="AB59" i="19"/>
  <c r="AA59" i="19"/>
  <c r="Z59" i="19"/>
  <c r="Y59" i="19"/>
  <c r="X59" i="19"/>
  <c r="W59" i="19"/>
  <c r="V59" i="19"/>
  <c r="U59" i="19"/>
  <c r="T59" i="19"/>
  <c r="S59" i="19"/>
  <c r="R59" i="19"/>
  <c r="Q59" i="19"/>
  <c r="P59" i="19"/>
  <c r="O59" i="19"/>
  <c r="N59" i="19"/>
  <c r="M59" i="19"/>
  <c r="L59" i="19"/>
  <c r="K59" i="19"/>
  <c r="J59" i="19"/>
  <c r="I59" i="19"/>
  <c r="H59" i="19"/>
  <c r="G59" i="19"/>
  <c r="F59" i="19"/>
  <c r="E59" i="19"/>
  <c r="D59" i="19"/>
  <c r="C59" i="19"/>
  <c r="C55" i="19"/>
  <c r="AC55" i="19"/>
  <c r="AB55" i="19"/>
  <c r="AA55" i="19"/>
  <c r="Z55" i="19"/>
  <c r="Y55" i="19"/>
  <c r="X55" i="19"/>
  <c r="W55" i="19"/>
  <c r="V55" i="19"/>
  <c r="U55" i="19"/>
  <c r="T55" i="19"/>
  <c r="S55" i="19"/>
  <c r="R55" i="19"/>
  <c r="Q55" i="19"/>
  <c r="P55" i="19"/>
  <c r="O55" i="19"/>
  <c r="N55" i="19"/>
  <c r="M55" i="19"/>
  <c r="L55" i="19"/>
  <c r="K55" i="19"/>
  <c r="J55" i="19"/>
  <c r="I55" i="19"/>
  <c r="H55" i="19"/>
  <c r="G55" i="19"/>
  <c r="F55" i="19"/>
  <c r="E55" i="19"/>
  <c r="D55" i="19"/>
  <c r="G25" i="34" l="1"/>
  <c r="J15" i="12"/>
  <c r="J50" i="12" s="1"/>
  <c r="C27" i="7"/>
  <c r="D27" i="7"/>
  <c r="D20" i="7"/>
  <c r="C30" i="1"/>
  <c r="D30" i="1"/>
  <c r="H25" i="34" l="1"/>
  <c r="K15" i="12"/>
  <c r="K50" i="12" s="1"/>
  <c r="C15" i="1"/>
  <c r="D15" i="1" s="1"/>
  <c r="F10" i="30"/>
  <c r="F7" i="1"/>
  <c r="F16" i="1"/>
  <c r="D27" i="10"/>
  <c r="E27" i="10"/>
  <c r="F27" i="10"/>
  <c r="G27" i="10"/>
  <c r="H27" i="10"/>
  <c r="I27" i="10"/>
  <c r="J27" i="10"/>
  <c r="K27" i="10"/>
  <c r="L27" i="10"/>
  <c r="M27" i="10"/>
  <c r="N27" i="10"/>
  <c r="O27" i="10"/>
  <c r="P27" i="10"/>
  <c r="Q27" i="10"/>
  <c r="R27" i="10"/>
  <c r="S27" i="10"/>
  <c r="T27" i="10"/>
  <c r="U27" i="10"/>
  <c r="V27" i="10"/>
  <c r="W27" i="10"/>
  <c r="X27" i="10"/>
  <c r="Y27" i="10"/>
  <c r="Z27" i="10"/>
  <c r="AA27" i="10"/>
  <c r="AB27" i="10"/>
  <c r="AC27" i="10"/>
  <c r="C27" i="10"/>
  <c r="I25" i="34" l="1"/>
  <c r="L15" i="12"/>
  <c r="L50" i="12" s="1"/>
  <c r="AC38" i="4"/>
  <c r="AB38" i="4"/>
  <c r="AA38" i="4"/>
  <c r="Z38" i="4"/>
  <c r="Y38" i="4"/>
  <c r="X38" i="4"/>
  <c r="W38" i="4"/>
  <c r="V38" i="4"/>
  <c r="U38" i="4"/>
  <c r="T38" i="4"/>
  <c r="S38" i="4"/>
  <c r="R38" i="4"/>
  <c r="Q38" i="4"/>
  <c r="P38" i="4"/>
  <c r="O38" i="4"/>
  <c r="N38" i="4"/>
  <c r="M38" i="4"/>
  <c r="L38" i="4"/>
  <c r="K38" i="4"/>
  <c r="J38" i="4"/>
  <c r="I38" i="4"/>
  <c r="H38" i="4"/>
  <c r="G38" i="4"/>
  <c r="F38" i="4"/>
  <c r="E38" i="4"/>
  <c r="D38" i="4"/>
  <c r="C38"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AC24" i="4"/>
  <c r="AB24" i="4"/>
  <c r="AA24" i="4"/>
  <c r="Z24" i="4"/>
  <c r="Y24" i="4"/>
  <c r="X24" i="4"/>
  <c r="W24" i="4"/>
  <c r="V24" i="4"/>
  <c r="U24" i="4"/>
  <c r="T24" i="4"/>
  <c r="S24" i="4"/>
  <c r="R24" i="4"/>
  <c r="Q24" i="4"/>
  <c r="P24" i="4"/>
  <c r="O24" i="4"/>
  <c r="N24" i="4"/>
  <c r="M24" i="4"/>
  <c r="L24" i="4"/>
  <c r="K24" i="4"/>
  <c r="J24" i="4"/>
  <c r="I24" i="4"/>
  <c r="H24" i="4"/>
  <c r="G24" i="4"/>
  <c r="F24" i="4"/>
  <c r="E24" i="4"/>
  <c r="D24" i="4"/>
  <c r="C24" i="4"/>
  <c r="Y16" i="4"/>
  <c r="Z16" i="4" s="1"/>
  <c r="N16" i="4"/>
  <c r="O16" i="4" s="1"/>
  <c r="C16" i="4"/>
  <c r="D16" i="4" s="1"/>
  <c r="Y15" i="4"/>
  <c r="Z15" i="4" s="1"/>
  <c r="AB15" i="4" s="1"/>
  <c r="N15" i="4"/>
  <c r="O15" i="4" s="1"/>
  <c r="Q15" i="4" s="1"/>
  <c r="C15" i="4"/>
  <c r="D15" i="4" s="1"/>
  <c r="F15" i="4" s="1"/>
  <c r="Y14" i="4"/>
  <c r="Z14" i="4" s="1"/>
  <c r="AB14" i="4" s="1"/>
  <c r="N14" i="4"/>
  <c r="O14" i="4" s="1"/>
  <c r="Q14" i="4" s="1"/>
  <c r="C14" i="4"/>
  <c r="D14" i="4" s="1"/>
  <c r="Y13" i="4"/>
  <c r="Z13" i="4" s="1"/>
  <c r="AB13" i="4" s="1"/>
  <c r="N13" i="4"/>
  <c r="O13" i="4" s="1"/>
  <c r="Q13" i="4" s="1"/>
  <c r="C13" i="4"/>
  <c r="D13" i="4" s="1"/>
  <c r="Y12" i="4"/>
  <c r="Z12" i="4" s="1"/>
  <c r="AB12" i="4" s="1"/>
  <c r="N12" i="4"/>
  <c r="O12" i="4" s="1"/>
  <c r="Q12" i="4" s="1"/>
  <c r="C12" i="4"/>
  <c r="D12" i="4" s="1"/>
  <c r="F12" i="4" s="1"/>
  <c r="Y11" i="4"/>
  <c r="Z11" i="4" s="1"/>
  <c r="AB11" i="4" s="1"/>
  <c r="N11" i="4"/>
  <c r="O11" i="4" s="1"/>
  <c r="C11" i="4"/>
  <c r="D11" i="4" s="1"/>
  <c r="F11" i="4" s="1"/>
  <c r="Y10" i="4"/>
  <c r="Z10" i="4" s="1"/>
  <c r="AB10" i="4" s="1"/>
  <c r="N10" i="4"/>
  <c r="O10" i="4" s="1"/>
  <c r="C10" i="4"/>
  <c r="D10" i="4" s="1"/>
  <c r="F10" i="4" s="1"/>
  <c r="Y9" i="4"/>
  <c r="Z9" i="4" s="1"/>
  <c r="N9" i="4"/>
  <c r="O9" i="4" s="1"/>
  <c r="Q9" i="4" s="1"/>
  <c r="C9" i="4"/>
  <c r="D9" i="4" s="1"/>
  <c r="Y8" i="4"/>
  <c r="Z8" i="4" s="1"/>
  <c r="AB8" i="4" s="1"/>
  <c r="N8" i="4"/>
  <c r="O8" i="4" s="1"/>
  <c r="Q8" i="4" s="1"/>
  <c r="C8" i="4"/>
  <c r="D8" i="4" l="1"/>
  <c r="F8" i="4" s="1"/>
  <c r="J25" i="34"/>
  <c r="M15" i="12"/>
  <c r="M50" i="12" s="1"/>
  <c r="AB9" i="4"/>
  <c r="AD9" i="4" s="1"/>
  <c r="AE9" i="4" s="1"/>
  <c r="AB16" i="4"/>
  <c r="Q11" i="4"/>
  <c r="S11" i="4" s="1"/>
  <c r="T11" i="4" s="1"/>
  <c r="Q10" i="4"/>
  <c r="Q16" i="4" s="1"/>
  <c r="AD12" i="4"/>
  <c r="AE12" i="4" s="1"/>
  <c r="F9" i="4"/>
  <c r="H9" i="4" s="1"/>
  <c r="I9" i="4" s="1"/>
  <c r="F14" i="4"/>
  <c r="H14" i="4" s="1"/>
  <c r="I14" i="4" s="1"/>
  <c r="F13" i="4"/>
  <c r="H13" i="4" s="1"/>
  <c r="I13" i="4" s="1"/>
  <c r="AD11" i="4"/>
  <c r="AE11" i="4" s="1"/>
  <c r="S13" i="4"/>
  <c r="T13" i="4" s="1"/>
  <c r="AD14" i="4"/>
  <c r="AE14" i="4" s="1"/>
  <c r="S9" i="4"/>
  <c r="T9" i="4" s="1"/>
  <c r="S14" i="4"/>
  <c r="T14" i="4" s="1"/>
  <c r="AD10" i="4"/>
  <c r="AE10" i="4" s="1"/>
  <c r="H12" i="4"/>
  <c r="I12" i="4" s="1"/>
  <c r="H11" i="4"/>
  <c r="I11" i="4" s="1"/>
  <c r="S12" i="4"/>
  <c r="T12" i="4" s="1"/>
  <c r="H10" i="4"/>
  <c r="I10" i="4" s="1"/>
  <c r="AD13" i="4"/>
  <c r="AE13" i="4" s="1"/>
  <c r="H8" i="4" l="1"/>
  <c r="I8" i="4" s="1"/>
  <c r="F16" i="4"/>
  <c r="K25" i="34"/>
  <c r="N15" i="12"/>
  <c r="N50" i="12" s="1"/>
  <c r="S10" i="4"/>
  <c r="T10" i="4" s="1"/>
  <c r="AD8" i="4"/>
  <c r="AE8" i="4"/>
  <c r="S8" i="4"/>
  <c r="L25" i="34" l="1"/>
  <c r="O15" i="12"/>
  <c r="O50" i="12" s="1"/>
  <c r="T8" i="4"/>
  <c r="M25" i="34" l="1"/>
  <c r="P15" i="12"/>
  <c r="P50" i="12" s="1"/>
  <c r="N25" i="34" l="1"/>
  <c r="Q15" i="12"/>
  <c r="Q50" i="12" s="1"/>
  <c r="O25" i="34" l="1"/>
  <c r="R15" i="12"/>
  <c r="R50" i="12" s="1"/>
  <c r="P25" i="34" l="1"/>
  <c r="S15" i="12"/>
  <c r="S50" i="12" s="1"/>
  <c r="Q25" i="34" l="1"/>
  <c r="T15" i="12"/>
  <c r="T50" i="12" s="1"/>
  <c r="R25" i="34" l="1"/>
  <c r="U15" i="12"/>
  <c r="U50" i="12" s="1"/>
  <c r="S25" i="34" l="1"/>
  <c r="V15" i="12"/>
  <c r="V50" i="12" s="1"/>
  <c r="T25" i="34" l="1"/>
  <c r="W15" i="12"/>
  <c r="W50" i="12" s="1"/>
  <c r="U25" i="34" l="1"/>
  <c r="X15" i="12"/>
  <c r="X50" i="12" s="1"/>
  <c r="V25" i="34" l="1"/>
  <c r="Y15" i="12"/>
  <c r="Y50" i="12" s="1"/>
  <c r="W25" i="34" l="1"/>
  <c r="Z15" i="12"/>
  <c r="Z50" i="12" s="1"/>
  <c r="X25" i="34" l="1"/>
  <c r="AA15" i="12"/>
  <c r="AA50" i="12" s="1"/>
  <c r="Y25" i="34" l="1"/>
  <c r="AB15" i="12"/>
  <c r="AB50" i="12" s="1"/>
  <c r="Z25" i="34" l="1"/>
  <c r="AC15" i="12"/>
  <c r="AC50" i="12" s="1"/>
  <c r="AA25" i="34" l="1"/>
  <c r="AD15" i="12"/>
  <c r="AD50" i="12" s="1"/>
  <c r="AB25" i="34" l="1"/>
  <c r="AE15" i="12"/>
  <c r="AE50" i="12" s="1"/>
  <c r="AC25" i="34" l="1"/>
  <c r="AG15" i="12" s="1"/>
  <c r="AF15" i="12"/>
  <c r="AF50" i="12" s="1"/>
  <c r="AG50" i="12" l="1"/>
  <c r="E7" i="25"/>
  <c r="F7" i="25" s="1"/>
  <c r="G7" i="25" s="1"/>
  <c r="H7" i="25" s="1"/>
  <c r="E16" i="30" s="1"/>
  <c r="AC29" i="30"/>
  <c r="AB29" i="30"/>
  <c r="AA29" i="30"/>
  <c r="Z29" i="30"/>
  <c r="Y29" i="30"/>
  <c r="X29" i="30"/>
  <c r="W29" i="30"/>
  <c r="V29" i="30"/>
  <c r="U29" i="30"/>
  <c r="T29" i="30"/>
  <c r="S29" i="30"/>
  <c r="R29" i="30"/>
  <c r="Q29" i="30"/>
  <c r="P29" i="30"/>
  <c r="O29" i="30"/>
  <c r="N29" i="30"/>
  <c r="M29" i="30"/>
  <c r="L29" i="30"/>
  <c r="K29" i="30"/>
  <c r="J29" i="30"/>
  <c r="I29" i="30"/>
  <c r="H29" i="30"/>
  <c r="G29" i="30"/>
  <c r="F29" i="30"/>
  <c r="E29" i="30"/>
  <c r="D29" i="30"/>
  <c r="C29" i="30"/>
  <c r="C22" i="30"/>
  <c r="D22" i="30" s="1"/>
  <c r="C21" i="30"/>
  <c r="D21" i="30" s="1"/>
  <c r="C20" i="30"/>
  <c r="D20" i="30" s="1"/>
  <c r="C19" i="30"/>
  <c r="D19" i="30" s="1"/>
  <c r="C17" i="30"/>
  <c r="D17" i="30" s="1"/>
  <c r="C16" i="30"/>
  <c r="D16" i="30" s="1"/>
  <c r="C15" i="30"/>
  <c r="D15" i="30" s="1"/>
  <c r="C14" i="30"/>
  <c r="D14" i="30" s="1"/>
  <c r="C13" i="30"/>
  <c r="D13" i="30" s="1"/>
  <c r="C12" i="30"/>
  <c r="D12" i="30" s="1"/>
  <c r="C11" i="30"/>
  <c r="D11" i="30" s="1"/>
  <c r="F11" i="30" s="1"/>
  <c r="C9" i="30"/>
  <c r="D9" i="30" s="1"/>
  <c r="C8" i="30"/>
  <c r="D8" i="30" s="1"/>
  <c r="C7" i="30"/>
  <c r="D7" i="30" s="1"/>
  <c r="C6" i="30"/>
  <c r="B40" i="29"/>
  <c r="D6" i="30" l="1"/>
  <c r="F6" i="30" s="1"/>
  <c r="F16" i="30"/>
  <c r="F20" i="30"/>
  <c r="G20" i="30" s="1"/>
  <c r="F8" i="30"/>
  <c r="G8" i="30" s="1"/>
  <c r="F19" i="30"/>
  <c r="G19" i="30" s="1"/>
  <c r="F12" i="30"/>
  <c r="F13" i="30"/>
  <c r="G13" i="30" s="1"/>
  <c r="F21" i="30"/>
  <c r="G21" i="30" s="1"/>
  <c r="F14" i="30"/>
  <c r="G14" i="30" s="1"/>
  <c r="F15" i="30"/>
  <c r="G15" i="30" s="1"/>
  <c r="F7" i="30"/>
  <c r="G16" i="30"/>
  <c r="G7" i="30" l="1"/>
  <c r="F9" i="30"/>
  <c r="F17" i="30"/>
  <c r="F22" i="30" s="1"/>
  <c r="G12" i="30"/>
  <c r="G11" i="30"/>
  <c r="G17" i="30" s="1"/>
  <c r="G6" i="30"/>
  <c r="G9" i="30" s="1"/>
  <c r="G22" i="30" l="1"/>
  <c r="B30" i="30" s="1"/>
  <c r="F6" i="12" s="1"/>
  <c r="C30" i="30" l="1"/>
  <c r="B60" i="29"/>
  <c r="B59" i="29"/>
  <c r="B58" i="29"/>
  <c r="B53" i="29"/>
  <c r="B52" i="29"/>
  <c r="B51" i="29"/>
  <c r="B50" i="29"/>
  <c r="B48" i="29"/>
  <c r="B47" i="29"/>
  <c r="B46" i="29"/>
  <c r="B45" i="29"/>
  <c r="B44" i="29"/>
  <c r="B43" i="29"/>
  <c r="B42" i="29"/>
  <c r="B41" i="29"/>
  <c r="B39" i="29"/>
  <c r="D30" i="30" l="1"/>
  <c r="G6" i="12"/>
  <c r="G41" i="12" s="1"/>
  <c r="E30" i="30" l="1"/>
  <c r="H6" i="12"/>
  <c r="H41" i="12" s="1"/>
  <c r="C16" i="2"/>
  <c r="F30" i="30" l="1"/>
  <c r="I6" i="12"/>
  <c r="I41" i="12" s="1"/>
  <c r="E6" i="25"/>
  <c r="F6" i="25" s="1"/>
  <c r="G6" i="25" s="1"/>
  <c r="H6" i="25" s="1"/>
  <c r="E12" i="1" s="1"/>
  <c r="E27" i="25"/>
  <c r="F27" i="25" s="1"/>
  <c r="G27" i="25" s="1"/>
  <c r="H27" i="25" s="1"/>
  <c r="E15" i="10" s="1"/>
  <c r="E26" i="25"/>
  <c r="F26" i="25" s="1"/>
  <c r="G26" i="25" s="1"/>
  <c r="H26" i="25" s="1"/>
  <c r="G16" i="7" s="1"/>
  <c r="E25" i="25"/>
  <c r="F25" i="25" s="1"/>
  <c r="G25" i="25" s="1"/>
  <c r="H25" i="25" s="1"/>
  <c r="E13" i="6" s="1"/>
  <c r="E24" i="25"/>
  <c r="F24" i="25" s="1"/>
  <c r="G24" i="25" s="1"/>
  <c r="H24" i="25" s="1"/>
  <c r="G15" i="8" s="1"/>
  <c r="E23" i="25"/>
  <c r="F23" i="25" s="1"/>
  <c r="G23" i="25" s="1"/>
  <c r="H23" i="25" s="1"/>
  <c r="E22" i="25"/>
  <c r="F22" i="25" s="1"/>
  <c r="G22" i="25" s="1"/>
  <c r="H22" i="25" s="1"/>
  <c r="E21" i="25"/>
  <c r="F21" i="25" s="1"/>
  <c r="G21" i="25" s="1"/>
  <c r="H21" i="25" s="1"/>
  <c r="E19" i="25"/>
  <c r="F19" i="25" s="1"/>
  <c r="G19" i="25" s="1"/>
  <c r="H19" i="25" s="1"/>
  <c r="AC15" i="4" s="1"/>
  <c r="AD15" i="4" s="1"/>
  <c r="E18" i="25"/>
  <c r="F18" i="25" s="1"/>
  <c r="G18" i="25" s="1"/>
  <c r="H18" i="25" s="1"/>
  <c r="R15" i="4" s="1"/>
  <c r="S15" i="4" s="1"/>
  <c r="E17" i="25"/>
  <c r="F17" i="25" s="1"/>
  <c r="G17" i="25" s="1"/>
  <c r="H17" i="25" s="1"/>
  <c r="G15" i="4" s="1"/>
  <c r="H15" i="4" s="1"/>
  <c r="E15" i="25"/>
  <c r="F15" i="25" s="1"/>
  <c r="G15" i="25" s="1"/>
  <c r="H15" i="25" s="1"/>
  <c r="E9" i="5" s="1"/>
  <c r="E14" i="25"/>
  <c r="F14" i="25" s="1"/>
  <c r="E12" i="25"/>
  <c r="F12" i="25" s="1"/>
  <c r="G12" i="25" s="1"/>
  <c r="H12" i="25" s="1"/>
  <c r="E17" i="23" s="1"/>
  <c r="E11" i="25"/>
  <c r="F11" i="25" s="1"/>
  <c r="G11" i="25" s="1"/>
  <c r="H11" i="25" s="1"/>
  <c r="E17" i="3" s="1"/>
  <c r="E10" i="25"/>
  <c r="F10" i="25" s="1"/>
  <c r="G10" i="25" s="1"/>
  <c r="H10" i="25" s="1"/>
  <c r="E16" i="21" s="1"/>
  <c r="E9" i="25"/>
  <c r="E8" i="25"/>
  <c r="F8" i="25" s="1"/>
  <c r="G8" i="25" s="1"/>
  <c r="H8" i="25" s="1"/>
  <c r="E16" i="2" s="1"/>
  <c r="B16" i="5"/>
  <c r="G14" i="25" l="1"/>
  <c r="H14" i="25" s="1"/>
  <c r="E14" i="9" s="1"/>
  <c r="I15" i="4"/>
  <c r="I16" i="4" s="1"/>
  <c r="B25" i="4" s="1"/>
  <c r="H16" i="4"/>
  <c r="T15" i="4"/>
  <c r="T16" i="4" s="1"/>
  <c r="B32" i="4" s="1"/>
  <c r="S16" i="4"/>
  <c r="AE15" i="4"/>
  <c r="AE16" i="4" s="1"/>
  <c r="B39" i="4" s="1"/>
  <c r="AD16" i="4"/>
  <c r="F9" i="25"/>
  <c r="G9" i="25" s="1"/>
  <c r="H9" i="25" s="1"/>
  <c r="E16" i="20" s="1"/>
  <c r="G30" i="30"/>
  <c r="J6" i="12"/>
  <c r="J41" i="12" s="1"/>
  <c r="AC29" i="23"/>
  <c r="AB29" i="23"/>
  <c r="AA29" i="23"/>
  <c r="Z29" i="23"/>
  <c r="Y29" i="23"/>
  <c r="X29" i="23"/>
  <c r="W29" i="23"/>
  <c r="V29" i="23"/>
  <c r="U29" i="23"/>
  <c r="T29" i="23"/>
  <c r="S29" i="23"/>
  <c r="R29" i="23"/>
  <c r="Q29" i="23"/>
  <c r="P29" i="23"/>
  <c r="O29" i="23"/>
  <c r="N29" i="23"/>
  <c r="M29" i="23"/>
  <c r="L29" i="23"/>
  <c r="K29" i="23"/>
  <c r="J29" i="23"/>
  <c r="I29" i="23"/>
  <c r="H29" i="23"/>
  <c r="G29" i="23"/>
  <c r="F29" i="23"/>
  <c r="E29" i="23"/>
  <c r="D29" i="23"/>
  <c r="C29" i="23"/>
  <c r="B22" i="23"/>
  <c r="C20" i="23" s="1"/>
  <c r="D20" i="23" s="1"/>
  <c r="F20" i="23" s="1"/>
  <c r="B21" i="23"/>
  <c r="B13" i="23"/>
  <c r="C13" i="23" s="1"/>
  <c r="D13" i="23" s="1"/>
  <c r="C11" i="23"/>
  <c r="D11" i="23" s="1"/>
  <c r="F11" i="23" s="1"/>
  <c r="C10" i="23"/>
  <c r="D10" i="23" s="1"/>
  <c r="F10" i="23" s="1"/>
  <c r="B9" i="23"/>
  <c r="C7" i="23"/>
  <c r="D7" i="23" s="1"/>
  <c r="F7" i="23" s="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C22" i="21"/>
  <c r="D22" i="21" s="1"/>
  <c r="C21" i="21"/>
  <c r="D21" i="21" s="1"/>
  <c r="C20" i="21"/>
  <c r="D20" i="21" s="1"/>
  <c r="C19" i="21"/>
  <c r="D19" i="21" s="1"/>
  <c r="C17" i="21"/>
  <c r="D17" i="21" s="1"/>
  <c r="C16" i="21"/>
  <c r="D16" i="21" s="1"/>
  <c r="C15" i="21"/>
  <c r="D15" i="21" s="1"/>
  <c r="C14" i="21"/>
  <c r="D14" i="21" s="1"/>
  <c r="C13" i="21"/>
  <c r="D13" i="21" s="1"/>
  <c r="C12" i="21"/>
  <c r="D12" i="21" s="1"/>
  <c r="C11" i="21"/>
  <c r="D11" i="21" s="1"/>
  <c r="F11" i="21" s="1"/>
  <c r="C9" i="21"/>
  <c r="D9" i="21" s="1"/>
  <c r="C8" i="21"/>
  <c r="D8" i="21" s="1"/>
  <c r="C7" i="21"/>
  <c r="D7" i="21" s="1"/>
  <c r="C6" i="21"/>
  <c r="D6" i="21" s="1"/>
  <c r="F6" i="21" s="1"/>
  <c r="AC29" i="20"/>
  <c r="AB29" i="20"/>
  <c r="AA29" i="20"/>
  <c r="Z29" i="20"/>
  <c r="Y29" i="20"/>
  <c r="X29" i="20"/>
  <c r="W29" i="20"/>
  <c r="V29" i="20"/>
  <c r="U29" i="20"/>
  <c r="T29" i="20"/>
  <c r="S29" i="20"/>
  <c r="R29" i="20"/>
  <c r="Q29" i="20"/>
  <c r="P29" i="20"/>
  <c r="O29" i="20"/>
  <c r="N29" i="20"/>
  <c r="M29" i="20"/>
  <c r="L29" i="20"/>
  <c r="K29" i="20"/>
  <c r="J29" i="20"/>
  <c r="I29" i="20"/>
  <c r="H29" i="20"/>
  <c r="G29" i="20"/>
  <c r="F29" i="20"/>
  <c r="E29" i="20"/>
  <c r="D29" i="20"/>
  <c r="C29" i="20"/>
  <c r="C22" i="20"/>
  <c r="D22" i="20" s="1"/>
  <c r="C21" i="20"/>
  <c r="D21" i="20" s="1"/>
  <c r="C20" i="20"/>
  <c r="D20" i="20" s="1"/>
  <c r="C19" i="20"/>
  <c r="D19" i="20" s="1"/>
  <c r="C17" i="20"/>
  <c r="D17" i="20" s="1"/>
  <c r="C16" i="20"/>
  <c r="D16" i="20" s="1"/>
  <c r="C15" i="20"/>
  <c r="D15" i="20" s="1"/>
  <c r="C14" i="20"/>
  <c r="D14" i="20" s="1"/>
  <c r="C13" i="20"/>
  <c r="D13" i="20" s="1"/>
  <c r="C12" i="20"/>
  <c r="D12" i="20" s="1"/>
  <c r="C11" i="20"/>
  <c r="D11" i="20" s="1"/>
  <c r="F11" i="20" s="1"/>
  <c r="C9" i="20"/>
  <c r="D9" i="20" s="1"/>
  <c r="C8" i="20"/>
  <c r="D8" i="20" s="1"/>
  <c r="C7" i="20"/>
  <c r="D7" i="20" s="1"/>
  <c r="C6" i="20"/>
  <c r="D6" i="20" s="1"/>
  <c r="F6" i="20" s="1"/>
  <c r="F18" i="12" l="1"/>
  <c r="B20" i="32" s="1"/>
  <c r="C39" i="4"/>
  <c r="F17" i="12"/>
  <c r="B19" i="32" s="1"/>
  <c r="C32" i="4"/>
  <c r="F16" i="12"/>
  <c r="B18" i="32" s="1"/>
  <c r="C25" i="4"/>
  <c r="C9" i="23"/>
  <c r="D9" i="23" s="1"/>
  <c r="F9" i="23" s="1"/>
  <c r="C12" i="23"/>
  <c r="D12" i="23" s="1"/>
  <c r="F12" i="23" s="1"/>
  <c r="G12" i="23" s="1"/>
  <c r="C5" i="23"/>
  <c r="D5" i="23" s="1"/>
  <c r="F5" i="23" s="1"/>
  <c r="C17" i="23"/>
  <c r="D17" i="23" s="1"/>
  <c r="F17" i="23" s="1"/>
  <c r="C6" i="23"/>
  <c r="D6" i="23" s="1"/>
  <c r="F6" i="23" s="1"/>
  <c r="G6" i="23" s="1"/>
  <c r="F20" i="21"/>
  <c r="G20" i="21" s="1"/>
  <c r="F19" i="21"/>
  <c r="G19" i="21" s="1"/>
  <c r="F7" i="21"/>
  <c r="G7" i="21" s="1"/>
  <c r="F12" i="21"/>
  <c r="G12" i="21" s="1"/>
  <c r="F13" i="21"/>
  <c r="G13" i="21" s="1"/>
  <c r="F21" i="21"/>
  <c r="G21" i="21" s="1"/>
  <c r="F16" i="21"/>
  <c r="G16" i="21" s="1"/>
  <c r="F8" i="21"/>
  <c r="G8" i="21" s="1"/>
  <c r="F14" i="21"/>
  <c r="G14" i="21" s="1"/>
  <c r="F15" i="21"/>
  <c r="G15" i="21" s="1"/>
  <c r="F13" i="20"/>
  <c r="G13" i="20" s="1"/>
  <c r="F16" i="20"/>
  <c r="G16" i="20" s="1"/>
  <c r="F15" i="20"/>
  <c r="G15" i="20" s="1"/>
  <c r="F8" i="20"/>
  <c r="G8" i="20" s="1"/>
  <c r="F14" i="20"/>
  <c r="G14" i="20" s="1"/>
  <c r="F19" i="20"/>
  <c r="G19" i="20" s="1"/>
  <c r="F20" i="20"/>
  <c r="G20" i="20" s="1"/>
  <c r="F7" i="20"/>
  <c r="G7" i="20" s="1"/>
  <c r="F12" i="20"/>
  <c r="G12" i="20" s="1"/>
  <c r="F21" i="20"/>
  <c r="G21" i="20" s="1"/>
  <c r="C8" i="23"/>
  <c r="D8" i="23" s="1"/>
  <c r="F8" i="23" s="1"/>
  <c r="C18" i="23"/>
  <c r="D18" i="23" s="1"/>
  <c r="F18" i="23" s="1"/>
  <c r="G18" i="23" s="1"/>
  <c r="H30" i="30"/>
  <c r="K6" i="12"/>
  <c r="K41" i="12" s="1"/>
  <c r="C19" i="23"/>
  <c r="D19" i="23" s="1"/>
  <c r="C21" i="23"/>
  <c r="D21" i="23" s="1"/>
  <c r="G17" i="23"/>
  <c r="G11" i="23"/>
  <c r="G10" i="23"/>
  <c r="G20" i="23"/>
  <c r="C22" i="23"/>
  <c r="D22" i="23" s="1"/>
  <c r="C16" i="23"/>
  <c r="D16" i="23" s="1"/>
  <c r="F16" i="23" s="1"/>
  <c r="B20" i="29" l="1"/>
  <c r="D25" i="4"/>
  <c r="G16" i="12"/>
  <c r="D32" i="4"/>
  <c r="G17" i="12"/>
  <c r="G18" i="12"/>
  <c r="D39" i="4"/>
  <c r="B19" i="29"/>
  <c r="B21" i="29"/>
  <c r="F19" i="23"/>
  <c r="F22" i="23" s="1"/>
  <c r="F13" i="23"/>
  <c r="G8" i="23"/>
  <c r="I30" i="30"/>
  <c r="L6" i="12"/>
  <c r="L41" i="12" s="1"/>
  <c r="G7" i="23"/>
  <c r="G5" i="23"/>
  <c r="F17" i="21"/>
  <c r="G11" i="21"/>
  <c r="G17" i="21" s="1"/>
  <c r="G6" i="21"/>
  <c r="G9" i="21" s="1"/>
  <c r="F9" i="21"/>
  <c r="G11" i="20"/>
  <c r="F17" i="20"/>
  <c r="F9" i="20"/>
  <c r="G6" i="20"/>
  <c r="C19" i="32" l="1"/>
  <c r="G52" i="12"/>
  <c r="C20" i="32"/>
  <c r="G53" i="12"/>
  <c r="C18" i="32"/>
  <c r="G51" i="12"/>
  <c r="H16" i="12"/>
  <c r="E25" i="4"/>
  <c r="H18" i="12"/>
  <c r="E39" i="4"/>
  <c r="H17" i="12"/>
  <c r="E32" i="4"/>
  <c r="G19" i="23"/>
  <c r="F21" i="23"/>
  <c r="G9" i="23"/>
  <c r="J30" i="30"/>
  <c r="M6" i="12"/>
  <c r="M41" i="12" s="1"/>
  <c r="G17" i="20"/>
  <c r="G9" i="20"/>
  <c r="G22" i="21"/>
  <c r="B30" i="21" s="1"/>
  <c r="F22" i="21"/>
  <c r="F22" i="20"/>
  <c r="G13" i="23"/>
  <c r="G16" i="23"/>
  <c r="G21" i="23" s="1"/>
  <c r="D19" i="32" l="1"/>
  <c r="H52" i="12"/>
  <c r="D18" i="32"/>
  <c r="H51" i="12"/>
  <c r="D20" i="32"/>
  <c r="H53" i="12"/>
  <c r="F32" i="4"/>
  <c r="I17" i="12"/>
  <c r="F25" i="4"/>
  <c r="I16" i="12"/>
  <c r="F39" i="4"/>
  <c r="I18" i="12"/>
  <c r="C30" i="21"/>
  <c r="D30" i="21" s="1"/>
  <c r="F9" i="12"/>
  <c r="G22" i="20"/>
  <c r="B30" i="20" s="1"/>
  <c r="K30" i="30"/>
  <c r="N6" i="12"/>
  <c r="N41" i="12" s="1"/>
  <c r="G22" i="23"/>
  <c r="B30" i="23" s="1"/>
  <c r="F11" i="12" s="1"/>
  <c r="E19" i="32" l="1"/>
  <c r="I52" i="12"/>
  <c r="E20" i="32"/>
  <c r="I53" i="12"/>
  <c r="E18" i="32"/>
  <c r="I51" i="12"/>
  <c r="G9" i="12"/>
  <c r="G44" i="12" s="1"/>
  <c r="J18" i="12"/>
  <c r="G39" i="4"/>
  <c r="G25" i="4"/>
  <c r="J16" i="12"/>
  <c r="J17" i="12"/>
  <c r="G32" i="4"/>
  <c r="F8" i="12"/>
  <c r="C30" i="20"/>
  <c r="D30" i="20" s="1"/>
  <c r="L30" i="30"/>
  <c r="O6" i="12"/>
  <c r="O41" i="12" s="1"/>
  <c r="C30" i="23"/>
  <c r="E30" i="21"/>
  <c r="H9" i="12"/>
  <c r="D15" i="7"/>
  <c r="F20" i="32" l="1"/>
  <c r="J53" i="12"/>
  <c r="H44" i="12"/>
  <c r="F19" i="32"/>
  <c r="J52" i="12"/>
  <c r="F18" i="32"/>
  <c r="J51" i="12"/>
  <c r="K17" i="12"/>
  <c r="H32" i="4"/>
  <c r="H25" i="4"/>
  <c r="K16" i="12"/>
  <c r="H39" i="4"/>
  <c r="K18" i="12"/>
  <c r="G8" i="12"/>
  <c r="G43" i="12" s="1"/>
  <c r="M30" i="30"/>
  <c r="P6" i="12"/>
  <c r="P41" i="12" s="1"/>
  <c r="D30" i="23"/>
  <c r="G11" i="12"/>
  <c r="G46" i="12" s="1"/>
  <c r="F30" i="21"/>
  <c r="I9" i="12"/>
  <c r="I44" i="12" s="1"/>
  <c r="E30" i="20"/>
  <c r="H8" i="12"/>
  <c r="H43" i="12" s="1"/>
  <c r="B23" i="19"/>
  <c r="D23" i="19" s="1"/>
  <c r="B24" i="19"/>
  <c r="D24" i="19" s="1"/>
  <c r="C15" i="18"/>
  <c r="D15" i="18" s="1"/>
  <c r="C14" i="18"/>
  <c r="D14" i="18" s="1"/>
  <c r="E14" i="18" s="1"/>
  <c r="C13" i="18"/>
  <c r="D13" i="18" s="1"/>
  <c r="E13" i="18" s="1"/>
  <c r="C12" i="18"/>
  <c r="D12" i="18" s="1"/>
  <c r="E12" i="18" s="1"/>
  <c r="C11" i="18"/>
  <c r="D11" i="18" s="1"/>
  <c r="E11" i="18" s="1"/>
  <c r="C10" i="18"/>
  <c r="D10" i="18" s="1"/>
  <c r="E10" i="18" s="1"/>
  <c r="C9" i="18"/>
  <c r="D9" i="18" s="1"/>
  <c r="E9" i="18" s="1"/>
  <c r="C8" i="18"/>
  <c r="D8" i="18" s="1"/>
  <c r="E8" i="18" s="1"/>
  <c r="C7" i="18"/>
  <c r="D7" i="18" s="1"/>
  <c r="E7" i="18" s="1"/>
  <c r="C6" i="18"/>
  <c r="D6" i="18" s="1"/>
  <c r="E6" i="18" s="1"/>
  <c r="C5" i="18"/>
  <c r="D5" i="18" s="1"/>
  <c r="E5" i="18" s="1"/>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C24" i="18"/>
  <c r="G19" i="32" l="1"/>
  <c r="K52" i="12"/>
  <c r="G18" i="32"/>
  <c r="K51" i="12"/>
  <c r="G20" i="32"/>
  <c r="K53" i="12"/>
  <c r="I39" i="4"/>
  <c r="L18" i="12"/>
  <c r="I32" i="4"/>
  <c r="L17" i="12"/>
  <c r="L16" i="12"/>
  <c r="I25" i="4"/>
  <c r="E15" i="18"/>
  <c r="N30" i="30"/>
  <c r="Q6" i="12"/>
  <c r="Q41" i="12" s="1"/>
  <c r="N24" i="19"/>
  <c r="P24" i="19" s="1"/>
  <c r="N23" i="19"/>
  <c r="P23" i="19" s="1"/>
  <c r="E30" i="23"/>
  <c r="H11" i="12"/>
  <c r="H46" i="12" s="1"/>
  <c r="G30" i="21"/>
  <c r="J9" i="12"/>
  <c r="J44" i="12" s="1"/>
  <c r="F30" i="20"/>
  <c r="I8" i="12"/>
  <c r="I43" i="12" s="1"/>
  <c r="H20" i="32" l="1"/>
  <c r="L53" i="12"/>
  <c r="H18" i="32"/>
  <c r="L51" i="12"/>
  <c r="H19" i="32"/>
  <c r="L52" i="12"/>
  <c r="M16" i="12"/>
  <c r="J25" i="4"/>
  <c r="M17" i="12"/>
  <c r="J32" i="4"/>
  <c r="M18" i="12"/>
  <c r="J39" i="4"/>
  <c r="O30" i="30"/>
  <c r="R6" i="12"/>
  <c r="R41" i="12" s="1"/>
  <c r="B25" i="18"/>
  <c r="B21" i="32" s="1"/>
  <c r="F30" i="23"/>
  <c r="I11" i="12"/>
  <c r="I46" i="12" s="1"/>
  <c r="H30" i="21"/>
  <c r="K9" i="12"/>
  <c r="K44" i="12" s="1"/>
  <c r="G30" i="20"/>
  <c r="J8" i="12"/>
  <c r="J43" i="12" s="1"/>
  <c r="I18" i="32" l="1"/>
  <c r="M51" i="12"/>
  <c r="I20" i="32"/>
  <c r="M53" i="12"/>
  <c r="I19" i="32"/>
  <c r="M52" i="12"/>
  <c r="K39" i="4"/>
  <c r="N18" i="12"/>
  <c r="K32" i="4"/>
  <c r="N17" i="12"/>
  <c r="N16" i="12"/>
  <c r="K25" i="4"/>
  <c r="B22" i="29"/>
  <c r="C25" i="18"/>
  <c r="C21" i="32" s="1"/>
  <c r="F19" i="12"/>
  <c r="P30" i="30"/>
  <c r="S6" i="12"/>
  <c r="S41" i="12" s="1"/>
  <c r="G30" i="23"/>
  <c r="J11" i="12"/>
  <c r="J46" i="12" s="1"/>
  <c r="I30" i="21"/>
  <c r="L9" i="12"/>
  <c r="L44" i="12" s="1"/>
  <c r="H30" i="20"/>
  <c r="K8" i="12"/>
  <c r="K43" i="12" s="1"/>
  <c r="D25" i="18"/>
  <c r="D21" i="32" s="1"/>
  <c r="G19" i="12"/>
  <c r="C17" i="16"/>
  <c r="D17" i="16" s="1"/>
  <c r="C16" i="16"/>
  <c r="D16" i="16" s="1"/>
  <c r="E16" i="16" s="1"/>
  <c r="C15" i="16"/>
  <c r="D15" i="16" s="1"/>
  <c r="E15" i="16" s="1"/>
  <c r="C14" i="16"/>
  <c r="D14" i="16" s="1"/>
  <c r="E14" i="16" s="1"/>
  <c r="C13" i="16"/>
  <c r="D13" i="16" s="1"/>
  <c r="E13" i="16" s="1"/>
  <c r="C12" i="16"/>
  <c r="C11" i="16"/>
  <c r="C10" i="16"/>
  <c r="D10" i="16" s="1"/>
  <c r="E10" i="16" s="1"/>
  <c r="C9" i="16"/>
  <c r="D9" i="16" s="1"/>
  <c r="E9" i="16" s="1"/>
  <c r="C8" i="16"/>
  <c r="D8" i="16" s="1"/>
  <c r="E8" i="16" s="1"/>
  <c r="C7" i="16"/>
  <c r="D7" i="16" s="1"/>
  <c r="E7" i="16" s="1"/>
  <c r="C6" i="16"/>
  <c r="D6" i="16" s="1"/>
  <c r="E6" i="16" s="1"/>
  <c r="C5" i="16"/>
  <c r="D5" i="16" s="1"/>
  <c r="E5" i="16" s="1"/>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C24" i="16"/>
  <c r="D12" i="16"/>
  <c r="E12" i="16" s="1"/>
  <c r="D11" i="16"/>
  <c r="E11" i="16" s="1"/>
  <c r="J20" i="32" l="1"/>
  <c r="N53" i="12"/>
  <c r="J18" i="32"/>
  <c r="N51" i="12"/>
  <c r="J19" i="32"/>
  <c r="N52" i="12"/>
  <c r="G54" i="12"/>
  <c r="L25" i="4"/>
  <c r="O16" i="12"/>
  <c r="O17" i="12"/>
  <c r="L32" i="4"/>
  <c r="L39" i="4"/>
  <c r="O18" i="12"/>
  <c r="E17" i="16"/>
  <c r="B25" i="16" s="1"/>
  <c r="Q30" i="30"/>
  <c r="T6" i="12"/>
  <c r="T41" i="12" s="1"/>
  <c r="H30" i="23"/>
  <c r="K11" i="12"/>
  <c r="K46" i="12" s="1"/>
  <c r="J30" i="21"/>
  <c r="M9" i="12"/>
  <c r="M44" i="12" s="1"/>
  <c r="I30" i="20"/>
  <c r="L8" i="12"/>
  <c r="L43" i="12" s="1"/>
  <c r="H19" i="12"/>
  <c r="H54" i="12" s="1"/>
  <c r="E25" i="18"/>
  <c r="E21" i="32" s="1"/>
  <c r="K20" i="32" l="1"/>
  <c r="O53" i="12"/>
  <c r="K19" i="32"/>
  <c r="O52" i="12"/>
  <c r="K18" i="32"/>
  <c r="O51" i="12"/>
  <c r="M39" i="4"/>
  <c r="P18" i="12"/>
  <c r="M32" i="4"/>
  <c r="P17" i="12"/>
  <c r="M25" i="4"/>
  <c r="P16" i="12"/>
  <c r="R30" i="30"/>
  <c r="U6" i="12"/>
  <c r="U41" i="12" s="1"/>
  <c r="I30" i="23"/>
  <c r="L11" i="12"/>
  <c r="L46" i="12" s="1"/>
  <c r="K30" i="21"/>
  <c r="N9" i="12"/>
  <c r="N44" i="12" s="1"/>
  <c r="J30" i="20"/>
  <c r="M8" i="12"/>
  <c r="M43" i="12" s="1"/>
  <c r="F25" i="18"/>
  <c r="F21" i="32" s="1"/>
  <c r="I19" i="12"/>
  <c r="I54" i="12" s="1"/>
  <c r="F12" i="12"/>
  <c r="L18" i="32" l="1"/>
  <c r="P51" i="12"/>
  <c r="L20" i="32"/>
  <c r="P53" i="12"/>
  <c r="L19" i="32"/>
  <c r="P52" i="12"/>
  <c r="N25" i="4"/>
  <c r="Q16" i="12"/>
  <c r="N32" i="4"/>
  <c r="Q17" i="12"/>
  <c r="N39" i="4"/>
  <c r="Q18" i="12"/>
  <c r="S30" i="30"/>
  <c r="V6" i="12"/>
  <c r="V41" i="12" s="1"/>
  <c r="J30" i="23"/>
  <c r="M11" i="12"/>
  <c r="M46" i="12" s="1"/>
  <c r="L30" i="21"/>
  <c r="O9" i="12"/>
  <c r="O44" i="12" s="1"/>
  <c r="K30" i="20"/>
  <c r="N8" i="12"/>
  <c r="N43" i="12" s="1"/>
  <c r="C25" i="16"/>
  <c r="G25" i="18"/>
  <c r="G21" i="32" s="1"/>
  <c r="J19" i="12"/>
  <c r="J54" i="12" s="1"/>
  <c r="M18" i="32" l="1"/>
  <c r="Q51" i="12"/>
  <c r="M20" i="32"/>
  <c r="Q53" i="12"/>
  <c r="M19" i="32"/>
  <c r="Q52" i="12"/>
  <c r="O39" i="4"/>
  <c r="R18" i="12"/>
  <c r="O32" i="4"/>
  <c r="R17" i="12"/>
  <c r="O25" i="4"/>
  <c r="R16" i="12"/>
  <c r="T30" i="30"/>
  <c r="W6" i="12"/>
  <c r="W41" i="12" s="1"/>
  <c r="K30" i="23"/>
  <c r="N11" i="12"/>
  <c r="N46" i="12" s="1"/>
  <c r="M30" i="21"/>
  <c r="P9" i="12"/>
  <c r="P44" i="12" s="1"/>
  <c r="L30" i="20"/>
  <c r="O8" i="12"/>
  <c r="O43" i="12" s="1"/>
  <c r="H25" i="18"/>
  <c r="H21" i="32" s="1"/>
  <c r="K19" i="12"/>
  <c r="K54" i="12" s="1"/>
  <c r="D25" i="16"/>
  <c r="G12" i="12"/>
  <c r="G47" i="12" s="1"/>
  <c r="E20" i="7"/>
  <c r="E19" i="7"/>
  <c r="E18" i="7"/>
  <c r="E17" i="7"/>
  <c r="E16" i="7"/>
  <c r="E14" i="7"/>
  <c r="E13" i="7"/>
  <c r="E12" i="7"/>
  <c r="E11" i="7"/>
  <c r="E10" i="7"/>
  <c r="E9" i="7"/>
  <c r="E8" i="7"/>
  <c r="E7" i="7"/>
  <c r="E6" i="7"/>
  <c r="E5" i="7"/>
  <c r="N20" i="32" l="1"/>
  <c r="R53" i="12"/>
  <c r="N18" i="32"/>
  <c r="R51" i="12"/>
  <c r="N19" i="32"/>
  <c r="R52" i="12"/>
  <c r="P25" i="4"/>
  <c r="S16" i="12"/>
  <c r="P32" i="4"/>
  <c r="S17" i="12"/>
  <c r="P39" i="4"/>
  <c r="S18" i="12"/>
  <c r="U30" i="30"/>
  <c r="X6" i="12"/>
  <c r="X41" i="12" s="1"/>
  <c r="L30" i="23"/>
  <c r="O11" i="12"/>
  <c r="O46" i="12" s="1"/>
  <c r="N30" i="21"/>
  <c r="Q9" i="12"/>
  <c r="Q44" i="12" s="1"/>
  <c r="M30" i="20"/>
  <c r="P8" i="12"/>
  <c r="P43" i="12" s="1"/>
  <c r="E25" i="16"/>
  <c r="H12" i="12"/>
  <c r="H47" i="12" s="1"/>
  <c r="I25" i="18"/>
  <c r="I21" i="32" s="1"/>
  <c r="L19" i="12"/>
  <c r="L54" i="12" s="1"/>
  <c r="D16" i="2"/>
  <c r="B16" i="10"/>
  <c r="B12" i="10"/>
  <c r="B9" i="3"/>
  <c r="B13" i="3"/>
  <c r="B21" i="3"/>
  <c r="B22" i="3"/>
  <c r="O18" i="32" l="1"/>
  <c r="S51" i="12"/>
  <c r="O20" i="32"/>
  <c r="S53" i="12"/>
  <c r="O19" i="32"/>
  <c r="S52" i="12"/>
  <c r="Q32" i="4"/>
  <c r="T17" i="12"/>
  <c r="Q39" i="4"/>
  <c r="T18" i="12"/>
  <c r="Q25" i="4"/>
  <c r="T16" i="12"/>
  <c r="F16" i="2"/>
  <c r="G16" i="2" s="1"/>
  <c r="H24" i="19" s="1"/>
  <c r="V30" i="30"/>
  <c r="Y6" i="12"/>
  <c r="Y41" i="12" s="1"/>
  <c r="N11" i="19"/>
  <c r="P11" i="19" s="1"/>
  <c r="H11" i="19"/>
  <c r="J11" i="19" s="1"/>
  <c r="B11" i="19"/>
  <c r="D11" i="19" s="1"/>
  <c r="M30" i="23"/>
  <c r="P11" i="12"/>
  <c r="P46" i="12" s="1"/>
  <c r="O30" i="21"/>
  <c r="R9" i="12"/>
  <c r="R44" i="12" s="1"/>
  <c r="N30" i="20"/>
  <c r="Q8" i="12"/>
  <c r="Q43" i="12" s="1"/>
  <c r="N8" i="19"/>
  <c r="P8" i="19" s="1"/>
  <c r="H8" i="19"/>
  <c r="J8" i="19" s="1"/>
  <c r="B8" i="19"/>
  <c r="D8" i="19" s="1"/>
  <c r="N6" i="19"/>
  <c r="P6" i="19" s="1"/>
  <c r="H6" i="19"/>
  <c r="J6" i="19" s="1"/>
  <c r="B6" i="19"/>
  <c r="D6" i="19" s="1"/>
  <c r="H5" i="19"/>
  <c r="J5" i="19" s="1"/>
  <c r="B5" i="19"/>
  <c r="N5" i="19"/>
  <c r="P5" i="19" s="1"/>
  <c r="H7" i="19"/>
  <c r="J7" i="19" s="1"/>
  <c r="N7" i="19"/>
  <c r="P7" i="19" s="1"/>
  <c r="B7" i="19"/>
  <c r="D7" i="19" s="1"/>
  <c r="J25" i="18"/>
  <c r="J21" i="32" s="1"/>
  <c r="M19" i="12"/>
  <c r="M54" i="12" s="1"/>
  <c r="N10" i="19"/>
  <c r="P10" i="19" s="1"/>
  <c r="H10" i="19"/>
  <c r="J10" i="19" s="1"/>
  <c r="B10" i="19"/>
  <c r="D10" i="19" s="1"/>
  <c r="H9" i="19"/>
  <c r="J9" i="19" s="1"/>
  <c r="B9" i="19"/>
  <c r="D9" i="19" s="1"/>
  <c r="N9" i="19"/>
  <c r="P9" i="19" s="1"/>
  <c r="F25" i="16"/>
  <c r="I12" i="12"/>
  <c r="I47" i="12" s="1"/>
  <c r="B18" i="10"/>
  <c r="C4" i="10" s="1"/>
  <c r="D4" i="10" s="1"/>
  <c r="P18" i="32" l="1"/>
  <c r="T51" i="12"/>
  <c r="P19" i="32"/>
  <c r="T52" i="12"/>
  <c r="P20" i="32"/>
  <c r="T53" i="12"/>
  <c r="R39" i="4"/>
  <c r="U18" i="12"/>
  <c r="U16" i="12"/>
  <c r="R25" i="4"/>
  <c r="R32" i="4"/>
  <c r="U17" i="12"/>
  <c r="F4" i="10"/>
  <c r="W30" i="30"/>
  <c r="Z6" i="12"/>
  <c r="Z41" i="12" s="1"/>
  <c r="N30" i="23"/>
  <c r="Q11" i="12"/>
  <c r="Q46" i="12" s="1"/>
  <c r="P30" i="21"/>
  <c r="S9" i="12"/>
  <c r="S44" i="12" s="1"/>
  <c r="O30" i="20"/>
  <c r="R8" i="12"/>
  <c r="R43" i="12" s="1"/>
  <c r="J24" i="19"/>
  <c r="O42" i="19"/>
  <c r="D5" i="19"/>
  <c r="K25" i="18"/>
  <c r="K21" i="32" s="1"/>
  <c r="N19" i="12"/>
  <c r="N54" i="12" s="1"/>
  <c r="G25" i="16"/>
  <c r="J12" i="12"/>
  <c r="J47" i="12" s="1"/>
  <c r="C12" i="10"/>
  <c r="C11" i="10"/>
  <c r="D11" i="10" s="1"/>
  <c r="F11" i="10" s="1"/>
  <c r="G11" i="10" s="1"/>
  <c r="C5" i="10"/>
  <c r="D5" i="10" s="1"/>
  <c r="F5" i="10" s="1"/>
  <c r="G5" i="10" s="1"/>
  <c r="C13" i="10"/>
  <c r="D13" i="10" s="1"/>
  <c r="C8" i="10"/>
  <c r="D8" i="10" s="1"/>
  <c r="F8" i="10" s="1"/>
  <c r="G8" i="10" s="1"/>
  <c r="C6" i="10"/>
  <c r="D6" i="10" s="1"/>
  <c r="F6" i="10" s="1"/>
  <c r="G6" i="10" s="1"/>
  <c r="C14" i="10"/>
  <c r="D14" i="10" s="1"/>
  <c r="F14" i="10" s="1"/>
  <c r="G14" i="10" s="1"/>
  <c r="C16" i="10"/>
  <c r="C9" i="10"/>
  <c r="D9" i="10" s="1"/>
  <c r="F9" i="10" s="1"/>
  <c r="C7" i="10"/>
  <c r="D7" i="10" s="1"/>
  <c r="F7" i="10" s="1"/>
  <c r="G7" i="10" s="1"/>
  <c r="C15" i="10"/>
  <c r="D15" i="10" s="1"/>
  <c r="F15" i="10" s="1"/>
  <c r="G15" i="10" s="1"/>
  <c r="C10" i="10"/>
  <c r="D10" i="10" s="1"/>
  <c r="F10" i="10" s="1"/>
  <c r="G10" i="10" s="1"/>
  <c r="C18" i="10"/>
  <c r="C17" i="10"/>
  <c r="D17" i="10" s="1"/>
  <c r="F17" i="10" s="1"/>
  <c r="G17" i="10" s="1"/>
  <c r="Q19" i="32" l="1"/>
  <c r="U52" i="12"/>
  <c r="Q20" i="32"/>
  <c r="U53" i="12"/>
  <c r="Q18" i="32"/>
  <c r="U51" i="12"/>
  <c r="S32" i="4"/>
  <c r="V17" i="12"/>
  <c r="S25" i="4"/>
  <c r="V16" i="12"/>
  <c r="S39" i="4"/>
  <c r="V18" i="12"/>
  <c r="F12" i="10"/>
  <c r="D16" i="10"/>
  <c r="F13" i="10"/>
  <c r="F16" i="10" s="1"/>
  <c r="F18" i="10" s="1"/>
  <c r="G18" i="10" s="1"/>
  <c r="D12" i="10"/>
  <c r="D18" i="10" s="1"/>
  <c r="X30" i="30"/>
  <c r="AA6" i="12"/>
  <c r="AA41" i="12" s="1"/>
  <c r="O30" i="23"/>
  <c r="R11" i="12"/>
  <c r="R46" i="12" s="1"/>
  <c r="Q30" i="21"/>
  <c r="T9" i="12"/>
  <c r="T44" i="12" s="1"/>
  <c r="P30" i="20"/>
  <c r="S8" i="12"/>
  <c r="S43" i="12" s="1"/>
  <c r="Q42" i="19"/>
  <c r="H4" i="19"/>
  <c r="B4" i="19"/>
  <c r="N4" i="19"/>
  <c r="L25" i="18"/>
  <c r="L21" i="32" s="1"/>
  <c r="O19" i="12"/>
  <c r="O54" i="12" s="1"/>
  <c r="H25" i="16"/>
  <c r="K12" i="12"/>
  <c r="K47" i="12" s="1"/>
  <c r="G12" i="10"/>
  <c r="G16" i="10"/>
  <c r="G13" i="10"/>
  <c r="G4" i="10"/>
  <c r="R19" i="32" l="1"/>
  <c r="V52" i="12"/>
  <c r="R20" i="32"/>
  <c r="V53" i="12"/>
  <c r="R18" i="32"/>
  <c r="V51" i="12"/>
  <c r="B12" i="19"/>
  <c r="D4" i="19"/>
  <c r="D12" i="19" s="1"/>
  <c r="B60" i="19" s="1"/>
  <c r="F29" i="12" s="1"/>
  <c r="T39" i="4"/>
  <c r="W18" i="12"/>
  <c r="W16" i="12"/>
  <c r="T25" i="4"/>
  <c r="T32" i="4"/>
  <c r="W17" i="12"/>
  <c r="Y30" i="30"/>
  <c r="AB6" i="12"/>
  <c r="AB41" i="12" s="1"/>
  <c r="P30" i="23"/>
  <c r="S11" i="12"/>
  <c r="S46" i="12" s="1"/>
  <c r="R30" i="21"/>
  <c r="U9" i="12"/>
  <c r="U44" i="12" s="1"/>
  <c r="Q30" i="20"/>
  <c r="T8" i="12"/>
  <c r="T43" i="12" s="1"/>
  <c r="I25" i="16"/>
  <c r="L12" i="12"/>
  <c r="L47" i="12" s="1"/>
  <c r="M25" i="18"/>
  <c r="M21" i="32" s="1"/>
  <c r="P19" i="12"/>
  <c r="P54" i="12" s="1"/>
  <c r="N12" i="19"/>
  <c r="P4" i="19"/>
  <c r="P12" i="19" s="1"/>
  <c r="J4" i="19"/>
  <c r="J12" i="19" s="1"/>
  <c r="H12" i="19"/>
  <c r="B28" i="10"/>
  <c r="F26" i="12" s="1"/>
  <c r="G9" i="10"/>
  <c r="S19" i="32" l="1"/>
  <c r="W52" i="12"/>
  <c r="S18" i="32"/>
  <c r="W51" i="12"/>
  <c r="S20" i="32"/>
  <c r="W53" i="12"/>
  <c r="U32" i="4"/>
  <c r="X17" i="12"/>
  <c r="U25" i="4"/>
  <c r="X16" i="12"/>
  <c r="U39" i="4"/>
  <c r="X18" i="12"/>
  <c r="C60" i="19"/>
  <c r="G29" i="12" s="1"/>
  <c r="G64" i="12" s="1"/>
  <c r="B82" i="19"/>
  <c r="F32" i="12" s="1"/>
  <c r="C28" i="10"/>
  <c r="G26" i="12" s="1"/>
  <c r="G61" i="12" s="1"/>
  <c r="Z30" i="30"/>
  <c r="AC6" i="12"/>
  <c r="AC41" i="12" s="1"/>
  <c r="Q30" i="23"/>
  <c r="T11" i="12"/>
  <c r="T46" i="12" s="1"/>
  <c r="S30" i="21"/>
  <c r="V9" i="12"/>
  <c r="V44" i="12" s="1"/>
  <c r="R30" i="20"/>
  <c r="U8" i="12"/>
  <c r="U43" i="12" s="1"/>
  <c r="N25" i="18"/>
  <c r="N21" i="32" s="1"/>
  <c r="Q19" i="12"/>
  <c r="Q54" i="12" s="1"/>
  <c r="J25" i="16"/>
  <c r="M12" i="12"/>
  <c r="M47" i="12" s="1"/>
  <c r="G24" i="6"/>
  <c r="B10" i="9"/>
  <c r="B17" i="8"/>
  <c r="B19" i="8" s="1"/>
  <c r="E7" i="8"/>
  <c r="B15" i="9"/>
  <c r="B12" i="7"/>
  <c r="B20" i="7" s="1"/>
  <c r="C11" i="7" s="1"/>
  <c r="D11" i="7" s="1"/>
  <c r="F11" i="7" s="1"/>
  <c r="H11" i="7" s="1"/>
  <c r="I11" i="7" s="1"/>
  <c r="C24" i="5"/>
  <c r="B14" i="6"/>
  <c r="B23" i="6" s="1"/>
  <c r="B10" i="5"/>
  <c r="AC24" i="9"/>
  <c r="AB24" i="9"/>
  <c r="AA24" i="9"/>
  <c r="Z24" i="9"/>
  <c r="Y24" i="9"/>
  <c r="X24" i="9"/>
  <c r="W24" i="9"/>
  <c r="V24" i="9"/>
  <c r="U24" i="9"/>
  <c r="T24" i="9"/>
  <c r="S24" i="9"/>
  <c r="R24" i="9"/>
  <c r="Q24" i="9"/>
  <c r="P24" i="9"/>
  <c r="O24" i="9"/>
  <c r="N24" i="9"/>
  <c r="M24" i="9"/>
  <c r="L24" i="9"/>
  <c r="K24" i="9"/>
  <c r="J24" i="9"/>
  <c r="I24" i="9"/>
  <c r="H24" i="9"/>
  <c r="G24" i="9"/>
  <c r="F24" i="9"/>
  <c r="E24" i="9"/>
  <c r="D24" i="9"/>
  <c r="C24" i="9"/>
  <c r="AC26" i="8"/>
  <c r="AB26" i="8"/>
  <c r="AA26" i="8"/>
  <c r="Z26" i="8"/>
  <c r="Y26" i="8"/>
  <c r="X26" i="8"/>
  <c r="W26" i="8"/>
  <c r="V26" i="8"/>
  <c r="U26" i="8"/>
  <c r="T26" i="8"/>
  <c r="S26" i="8"/>
  <c r="R26" i="8"/>
  <c r="Q26" i="8"/>
  <c r="P26" i="8"/>
  <c r="O26" i="8"/>
  <c r="N26" i="8"/>
  <c r="M26" i="8"/>
  <c r="L26" i="8"/>
  <c r="K26" i="8"/>
  <c r="J26" i="8"/>
  <c r="I26" i="8"/>
  <c r="H26" i="8"/>
  <c r="G26" i="8"/>
  <c r="F26" i="8"/>
  <c r="E26" i="8"/>
  <c r="D26" i="8"/>
  <c r="C26" i="8"/>
  <c r="AC27" i="7"/>
  <c r="AB27" i="7"/>
  <c r="AA27" i="7"/>
  <c r="Z27" i="7"/>
  <c r="Y27" i="7"/>
  <c r="X27" i="7"/>
  <c r="W27" i="7"/>
  <c r="V27" i="7"/>
  <c r="U27" i="7"/>
  <c r="T27" i="7"/>
  <c r="S27" i="7"/>
  <c r="R27" i="7"/>
  <c r="Q27" i="7"/>
  <c r="P27" i="7"/>
  <c r="O27" i="7"/>
  <c r="N27" i="7"/>
  <c r="M27" i="7"/>
  <c r="L27" i="7"/>
  <c r="K27" i="7"/>
  <c r="J27" i="7"/>
  <c r="I27" i="7"/>
  <c r="H27" i="7"/>
  <c r="G27" i="7"/>
  <c r="F27" i="7"/>
  <c r="E27" i="7"/>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C24" i="5"/>
  <c r="AB24" i="5"/>
  <c r="AA24" i="5"/>
  <c r="Z24" i="5"/>
  <c r="Y24" i="5"/>
  <c r="X24" i="5"/>
  <c r="W24" i="5"/>
  <c r="V24" i="5"/>
  <c r="U24" i="5"/>
  <c r="T24" i="5"/>
  <c r="S24" i="5"/>
  <c r="R24" i="5"/>
  <c r="Q24" i="5"/>
  <c r="P24" i="5"/>
  <c r="O24" i="5"/>
  <c r="N24" i="5"/>
  <c r="M24" i="5"/>
  <c r="L24" i="5"/>
  <c r="K24" i="5"/>
  <c r="J24" i="5"/>
  <c r="I24" i="5"/>
  <c r="H24" i="5"/>
  <c r="G24" i="5"/>
  <c r="F24" i="5"/>
  <c r="E24" i="5"/>
  <c r="D24" i="5"/>
  <c r="C10" i="3"/>
  <c r="D10" i="3" s="1"/>
  <c r="C12" i="3"/>
  <c r="D12" i="3" s="1"/>
  <c r="C13" i="3"/>
  <c r="D13" i="3" s="1"/>
  <c r="C20" i="3"/>
  <c r="D20" i="3" s="1"/>
  <c r="C21" i="3"/>
  <c r="D21" i="3" s="1"/>
  <c r="C22" i="3"/>
  <c r="D22" i="3" s="1"/>
  <c r="C5" i="3"/>
  <c r="D5" i="3" s="1"/>
  <c r="F5" i="3" s="1"/>
  <c r="C6" i="3"/>
  <c r="D6" i="3" s="1"/>
  <c r="C9" i="3"/>
  <c r="D9" i="3" s="1"/>
  <c r="F9" i="3" s="1"/>
  <c r="AC29" i="3"/>
  <c r="AB29" i="3"/>
  <c r="AA29" i="3"/>
  <c r="Z29" i="3"/>
  <c r="Y29" i="3"/>
  <c r="X29" i="3"/>
  <c r="W29" i="3"/>
  <c r="V29" i="3"/>
  <c r="U29" i="3"/>
  <c r="T29" i="3"/>
  <c r="S29" i="3"/>
  <c r="R29" i="3"/>
  <c r="Q29" i="3"/>
  <c r="P29" i="3"/>
  <c r="O29" i="3"/>
  <c r="N29" i="3"/>
  <c r="M29" i="3"/>
  <c r="L29" i="3"/>
  <c r="K29" i="3"/>
  <c r="J29" i="3"/>
  <c r="I29" i="3"/>
  <c r="H29" i="3"/>
  <c r="G29" i="3"/>
  <c r="F29" i="3"/>
  <c r="E29" i="3"/>
  <c r="D29" i="3"/>
  <c r="C29" i="3"/>
  <c r="AC29" i="2"/>
  <c r="AB29" i="2"/>
  <c r="AA29" i="2"/>
  <c r="Z29" i="2"/>
  <c r="Y29" i="2"/>
  <c r="X29" i="2"/>
  <c r="W29" i="2"/>
  <c r="V29" i="2"/>
  <c r="U29" i="2"/>
  <c r="T29" i="2"/>
  <c r="S29" i="2"/>
  <c r="R29" i="2"/>
  <c r="Q29" i="2"/>
  <c r="P29" i="2"/>
  <c r="O29" i="2"/>
  <c r="N29" i="2"/>
  <c r="M29" i="2"/>
  <c r="L29" i="2"/>
  <c r="K29" i="2"/>
  <c r="J29" i="2"/>
  <c r="I29" i="2"/>
  <c r="H29" i="2"/>
  <c r="G29" i="2"/>
  <c r="F29" i="2"/>
  <c r="E29" i="2"/>
  <c r="D29" i="2"/>
  <c r="C29" i="2"/>
  <c r="E30" i="1"/>
  <c r="F30" i="1"/>
  <c r="G30" i="1"/>
  <c r="H30" i="1"/>
  <c r="I30" i="1"/>
  <c r="J30" i="1"/>
  <c r="K30" i="1"/>
  <c r="L30" i="1"/>
  <c r="M30" i="1"/>
  <c r="N30" i="1"/>
  <c r="O30" i="1"/>
  <c r="P30" i="1"/>
  <c r="Q30" i="1"/>
  <c r="R30" i="1"/>
  <c r="S30" i="1"/>
  <c r="T30" i="1"/>
  <c r="U30" i="1"/>
  <c r="V30" i="1"/>
  <c r="W30" i="1"/>
  <c r="X30" i="1"/>
  <c r="Y30" i="1"/>
  <c r="Z30" i="1"/>
  <c r="AA30" i="1"/>
  <c r="AB30" i="1"/>
  <c r="AC30" i="1"/>
  <c r="C8" i="1"/>
  <c r="D8" i="1" s="1"/>
  <c r="F8" i="1" s="1"/>
  <c r="C9" i="1"/>
  <c r="D9" i="1" s="1"/>
  <c r="C10" i="1"/>
  <c r="D10" i="1" s="1"/>
  <c r="C11" i="1"/>
  <c r="D11" i="1" s="1"/>
  <c r="C12" i="1"/>
  <c r="D12" i="1" s="1"/>
  <c r="F12" i="1" s="1"/>
  <c r="C13" i="1"/>
  <c r="D13" i="1" s="1"/>
  <c r="C14" i="1"/>
  <c r="D14" i="1" s="1"/>
  <c r="C17" i="1"/>
  <c r="D17" i="1" s="1"/>
  <c r="F17" i="1" s="1"/>
  <c r="C18" i="1"/>
  <c r="D18" i="1" s="1"/>
  <c r="C19" i="1"/>
  <c r="D19" i="1" s="1"/>
  <c r="C20" i="1"/>
  <c r="D20" i="1" s="1"/>
  <c r="C21" i="1"/>
  <c r="D21" i="1" s="1"/>
  <c r="C22" i="1"/>
  <c r="D22" i="1" s="1"/>
  <c r="F22" i="1" s="1"/>
  <c r="C23" i="1"/>
  <c r="D23" i="1" s="1"/>
  <c r="C6" i="1"/>
  <c r="B25" i="6" l="1"/>
  <c r="C23" i="6"/>
  <c r="T19" i="32"/>
  <c r="X52" i="12"/>
  <c r="T20" i="32"/>
  <c r="X53" i="12"/>
  <c r="T18" i="32"/>
  <c r="X51" i="12"/>
  <c r="V39" i="4"/>
  <c r="Y18" i="12"/>
  <c r="V25" i="4"/>
  <c r="Y16" i="12"/>
  <c r="Y17" i="12"/>
  <c r="V32" i="4"/>
  <c r="B23" i="29"/>
  <c r="B24" i="29"/>
  <c r="C82" i="19"/>
  <c r="G32" i="12" s="1"/>
  <c r="G67" i="12" s="1"/>
  <c r="D60" i="19"/>
  <c r="H29" i="12" s="1"/>
  <c r="H64" i="12" s="1"/>
  <c r="F20" i="3"/>
  <c r="G20" i="3" s="1"/>
  <c r="B29" i="19" s="1"/>
  <c r="N29" i="19" s="1"/>
  <c r="P29" i="19" s="1"/>
  <c r="F12" i="3"/>
  <c r="G12" i="3" s="1"/>
  <c r="B22" i="19" s="1"/>
  <c r="F10" i="3"/>
  <c r="G10" i="3" s="1"/>
  <c r="B20" i="19" s="1"/>
  <c r="F6" i="3"/>
  <c r="G6" i="3" s="1"/>
  <c r="B17" i="19" s="1"/>
  <c r="D17" i="19" s="1"/>
  <c r="D6" i="1"/>
  <c r="F6" i="1" s="1"/>
  <c r="G6" i="1" s="1"/>
  <c r="F14" i="1"/>
  <c r="G14" i="1" s="1"/>
  <c r="F13" i="1"/>
  <c r="G13" i="1" s="1"/>
  <c r="F21" i="1"/>
  <c r="G21" i="1" s="1"/>
  <c r="F20" i="1"/>
  <c r="G20" i="1" s="1"/>
  <c r="F11" i="1"/>
  <c r="G11" i="1" s="1"/>
  <c r="F19" i="1"/>
  <c r="G19" i="1" s="1"/>
  <c r="F10" i="1"/>
  <c r="G10" i="1" s="1"/>
  <c r="F18" i="1"/>
  <c r="G18" i="1" s="1"/>
  <c r="F9" i="1"/>
  <c r="G9" i="1" s="1"/>
  <c r="C12" i="7"/>
  <c r="D12" i="7" s="1"/>
  <c r="C8" i="6"/>
  <c r="D8" i="6" s="1"/>
  <c r="C18" i="6"/>
  <c r="D18" i="6" s="1"/>
  <c r="C9" i="6"/>
  <c r="D9" i="6" s="1"/>
  <c r="C19" i="6"/>
  <c r="D19" i="6" s="1"/>
  <c r="C25" i="6"/>
  <c r="D25" i="6" s="1"/>
  <c r="C10" i="6"/>
  <c r="D10" i="6" s="1"/>
  <c r="C20" i="6"/>
  <c r="D20" i="6" s="1"/>
  <c r="C6" i="6"/>
  <c r="D6" i="6" s="1"/>
  <c r="C11" i="6"/>
  <c r="D11" i="6" s="1"/>
  <c r="C21" i="6"/>
  <c r="D21" i="6" s="1"/>
  <c r="C13" i="6"/>
  <c r="D13" i="6" s="1"/>
  <c r="C12" i="6"/>
  <c r="D12" i="6" s="1"/>
  <c r="C22" i="6"/>
  <c r="D22" i="6" s="1"/>
  <c r="F22" i="6" s="1"/>
  <c r="D23" i="6"/>
  <c r="C14" i="6"/>
  <c r="D14" i="6" s="1"/>
  <c r="C7" i="6"/>
  <c r="D7" i="6" s="1"/>
  <c r="C17" i="6"/>
  <c r="D17" i="6" s="1"/>
  <c r="F17" i="6" s="1"/>
  <c r="C5" i="6"/>
  <c r="D5" i="6" s="1"/>
  <c r="F5" i="6" s="1"/>
  <c r="AA30" i="30"/>
  <c r="AD6" i="12"/>
  <c r="AD41" i="12" s="1"/>
  <c r="B17" i="5"/>
  <c r="C17" i="5" s="1"/>
  <c r="D17" i="5" s="1"/>
  <c r="B17" i="9"/>
  <c r="C17" i="9" s="1"/>
  <c r="D17" i="9" s="1"/>
  <c r="R30" i="23"/>
  <c r="U11" i="12"/>
  <c r="U46" i="12" s="1"/>
  <c r="T30" i="21"/>
  <c r="W9" i="12"/>
  <c r="W44" i="12" s="1"/>
  <c r="S30" i="20"/>
  <c r="V8" i="12"/>
  <c r="V43" i="12" s="1"/>
  <c r="G5" i="3"/>
  <c r="K25" i="16"/>
  <c r="N12" i="12"/>
  <c r="N47" i="12" s="1"/>
  <c r="O25" i="18"/>
  <c r="O21" i="32" s="1"/>
  <c r="R19" i="12"/>
  <c r="R54" i="12" s="1"/>
  <c r="D28" i="10"/>
  <c r="H26" i="12" s="1"/>
  <c r="H61" i="12" s="1"/>
  <c r="C19" i="7"/>
  <c r="C10" i="7"/>
  <c r="D10" i="7" s="1"/>
  <c r="F10" i="7" s="1"/>
  <c r="H10" i="7" s="1"/>
  <c r="I10" i="7" s="1"/>
  <c r="C18" i="7"/>
  <c r="D18" i="7" s="1"/>
  <c r="F18" i="7" s="1"/>
  <c r="H18" i="7" s="1"/>
  <c r="I18" i="7" s="1"/>
  <c r="C9" i="7"/>
  <c r="D9" i="7" s="1"/>
  <c r="F9" i="7" s="1"/>
  <c r="H9" i="7" s="1"/>
  <c r="I9" i="7" s="1"/>
  <c r="C17" i="7"/>
  <c r="D17" i="7" s="1"/>
  <c r="F17" i="7" s="1"/>
  <c r="H17" i="7" s="1"/>
  <c r="I17" i="7" s="1"/>
  <c r="C8" i="7"/>
  <c r="D8" i="7" s="1"/>
  <c r="F8" i="7" s="1"/>
  <c r="H8" i="7" s="1"/>
  <c r="I8" i="7" s="1"/>
  <c r="C16" i="7"/>
  <c r="D16" i="7" s="1"/>
  <c r="F16" i="7" s="1"/>
  <c r="H16" i="7" s="1"/>
  <c r="I16" i="7" s="1"/>
  <c r="C7" i="7"/>
  <c r="D7" i="7" s="1"/>
  <c r="F7" i="7" s="1"/>
  <c r="H7" i="7" s="1"/>
  <c r="I7" i="7" s="1"/>
  <c r="C14" i="7"/>
  <c r="D14" i="7" s="1"/>
  <c r="F14" i="7" s="1"/>
  <c r="H14" i="7" s="1"/>
  <c r="I14" i="7" s="1"/>
  <c r="C6" i="7"/>
  <c r="D6" i="7" s="1"/>
  <c r="F6" i="7" s="1"/>
  <c r="H6" i="7" s="1"/>
  <c r="I6" i="7" s="1"/>
  <c r="C13" i="7"/>
  <c r="D13" i="7" s="1"/>
  <c r="F13" i="7" s="1"/>
  <c r="H13" i="7" s="1"/>
  <c r="I13" i="7" s="1"/>
  <c r="C5" i="7"/>
  <c r="D5" i="7" s="1"/>
  <c r="F5" i="7" s="1"/>
  <c r="C20" i="7"/>
  <c r="C5" i="8"/>
  <c r="D5" i="8" s="1"/>
  <c r="F5" i="8" s="1"/>
  <c r="C13" i="8"/>
  <c r="D13" i="8" s="1"/>
  <c r="F13" i="8" s="1"/>
  <c r="C6" i="8"/>
  <c r="D6" i="8" s="1"/>
  <c r="C14" i="8"/>
  <c r="D14" i="8" s="1"/>
  <c r="C11" i="8"/>
  <c r="D11" i="8" s="1"/>
  <c r="C7" i="8"/>
  <c r="D7" i="8" s="1"/>
  <c r="C15" i="8"/>
  <c r="D15" i="8" s="1"/>
  <c r="C18" i="8"/>
  <c r="D18" i="8" s="1"/>
  <c r="C8" i="8"/>
  <c r="D8" i="8" s="1"/>
  <c r="C16" i="8"/>
  <c r="D16" i="8" s="1"/>
  <c r="C9" i="8"/>
  <c r="D9" i="8" s="1"/>
  <c r="C17" i="8"/>
  <c r="D17" i="8" s="1"/>
  <c r="C10" i="8"/>
  <c r="D10" i="8" s="1"/>
  <c r="C19" i="8"/>
  <c r="D19" i="8" s="1"/>
  <c r="C12" i="8"/>
  <c r="D12" i="8" s="1"/>
  <c r="C11" i="3"/>
  <c r="D11" i="3" s="1"/>
  <c r="C19" i="3"/>
  <c r="D19" i="3" s="1"/>
  <c r="C18" i="3"/>
  <c r="D18" i="3" s="1"/>
  <c r="C8" i="3"/>
  <c r="D8" i="3" s="1"/>
  <c r="C17" i="3"/>
  <c r="D17" i="3" s="1"/>
  <c r="C7" i="3"/>
  <c r="D7" i="3" s="1"/>
  <c r="F7" i="3" s="1"/>
  <c r="C16" i="3"/>
  <c r="D16" i="3" s="1"/>
  <c r="F16" i="3" s="1"/>
  <c r="U20" i="32" l="1"/>
  <c r="Y53" i="12"/>
  <c r="U19" i="32"/>
  <c r="Y52" i="12"/>
  <c r="U18" i="32"/>
  <c r="Y51" i="12"/>
  <c r="W25" i="4"/>
  <c r="Z16" i="12"/>
  <c r="W32" i="4"/>
  <c r="Z17" i="12"/>
  <c r="W39" i="4"/>
  <c r="Z18" i="12"/>
  <c r="B25" i="29"/>
  <c r="E60" i="19"/>
  <c r="I29" i="12" s="1"/>
  <c r="I64" i="12" s="1"/>
  <c r="D82" i="19"/>
  <c r="H32" i="12" s="1"/>
  <c r="H67" i="12" s="1"/>
  <c r="D19" i="7"/>
  <c r="F19" i="7" s="1"/>
  <c r="H19" i="7" s="1"/>
  <c r="I19" i="7" s="1"/>
  <c r="F15" i="1"/>
  <c r="F19" i="6"/>
  <c r="G19" i="6" s="1"/>
  <c r="F9" i="6"/>
  <c r="G9" i="6" s="1"/>
  <c r="F21" i="6"/>
  <c r="G21" i="6" s="1"/>
  <c r="F18" i="6"/>
  <c r="G18" i="6" s="1"/>
  <c r="F20" i="6"/>
  <c r="G20" i="6" s="1"/>
  <c r="F13" i="6"/>
  <c r="G13" i="6" s="1"/>
  <c r="F11" i="6"/>
  <c r="G11" i="6" s="1"/>
  <c r="F8" i="6"/>
  <c r="G8" i="6" s="1"/>
  <c r="F10" i="6"/>
  <c r="G10" i="6" s="1"/>
  <c r="G22" i="6"/>
  <c r="F12" i="6"/>
  <c r="G12" i="6" s="1"/>
  <c r="G17" i="6"/>
  <c r="F7" i="6"/>
  <c r="G7" i="6" s="1"/>
  <c r="F6" i="6"/>
  <c r="G6" i="6" s="1"/>
  <c r="F16" i="8"/>
  <c r="F18" i="8"/>
  <c r="H18" i="8" s="1"/>
  <c r="I18" i="8" s="1"/>
  <c r="F15" i="8"/>
  <c r="H15" i="8" s="1"/>
  <c r="I15" i="8" s="1"/>
  <c r="F10" i="8"/>
  <c r="H10" i="8" s="1"/>
  <c r="I10" i="8" s="1"/>
  <c r="F8" i="8"/>
  <c r="H8" i="8" s="1"/>
  <c r="I8" i="8" s="1"/>
  <c r="F7" i="8"/>
  <c r="H7" i="8" s="1"/>
  <c r="I7" i="8" s="1"/>
  <c r="F11" i="8"/>
  <c r="H11" i="8" s="1"/>
  <c r="I11" i="8" s="1"/>
  <c r="F14" i="8"/>
  <c r="H14" i="8" s="1"/>
  <c r="I14" i="8" s="1"/>
  <c r="F9" i="8"/>
  <c r="H9" i="8" s="1"/>
  <c r="I9" i="8" s="1"/>
  <c r="F6" i="8"/>
  <c r="C15" i="5"/>
  <c r="D15" i="5" s="1"/>
  <c r="F15" i="5" s="1"/>
  <c r="G15" i="5" s="1"/>
  <c r="N22" i="19"/>
  <c r="P22" i="19" s="1"/>
  <c r="D22" i="19"/>
  <c r="D20" i="19"/>
  <c r="N20" i="19"/>
  <c r="P20" i="19" s="1"/>
  <c r="F18" i="3"/>
  <c r="D29" i="19"/>
  <c r="F17" i="3"/>
  <c r="G17" i="3" s="1"/>
  <c r="F8" i="3"/>
  <c r="F19" i="3"/>
  <c r="G19" i="3" s="1"/>
  <c r="B28" i="19" s="1"/>
  <c r="N17" i="19"/>
  <c r="P17" i="19" s="1"/>
  <c r="F11" i="3"/>
  <c r="G11" i="3" s="1"/>
  <c r="B21" i="19" s="1"/>
  <c r="C10" i="5"/>
  <c r="D10" i="5" s="1"/>
  <c r="C6" i="5"/>
  <c r="D6" i="5" s="1"/>
  <c r="F6" i="5" s="1"/>
  <c r="C14" i="5"/>
  <c r="D14" i="5" s="1"/>
  <c r="F14" i="5" s="1"/>
  <c r="G14" i="5" s="1"/>
  <c r="C8" i="5"/>
  <c r="D8" i="5" s="1"/>
  <c r="F8" i="5" s="1"/>
  <c r="G8" i="5" s="1"/>
  <c r="C16" i="5"/>
  <c r="D16" i="5" s="1"/>
  <c r="C13" i="5"/>
  <c r="D13" i="5" s="1"/>
  <c r="F13" i="5" s="1"/>
  <c r="G13" i="5" s="1"/>
  <c r="C7" i="5"/>
  <c r="D7" i="5" s="1"/>
  <c r="F7" i="5" s="1"/>
  <c r="G7" i="5" s="1"/>
  <c r="C16" i="9"/>
  <c r="D16" i="9" s="1"/>
  <c r="C14" i="9"/>
  <c r="D14" i="9" s="1"/>
  <c r="C8" i="9"/>
  <c r="D8" i="9" s="1"/>
  <c r="C7" i="9"/>
  <c r="D7" i="9" s="1"/>
  <c r="C10" i="9"/>
  <c r="D10" i="9" s="1"/>
  <c r="C15" i="9"/>
  <c r="D15" i="9" s="1"/>
  <c r="C9" i="9"/>
  <c r="D9" i="9" s="1"/>
  <c r="C12" i="9"/>
  <c r="D12" i="9" s="1"/>
  <c r="F12" i="9" s="1"/>
  <c r="C6" i="9"/>
  <c r="D6" i="9" s="1"/>
  <c r="C13" i="9"/>
  <c r="D13" i="9" s="1"/>
  <c r="C5" i="9"/>
  <c r="D5" i="9" s="1"/>
  <c r="F5" i="9" s="1"/>
  <c r="AB30" i="30"/>
  <c r="AE6" i="12"/>
  <c r="AE41" i="12" s="1"/>
  <c r="H5" i="8"/>
  <c r="C12" i="5"/>
  <c r="D12" i="5" s="1"/>
  <c r="F12" i="5" s="1"/>
  <c r="G12" i="5" s="1"/>
  <c r="C9" i="5"/>
  <c r="D9" i="5" s="1"/>
  <c r="F9" i="5" s="1"/>
  <c r="G9" i="5" s="1"/>
  <c r="C11" i="5"/>
  <c r="D11" i="5" s="1"/>
  <c r="F11" i="5" s="1"/>
  <c r="S30" i="23"/>
  <c r="V11" i="12"/>
  <c r="V46" i="12" s="1"/>
  <c r="U30" i="21"/>
  <c r="X9" i="12"/>
  <c r="X44" i="12" s="1"/>
  <c r="T30" i="20"/>
  <c r="W8" i="12"/>
  <c r="W43" i="12" s="1"/>
  <c r="G8" i="1"/>
  <c r="G17" i="1"/>
  <c r="G22" i="1"/>
  <c r="B16" i="19"/>
  <c r="P25" i="18"/>
  <c r="P21" i="32" s="1"/>
  <c r="S19" i="12"/>
  <c r="S54" i="12" s="1"/>
  <c r="L25" i="16"/>
  <c r="O12" i="12"/>
  <c r="O47" i="12" s="1"/>
  <c r="E28" i="10"/>
  <c r="I26" i="12" s="1"/>
  <c r="I61" i="12" s="1"/>
  <c r="H5" i="7"/>
  <c r="F12" i="7"/>
  <c r="C7" i="2"/>
  <c r="D7" i="2" s="1"/>
  <c r="C8" i="2"/>
  <c r="D8" i="2" s="1"/>
  <c r="C9" i="2"/>
  <c r="D9" i="2" s="1"/>
  <c r="C11" i="2"/>
  <c r="D11" i="2" s="1"/>
  <c r="C12" i="2"/>
  <c r="D12" i="2" s="1"/>
  <c r="C13" i="2"/>
  <c r="D13" i="2" s="1"/>
  <c r="C14" i="2"/>
  <c r="D14" i="2" s="1"/>
  <c r="C15" i="2"/>
  <c r="D15" i="2" s="1"/>
  <c r="C17" i="2"/>
  <c r="D17" i="2" s="1"/>
  <c r="C19" i="2"/>
  <c r="D19" i="2" s="1"/>
  <c r="F19" i="2" s="1"/>
  <c r="C20" i="2"/>
  <c r="D20" i="2" s="1"/>
  <c r="F20" i="2" s="1"/>
  <c r="C21" i="2"/>
  <c r="D21" i="2" s="1"/>
  <c r="F21" i="2" s="1"/>
  <c r="C22" i="2"/>
  <c r="D22" i="2" s="1"/>
  <c r="C6" i="2"/>
  <c r="D6" i="2" s="1"/>
  <c r="V18" i="32" l="1"/>
  <c r="Z51" i="12"/>
  <c r="V20" i="32"/>
  <c r="Z53" i="12"/>
  <c r="V19" i="32"/>
  <c r="Z52" i="12"/>
  <c r="X39" i="4"/>
  <c r="AA18" i="12"/>
  <c r="X32" i="4"/>
  <c r="AA17" i="12"/>
  <c r="X25" i="4"/>
  <c r="AA16" i="12"/>
  <c r="E82" i="19"/>
  <c r="I32" i="12" s="1"/>
  <c r="I67" i="12" s="1"/>
  <c r="F60" i="19"/>
  <c r="J29" i="12" s="1"/>
  <c r="J64" i="12" s="1"/>
  <c r="F20" i="7"/>
  <c r="F12" i="8"/>
  <c r="G6" i="5"/>
  <c r="F10" i="5"/>
  <c r="F16" i="5"/>
  <c r="G16" i="5" s="1"/>
  <c r="G11" i="5"/>
  <c r="F21" i="3"/>
  <c r="G15" i="1"/>
  <c r="G23" i="1" s="1"/>
  <c r="F23" i="1"/>
  <c r="H6" i="8"/>
  <c r="I6" i="8" s="1"/>
  <c r="F17" i="8"/>
  <c r="F19" i="8" s="1"/>
  <c r="I5" i="8"/>
  <c r="I12" i="8" s="1"/>
  <c r="H12" i="8"/>
  <c r="H16" i="8"/>
  <c r="I16" i="8" s="1"/>
  <c r="F13" i="9"/>
  <c r="G13" i="9" s="1"/>
  <c r="F16" i="9"/>
  <c r="G16" i="9" s="1"/>
  <c r="F8" i="9"/>
  <c r="G8" i="9" s="1"/>
  <c r="F14" i="9"/>
  <c r="F6" i="9"/>
  <c r="G6" i="9" s="1"/>
  <c r="F9" i="9"/>
  <c r="G9" i="9" s="1"/>
  <c r="F7" i="9"/>
  <c r="D21" i="19"/>
  <c r="N21" i="19"/>
  <c r="P21" i="19" s="1"/>
  <c r="D28" i="19"/>
  <c r="N28" i="19"/>
  <c r="P28" i="19" s="1"/>
  <c r="F22" i="3"/>
  <c r="G18" i="3"/>
  <c r="B27" i="19" s="1"/>
  <c r="G8" i="3"/>
  <c r="B19" i="19" s="1"/>
  <c r="B26" i="19"/>
  <c r="F11" i="2"/>
  <c r="G20" i="2"/>
  <c r="H26" i="19" s="1"/>
  <c r="G19" i="2"/>
  <c r="H25" i="19" s="1"/>
  <c r="F6" i="2"/>
  <c r="G21" i="2"/>
  <c r="F8" i="2"/>
  <c r="G8" i="2" s="1"/>
  <c r="H18" i="19" s="1"/>
  <c r="F15" i="2"/>
  <c r="G15" i="2" s="1"/>
  <c r="H23" i="19" s="1"/>
  <c r="F14" i="2"/>
  <c r="G14" i="2" s="1"/>
  <c r="H22" i="19" s="1"/>
  <c r="F13" i="2"/>
  <c r="G13" i="2" s="1"/>
  <c r="H21" i="19" s="1"/>
  <c r="F7" i="2"/>
  <c r="G7" i="2" s="1"/>
  <c r="H17" i="19" s="1"/>
  <c r="F12" i="2"/>
  <c r="G12" i="2" s="1"/>
  <c r="H20" i="19" s="1"/>
  <c r="F14" i="6"/>
  <c r="G5" i="6"/>
  <c r="G14" i="6" s="1"/>
  <c r="G12" i="9"/>
  <c r="AC30" i="30"/>
  <c r="AF6" i="12"/>
  <c r="AF41" i="12" s="1"/>
  <c r="T30" i="23"/>
  <c r="W11" i="12"/>
  <c r="W46" i="12" s="1"/>
  <c r="V30" i="21"/>
  <c r="Y9" i="12"/>
  <c r="Y44" i="12" s="1"/>
  <c r="U30" i="20"/>
  <c r="X8" i="12"/>
  <c r="X43" i="12" s="1"/>
  <c r="G7" i="3"/>
  <c r="G9" i="3"/>
  <c r="F13" i="3"/>
  <c r="G16" i="3"/>
  <c r="Q25" i="18"/>
  <c r="Q21" i="32" s="1"/>
  <c r="T19" i="12"/>
  <c r="T54" i="12" s="1"/>
  <c r="M25" i="16"/>
  <c r="P12" i="12"/>
  <c r="P47" i="12" s="1"/>
  <c r="D16" i="19"/>
  <c r="N16" i="19"/>
  <c r="F28" i="10"/>
  <c r="J26" i="12" s="1"/>
  <c r="J61" i="12" s="1"/>
  <c r="H12" i="7"/>
  <c r="I5" i="7"/>
  <c r="H13" i="8"/>
  <c r="G5" i="9"/>
  <c r="W20" i="32" l="1"/>
  <c r="AA53" i="12"/>
  <c r="W18" i="32"/>
  <c r="AA51" i="12"/>
  <c r="W19" i="32"/>
  <c r="AA52" i="12"/>
  <c r="Y32" i="4"/>
  <c r="AB17" i="12"/>
  <c r="Y25" i="4"/>
  <c r="AB16" i="12"/>
  <c r="Y39" i="4"/>
  <c r="AB18" i="12"/>
  <c r="G60" i="19"/>
  <c r="K29" i="12" s="1"/>
  <c r="K64" i="12" s="1"/>
  <c r="F82" i="19"/>
  <c r="J32" i="12" s="1"/>
  <c r="J67" i="12" s="1"/>
  <c r="G23" i="6"/>
  <c r="G25" i="6" s="1"/>
  <c r="B33" i="6" s="1"/>
  <c r="F23" i="6"/>
  <c r="F25" i="6" s="1"/>
  <c r="D26" i="19"/>
  <c r="N26" i="19"/>
  <c r="P26" i="19" s="1"/>
  <c r="F17" i="5"/>
  <c r="G17" i="5" s="1"/>
  <c r="B25" i="5" s="1"/>
  <c r="G10" i="5"/>
  <c r="F10" i="9"/>
  <c r="F15" i="9"/>
  <c r="G14" i="9"/>
  <c r="G15" i="9" s="1"/>
  <c r="G7" i="9"/>
  <c r="G10" i="9" s="1"/>
  <c r="D27" i="19"/>
  <c r="N27" i="19"/>
  <c r="P27" i="19" s="1"/>
  <c r="D19" i="19"/>
  <c r="N19" i="19"/>
  <c r="P19" i="19" s="1"/>
  <c r="O43" i="19"/>
  <c r="Q43" i="19" s="1"/>
  <c r="J25" i="19"/>
  <c r="O44" i="19"/>
  <c r="Q44" i="19" s="1"/>
  <c r="J26" i="19"/>
  <c r="O39" i="19"/>
  <c r="Q39" i="19" s="1"/>
  <c r="J21" i="19"/>
  <c r="J17" i="19"/>
  <c r="O35" i="19"/>
  <c r="Q35" i="19" s="1"/>
  <c r="J22" i="19"/>
  <c r="O40" i="19"/>
  <c r="Q40" i="19" s="1"/>
  <c r="J20" i="19"/>
  <c r="O38" i="19"/>
  <c r="Q38" i="19" s="1"/>
  <c r="J23" i="19"/>
  <c r="O41" i="19"/>
  <c r="Q41" i="19" s="1"/>
  <c r="J18" i="19"/>
  <c r="O36" i="19"/>
  <c r="Q36" i="19" s="1"/>
  <c r="AG6" i="12"/>
  <c r="AG41" i="12" s="1"/>
  <c r="F9" i="2"/>
  <c r="G6" i="2"/>
  <c r="G11" i="2"/>
  <c r="F17" i="2"/>
  <c r="U30" i="23"/>
  <c r="X11" i="12"/>
  <c r="X46" i="12" s="1"/>
  <c r="W30" i="21"/>
  <c r="Z9" i="12"/>
  <c r="Z44" i="12" s="1"/>
  <c r="V30" i="20"/>
  <c r="Y8" i="12"/>
  <c r="Y43" i="12" s="1"/>
  <c r="B25" i="19"/>
  <c r="N25" i="19" s="1"/>
  <c r="G21" i="3"/>
  <c r="P16" i="19"/>
  <c r="R25" i="18"/>
  <c r="R21" i="32" s="1"/>
  <c r="U19" i="12"/>
  <c r="U54" i="12" s="1"/>
  <c r="N25" i="16"/>
  <c r="Q12" i="12"/>
  <c r="Q47" i="12" s="1"/>
  <c r="B18" i="19"/>
  <c r="G13" i="3"/>
  <c r="G22" i="3"/>
  <c r="B30" i="3" s="1"/>
  <c r="F10" i="12" s="1"/>
  <c r="G28" i="10"/>
  <c r="K26" i="12" s="1"/>
  <c r="K61" i="12" s="1"/>
  <c r="I12" i="7"/>
  <c r="H20" i="7"/>
  <c r="H17" i="8"/>
  <c r="I13" i="8"/>
  <c r="X19" i="32" l="1"/>
  <c r="AB52" i="12"/>
  <c r="X20" i="32"/>
  <c r="AB53" i="12"/>
  <c r="X18" i="32"/>
  <c r="AB51" i="12"/>
  <c r="Z39" i="4"/>
  <c r="AC18" i="12"/>
  <c r="Z25" i="4"/>
  <c r="AC16" i="12"/>
  <c r="Z32" i="4"/>
  <c r="AC17" i="12"/>
  <c r="G82" i="19"/>
  <c r="K32" i="12" s="1"/>
  <c r="K67" i="12" s="1"/>
  <c r="H60" i="19"/>
  <c r="L29" i="12" s="1"/>
  <c r="L64" i="12" s="1"/>
  <c r="F24" i="12"/>
  <c r="C33" i="6"/>
  <c r="D33" i="6" s="1"/>
  <c r="E33" i="6" s="1"/>
  <c r="B30" i="19"/>
  <c r="C25" i="5"/>
  <c r="F14" i="12"/>
  <c r="G17" i="9"/>
  <c r="B25" i="9" s="1"/>
  <c r="F13" i="12" s="1"/>
  <c r="F17" i="9"/>
  <c r="F22" i="2"/>
  <c r="H19" i="19"/>
  <c r="G17" i="2"/>
  <c r="G9" i="2"/>
  <c r="H16" i="19"/>
  <c r="V30" i="23"/>
  <c r="Y11" i="12"/>
  <c r="Y46" i="12" s="1"/>
  <c r="X30" i="21"/>
  <c r="AA9" i="12"/>
  <c r="AA44" i="12" s="1"/>
  <c r="W30" i="20"/>
  <c r="Z8" i="12"/>
  <c r="Z43" i="12" s="1"/>
  <c r="D18" i="19"/>
  <c r="N18" i="19"/>
  <c r="C30" i="3"/>
  <c r="H24" i="12"/>
  <c r="D25" i="19"/>
  <c r="P25" i="19"/>
  <c r="S25" i="18"/>
  <c r="S21" i="32" s="1"/>
  <c r="V19" i="12"/>
  <c r="V54" i="12" s="1"/>
  <c r="O25" i="16"/>
  <c r="R12" i="12"/>
  <c r="R47" i="12" s="1"/>
  <c r="H28" i="10"/>
  <c r="L26" i="12" s="1"/>
  <c r="L61" i="12" s="1"/>
  <c r="I20" i="7"/>
  <c r="I17" i="8"/>
  <c r="I19" i="8" s="1"/>
  <c r="B27" i="8" s="1"/>
  <c r="H19" i="8"/>
  <c r="Y19" i="32" l="1"/>
  <c r="AC52" i="12"/>
  <c r="Y20" i="32"/>
  <c r="AC53" i="12"/>
  <c r="Y18" i="32"/>
  <c r="AC51" i="12"/>
  <c r="AA32" i="4"/>
  <c r="AD17" i="12"/>
  <c r="G24" i="12"/>
  <c r="G59" i="12" s="1"/>
  <c r="AA25" i="4"/>
  <c r="AD16" i="12"/>
  <c r="AA39" i="4"/>
  <c r="AD18" i="12"/>
  <c r="I60" i="19"/>
  <c r="M29" i="12" s="1"/>
  <c r="M64" i="12" s="1"/>
  <c r="H82" i="19"/>
  <c r="L32" i="12" s="1"/>
  <c r="L67" i="12" s="1"/>
  <c r="C25" i="9"/>
  <c r="B28" i="7"/>
  <c r="G14" i="12"/>
  <c r="G49" i="12" s="1"/>
  <c r="D25" i="5"/>
  <c r="J16" i="19"/>
  <c r="O34" i="19"/>
  <c r="H27" i="19"/>
  <c r="G22" i="2"/>
  <c r="B30" i="2" s="1"/>
  <c r="F7" i="12" s="1"/>
  <c r="J19" i="19"/>
  <c r="O37" i="19"/>
  <c r="Q37" i="19" s="1"/>
  <c r="D30" i="19"/>
  <c r="B56" i="19" s="1"/>
  <c r="F23" i="12"/>
  <c r="W30" i="23"/>
  <c r="Z11" i="12"/>
  <c r="Z46" i="12" s="1"/>
  <c r="Y30" i="21"/>
  <c r="AB9" i="12"/>
  <c r="AB44" i="12" s="1"/>
  <c r="X30" i="20"/>
  <c r="AA8" i="12"/>
  <c r="AA43" i="12" s="1"/>
  <c r="F33" i="6"/>
  <c r="I24" i="12"/>
  <c r="I59" i="12" s="1"/>
  <c r="P18" i="19"/>
  <c r="P30" i="19" s="1"/>
  <c r="B74" i="19" s="1"/>
  <c r="F31" i="12" s="1"/>
  <c r="N30" i="19"/>
  <c r="P25" i="16"/>
  <c r="S12" i="12"/>
  <c r="S47" i="12" s="1"/>
  <c r="D25" i="9"/>
  <c r="G13" i="12"/>
  <c r="G48" i="12" s="1"/>
  <c r="T25" i="18"/>
  <c r="T21" i="32" s="1"/>
  <c r="W19" i="12"/>
  <c r="W54" i="12" s="1"/>
  <c r="D30" i="3"/>
  <c r="G10" i="12"/>
  <c r="G45" i="12" s="1"/>
  <c r="I28" i="10"/>
  <c r="M26" i="12" s="1"/>
  <c r="M61" i="12" s="1"/>
  <c r="G12" i="1"/>
  <c r="B69" i="19" l="1"/>
  <c r="F28" i="12"/>
  <c r="Z18" i="32"/>
  <c r="AD51" i="12"/>
  <c r="Z20" i="32"/>
  <c r="AD53" i="12"/>
  <c r="Z19" i="32"/>
  <c r="AD52" i="12"/>
  <c r="H59" i="12"/>
  <c r="AB39" i="4"/>
  <c r="AE18" i="12"/>
  <c r="AB25" i="4"/>
  <c r="AE16" i="12"/>
  <c r="AB32" i="4"/>
  <c r="AE17" i="12"/>
  <c r="I82" i="19"/>
  <c r="M32" i="12" s="1"/>
  <c r="M67" i="12" s="1"/>
  <c r="J60" i="19"/>
  <c r="N29" i="12" s="1"/>
  <c r="N64" i="12" s="1"/>
  <c r="C28" i="7"/>
  <c r="G25" i="12" s="1"/>
  <c r="F25" i="12"/>
  <c r="C74" i="19"/>
  <c r="G31" i="12" s="1"/>
  <c r="G66" i="12" s="1"/>
  <c r="C56" i="19"/>
  <c r="G28" i="12" s="1"/>
  <c r="G63" i="12" s="1"/>
  <c r="B66" i="19"/>
  <c r="D1" i="19"/>
  <c r="E25" i="5"/>
  <c r="H14" i="12"/>
  <c r="H49" i="12" s="1"/>
  <c r="C27" i="8"/>
  <c r="D27" i="8" s="1"/>
  <c r="Q34" i="19"/>
  <c r="Q45" i="19" s="1"/>
  <c r="B78" i="19" s="1"/>
  <c r="O45" i="19"/>
  <c r="C30" i="2"/>
  <c r="J27" i="19"/>
  <c r="B64" i="19" s="1"/>
  <c r="F27" i="12" s="1"/>
  <c r="X30" i="23"/>
  <c r="AA11" i="12"/>
  <c r="AA46" i="12" s="1"/>
  <c r="Z30" i="21"/>
  <c r="AC9" i="12"/>
  <c r="AC44" i="12" s="1"/>
  <c r="Y30" i="20"/>
  <c r="AB8" i="12"/>
  <c r="AB43" i="12" s="1"/>
  <c r="E25" i="9"/>
  <c r="H13" i="12"/>
  <c r="H48" i="12" s="1"/>
  <c r="Q25" i="16"/>
  <c r="T12" i="12"/>
  <c r="T47" i="12" s="1"/>
  <c r="E30" i="3"/>
  <c r="H10" i="12"/>
  <c r="H45" i="12" s="1"/>
  <c r="U25" i="18"/>
  <c r="U21" i="32" s="1"/>
  <c r="X19" i="12"/>
  <c r="X54" i="12" s="1"/>
  <c r="G33" i="6"/>
  <c r="J24" i="12"/>
  <c r="J59" i="12" s="1"/>
  <c r="J28" i="10"/>
  <c r="N26" i="12" s="1"/>
  <c r="N61" i="12" s="1"/>
  <c r="C78" i="19" l="1"/>
  <c r="F30" i="12"/>
  <c r="AA19" i="32"/>
  <c r="AE52" i="12"/>
  <c r="G60" i="12"/>
  <c r="AA18" i="32"/>
  <c r="AE51" i="12"/>
  <c r="AA20" i="32"/>
  <c r="AE53" i="12"/>
  <c r="AC32" i="4"/>
  <c r="AG17" i="12" s="1"/>
  <c r="AF17" i="12"/>
  <c r="AC25" i="4"/>
  <c r="AG16" i="12" s="1"/>
  <c r="AF16" i="12"/>
  <c r="G23" i="12"/>
  <c r="G58" i="12" s="1"/>
  <c r="D28" i="7"/>
  <c r="E28" i="7" s="1"/>
  <c r="AC39" i="4"/>
  <c r="AG18" i="12" s="1"/>
  <c r="AF18" i="12"/>
  <c r="K60" i="19"/>
  <c r="O29" i="12" s="1"/>
  <c r="O64" i="12" s="1"/>
  <c r="J82" i="19"/>
  <c r="N32" i="12" s="1"/>
  <c r="N67" i="12" s="1"/>
  <c r="D56" i="19"/>
  <c r="H28" i="12" s="1"/>
  <c r="H63" i="12" s="1"/>
  <c r="C69" i="19"/>
  <c r="B84" i="19"/>
  <c r="D74" i="19"/>
  <c r="H31" i="12" s="1"/>
  <c r="H66" i="12" s="1"/>
  <c r="C84" i="19"/>
  <c r="C64" i="19"/>
  <c r="B67" i="19"/>
  <c r="C66" i="19"/>
  <c r="F25" i="5"/>
  <c r="I14" i="12"/>
  <c r="I49" i="12" s="1"/>
  <c r="B31" i="1"/>
  <c r="P1" i="19"/>
  <c r="J1" i="19"/>
  <c r="D30" i="2"/>
  <c r="G7" i="12"/>
  <c r="G42" i="12" s="1"/>
  <c r="Y30" i="23"/>
  <c r="AB11" i="12"/>
  <c r="AB46" i="12" s="1"/>
  <c r="AA30" i="21"/>
  <c r="AD9" i="12"/>
  <c r="AD44" i="12" s="1"/>
  <c r="Z30" i="20"/>
  <c r="AC8" i="12"/>
  <c r="AC43" i="12" s="1"/>
  <c r="F30" i="3"/>
  <c r="I10" i="12"/>
  <c r="I45" i="12" s="1"/>
  <c r="V25" i="18"/>
  <c r="V21" i="32" s="1"/>
  <c r="Y19" i="12"/>
  <c r="Y54" i="12" s="1"/>
  <c r="R25" i="16"/>
  <c r="U12" i="12"/>
  <c r="U47" i="12" s="1"/>
  <c r="E27" i="8"/>
  <c r="H23" i="12"/>
  <c r="F25" i="9"/>
  <c r="I13" i="12"/>
  <c r="I48" i="12" s="1"/>
  <c r="H33" i="6"/>
  <c r="K24" i="12"/>
  <c r="K59" i="12" s="1"/>
  <c r="K28" i="10"/>
  <c r="O26" i="12" s="1"/>
  <c r="O61" i="12" s="1"/>
  <c r="D64" i="19" l="1"/>
  <c r="G27" i="12"/>
  <c r="G62" i="12" s="1"/>
  <c r="D78" i="19"/>
  <c r="G30" i="12"/>
  <c r="G65" i="12" s="1"/>
  <c r="AC20" i="32"/>
  <c r="AG53" i="12"/>
  <c r="AC19" i="32"/>
  <c r="AG52" i="12"/>
  <c r="AB20" i="32"/>
  <c r="AF53" i="12"/>
  <c r="H58" i="12"/>
  <c r="AB18" i="32"/>
  <c r="AF51" i="12"/>
  <c r="AC18" i="32"/>
  <c r="AG51" i="12"/>
  <c r="AB19" i="32"/>
  <c r="AF52" i="12"/>
  <c r="H25" i="12"/>
  <c r="H60" i="12" s="1"/>
  <c r="K82" i="19"/>
  <c r="O32" i="12" s="1"/>
  <c r="O67" i="12" s="1"/>
  <c r="L60" i="19"/>
  <c r="P29" i="12" s="1"/>
  <c r="P64" i="12" s="1"/>
  <c r="F5" i="12"/>
  <c r="C31" i="1"/>
  <c r="G5" i="12" s="1"/>
  <c r="G40" i="12" s="1"/>
  <c r="E56" i="19"/>
  <c r="I28" i="12" s="1"/>
  <c r="I63" i="12" s="1"/>
  <c r="D69" i="19"/>
  <c r="I25" i="12"/>
  <c r="F28" i="7"/>
  <c r="E74" i="19"/>
  <c r="I31" i="12" s="1"/>
  <c r="I66" i="12" s="1"/>
  <c r="D84" i="19"/>
  <c r="C67" i="19"/>
  <c r="J14" i="12"/>
  <c r="J49" i="12" s="1"/>
  <c r="G25" i="5"/>
  <c r="E30" i="2"/>
  <c r="H7" i="12"/>
  <c r="H42" i="12" s="1"/>
  <c r="Z30" i="23"/>
  <c r="AC11" i="12"/>
  <c r="AC46" i="12" s="1"/>
  <c r="AB30" i="21"/>
  <c r="AE9" i="12"/>
  <c r="AE44" i="12" s="1"/>
  <c r="AA30" i="20"/>
  <c r="AD8" i="12"/>
  <c r="AD43" i="12" s="1"/>
  <c r="W25" i="18"/>
  <c r="W21" i="32" s="1"/>
  <c r="Z19" i="12"/>
  <c r="Z54" i="12" s="1"/>
  <c r="S25" i="16"/>
  <c r="V12" i="12"/>
  <c r="V47" i="12" s="1"/>
  <c r="F27" i="8"/>
  <c r="I23" i="12"/>
  <c r="I58" i="12" s="1"/>
  <c r="I33" i="6"/>
  <c r="L24" i="12"/>
  <c r="L59" i="12" s="1"/>
  <c r="G25" i="9"/>
  <c r="J13" i="12"/>
  <c r="J48" i="12" s="1"/>
  <c r="G30" i="3"/>
  <c r="J10" i="12"/>
  <c r="J45" i="12" s="1"/>
  <c r="L28" i="10"/>
  <c r="P26" i="12" s="1"/>
  <c r="P61" i="12" s="1"/>
  <c r="I60" i="12" l="1"/>
  <c r="E78" i="19"/>
  <c r="H30" i="12"/>
  <c r="H65" i="12" s="1"/>
  <c r="E64" i="19"/>
  <c r="H27" i="12"/>
  <c r="H62" i="12" s="1"/>
  <c r="D31" i="1"/>
  <c r="M60" i="19"/>
  <c r="Q29" i="12" s="1"/>
  <c r="Q64" i="12" s="1"/>
  <c r="L82" i="19"/>
  <c r="P32" i="12" s="1"/>
  <c r="P67" i="12" s="1"/>
  <c r="F56" i="19"/>
  <c r="J28" i="12" s="1"/>
  <c r="J63" i="12" s="1"/>
  <c r="E69" i="19"/>
  <c r="J25" i="12"/>
  <c r="J60" i="12" s="1"/>
  <c r="G28" i="7"/>
  <c r="F74" i="19"/>
  <c r="J31" i="12" s="1"/>
  <c r="J66" i="12" s="1"/>
  <c r="E84" i="19"/>
  <c r="K14" i="12"/>
  <c r="K49" i="12" s="1"/>
  <c r="H25" i="5"/>
  <c r="F30" i="2"/>
  <c r="I7" i="12"/>
  <c r="I42" i="12" s="1"/>
  <c r="AA30" i="23"/>
  <c r="AD11" i="12"/>
  <c r="AD46" i="12" s="1"/>
  <c r="AC30" i="21"/>
  <c r="AF9" i="12"/>
  <c r="AF44" i="12" s="1"/>
  <c r="AB30" i="20"/>
  <c r="AE8" i="12"/>
  <c r="AE43" i="12" s="1"/>
  <c r="T25" i="16"/>
  <c r="W12" i="12"/>
  <c r="W47" i="12" s="1"/>
  <c r="D66" i="19"/>
  <c r="H30" i="3"/>
  <c r="K10" i="12"/>
  <c r="K45" i="12" s="1"/>
  <c r="G27" i="8"/>
  <c r="J23" i="12"/>
  <c r="J58" i="12" s="1"/>
  <c r="H25" i="9"/>
  <c r="K13" i="12"/>
  <c r="K48" i="12" s="1"/>
  <c r="J33" i="6"/>
  <c r="M24" i="12"/>
  <c r="M59" i="12" s="1"/>
  <c r="X25" i="18"/>
  <c r="X21" i="32" s="1"/>
  <c r="AA19" i="12"/>
  <c r="AA54" i="12" s="1"/>
  <c r="E31" i="1"/>
  <c r="H5" i="12"/>
  <c r="H40" i="12" s="1"/>
  <c r="M28" i="10"/>
  <c r="Q26" i="12" s="1"/>
  <c r="Q61" i="12" s="1"/>
  <c r="F64" i="19" l="1"/>
  <c r="I27" i="12"/>
  <c r="I62" i="12" s="1"/>
  <c r="F78" i="19"/>
  <c r="I30" i="12"/>
  <c r="I65" i="12" s="1"/>
  <c r="M82" i="19"/>
  <c r="Q32" i="12" s="1"/>
  <c r="Q67" i="12" s="1"/>
  <c r="N60" i="19"/>
  <c r="R29" i="12" s="1"/>
  <c r="R64" i="12" s="1"/>
  <c r="G56" i="19"/>
  <c r="K28" i="12" s="1"/>
  <c r="K63" i="12" s="1"/>
  <c r="F69" i="19"/>
  <c r="K25" i="12"/>
  <c r="K60" i="12" s="1"/>
  <c r="H28" i="7"/>
  <c r="G74" i="19"/>
  <c r="K31" i="12" s="1"/>
  <c r="K66" i="12" s="1"/>
  <c r="F84" i="19"/>
  <c r="I25" i="5"/>
  <c r="L14" i="12"/>
  <c r="L49" i="12" s="1"/>
  <c r="G30" i="2"/>
  <c r="J7" i="12"/>
  <c r="J42" i="12" s="1"/>
  <c r="D67" i="19"/>
  <c r="AB30" i="23"/>
  <c r="AE11" i="12"/>
  <c r="AE46" i="12" s="1"/>
  <c r="AG9" i="12"/>
  <c r="AG44" i="12" s="1"/>
  <c r="AC30" i="20"/>
  <c r="AF8" i="12"/>
  <c r="AF43" i="12" s="1"/>
  <c r="Y25" i="18"/>
  <c r="Y21" i="32" s="1"/>
  <c r="AB19" i="12"/>
  <c r="AB54" i="12" s="1"/>
  <c r="K33" i="6"/>
  <c r="N24" i="12"/>
  <c r="N59" i="12" s="1"/>
  <c r="E66" i="19"/>
  <c r="U25" i="16"/>
  <c r="X12" i="12"/>
  <c r="X47" i="12" s="1"/>
  <c r="I25" i="9"/>
  <c r="L13" i="12"/>
  <c r="L48" i="12" s="1"/>
  <c r="I30" i="3"/>
  <c r="L10" i="12"/>
  <c r="L45" i="12" s="1"/>
  <c r="H27" i="8"/>
  <c r="K23" i="12"/>
  <c r="K58" i="12" s="1"/>
  <c r="F31" i="1"/>
  <c r="I5" i="12"/>
  <c r="I40" i="12" s="1"/>
  <c r="N28" i="10"/>
  <c r="R26" i="12" s="1"/>
  <c r="R61" i="12" s="1"/>
  <c r="G78" i="19" l="1"/>
  <c r="J30" i="12"/>
  <c r="J65" i="12" s="1"/>
  <c r="G64" i="19"/>
  <c r="J27" i="12"/>
  <c r="J62" i="12" s="1"/>
  <c r="O60" i="19"/>
  <c r="S29" i="12" s="1"/>
  <c r="S64" i="12" s="1"/>
  <c r="N82" i="19"/>
  <c r="R32" i="12" s="1"/>
  <c r="R67" i="12" s="1"/>
  <c r="H56" i="19"/>
  <c r="L28" i="12" s="1"/>
  <c r="L63" i="12" s="1"/>
  <c r="G69" i="19"/>
  <c r="L25" i="12"/>
  <c r="L60" i="12" s="1"/>
  <c r="I28" i="7"/>
  <c r="H74" i="19"/>
  <c r="L31" i="12" s="1"/>
  <c r="L66" i="12" s="1"/>
  <c r="G84" i="19"/>
  <c r="M14" i="12"/>
  <c r="M49" i="12" s="1"/>
  <c r="J25" i="5"/>
  <c r="E67" i="19"/>
  <c r="H30" i="2"/>
  <c r="K7" i="12"/>
  <c r="K42" i="12" s="1"/>
  <c r="AC30" i="23"/>
  <c r="AF11" i="12"/>
  <c r="AF46" i="12" s="1"/>
  <c r="AG8" i="12"/>
  <c r="AG43" i="12" s="1"/>
  <c r="I27" i="8"/>
  <c r="L23" i="12"/>
  <c r="L58" i="12" s="1"/>
  <c r="J25" i="9"/>
  <c r="M13" i="12"/>
  <c r="M48" i="12" s="1"/>
  <c r="J30" i="3"/>
  <c r="M10" i="12"/>
  <c r="M45" i="12" s="1"/>
  <c r="V25" i="16"/>
  <c r="Y12" i="12"/>
  <c r="Y47" i="12" s="1"/>
  <c r="F66" i="19"/>
  <c r="L33" i="6"/>
  <c r="O24" i="12"/>
  <c r="O59" i="12" s="1"/>
  <c r="Z25" i="18"/>
  <c r="Z21" i="32" s="1"/>
  <c r="AC19" i="12"/>
  <c r="AC54" i="12" s="1"/>
  <c r="G31" i="1"/>
  <c r="J5" i="12"/>
  <c r="J40" i="12" s="1"/>
  <c r="O28" i="10"/>
  <c r="S26" i="12" s="1"/>
  <c r="S61" i="12" s="1"/>
  <c r="H64" i="19" l="1"/>
  <c r="K27" i="12"/>
  <c r="K62" i="12" s="1"/>
  <c r="H78" i="19"/>
  <c r="K30" i="12"/>
  <c r="K65" i="12" s="1"/>
  <c r="O82" i="19"/>
  <c r="S32" i="12" s="1"/>
  <c r="S67" i="12" s="1"/>
  <c r="P60" i="19"/>
  <c r="T29" i="12" s="1"/>
  <c r="T64" i="12" s="1"/>
  <c r="I56" i="19"/>
  <c r="M28" i="12" s="1"/>
  <c r="M63" i="12" s="1"/>
  <c r="H69" i="19"/>
  <c r="M25" i="12"/>
  <c r="M60" i="12" s="1"/>
  <c r="J28" i="7"/>
  <c r="I74" i="19"/>
  <c r="M31" i="12" s="1"/>
  <c r="M66" i="12" s="1"/>
  <c r="H84" i="19"/>
  <c r="N14" i="12"/>
  <c r="N49" i="12" s="1"/>
  <c r="K25" i="5"/>
  <c r="I30" i="2"/>
  <c r="L7" i="12"/>
  <c r="L42" i="12" s="1"/>
  <c r="F67" i="19"/>
  <c r="AG11" i="12"/>
  <c r="AG46" i="12" s="1"/>
  <c r="AA25" i="18"/>
  <c r="AA21" i="32" s="1"/>
  <c r="AD19" i="12"/>
  <c r="AD54" i="12" s="1"/>
  <c r="M33" i="6"/>
  <c r="P24" i="12"/>
  <c r="P59" i="12" s="1"/>
  <c r="G66" i="19"/>
  <c r="K30" i="3"/>
  <c r="N10" i="12"/>
  <c r="N45" i="12" s="1"/>
  <c r="K25" i="9"/>
  <c r="N13" i="12"/>
  <c r="N48" i="12" s="1"/>
  <c r="W25" i="16"/>
  <c r="Z12" i="12"/>
  <c r="Z47" i="12" s="1"/>
  <c r="J27" i="8"/>
  <c r="M23" i="12"/>
  <c r="M58" i="12" s="1"/>
  <c r="H31" i="1"/>
  <c r="K5" i="12"/>
  <c r="K40" i="12" s="1"/>
  <c r="P28" i="10"/>
  <c r="T26" i="12" s="1"/>
  <c r="T61" i="12" s="1"/>
  <c r="I78" i="19" l="1"/>
  <c r="L30" i="12"/>
  <c r="L65" i="12" s="1"/>
  <c r="I64" i="19"/>
  <c r="L27" i="12"/>
  <c r="L62" i="12" s="1"/>
  <c r="Q60" i="19"/>
  <c r="U29" i="12" s="1"/>
  <c r="U64" i="12" s="1"/>
  <c r="P82" i="19"/>
  <c r="T32" i="12" s="1"/>
  <c r="T67" i="12" s="1"/>
  <c r="J56" i="19"/>
  <c r="N28" i="12" s="1"/>
  <c r="N63" i="12" s="1"/>
  <c r="I69" i="19"/>
  <c r="N25" i="12"/>
  <c r="N60" i="12" s="1"/>
  <c r="K28" i="7"/>
  <c r="J74" i="19"/>
  <c r="N31" i="12" s="1"/>
  <c r="N66" i="12" s="1"/>
  <c r="I84" i="19"/>
  <c r="L25" i="5"/>
  <c r="O14" i="12"/>
  <c r="O49" i="12" s="1"/>
  <c r="G67" i="19"/>
  <c r="J30" i="2"/>
  <c r="M7" i="12"/>
  <c r="M42" i="12" s="1"/>
  <c r="N33" i="6"/>
  <c r="Q24" i="12"/>
  <c r="Q59" i="12" s="1"/>
  <c r="L25" i="9"/>
  <c r="O13" i="12"/>
  <c r="O48" i="12" s="1"/>
  <c r="H66" i="19"/>
  <c r="AB25" i="18"/>
  <c r="AB21" i="32" s="1"/>
  <c r="AE19" i="12"/>
  <c r="AE54" i="12" s="1"/>
  <c r="K27" i="8"/>
  <c r="N23" i="12"/>
  <c r="N58" i="12" s="1"/>
  <c r="L30" i="3"/>
  <c r="O10" i="12"/>
  <c r="O45" i="12" s="1"/>
  <c r="X25" i="16"/>
  <c r="AA12" i="12"/>
  <c r="AA47" i="12" s="1"/>
  <c r="I31" i="1"/>
  <c r="L5" i="12"/>
  <c r="L40" i="12" s="1"/>
  <c r="Q28" i="10"/>
  <c r="U26" i="12" s="1"/>
  <c r="U61" i="12" s="1"/>
  <c r="J64" i="19" l="1"/>
  <c r="M27" i="12"/>
  <c r="M62" i="12" s="1"/>
  <c r="J78" i="19"/>
  <c r="M30" i="12"/>
  <c r="M65" i="12" s="1"/>
  <c r="Q82" i="19"/>
  <c r="U32" i="12" s="1"/>
  <c r="U67" i="12" s="1"/>
  <c r="R60" i="19"/>
  <c r="V29" i="12" s="1"/>
  <c r="V64" i="12" s="1"/>
  <c r="K56" i="19"/>
  <c r="O28" i="12" s="1"/>
  <c r="O63" i="12" s="1"/>
  <c r="J69" i="19"/>
  <c r="O25" i="12"/>
  <c r="O60" i="12" s="1"/>
  <c r="L28" i="7"/>
  <c r="K74" i="19"/>
  <c r="O31" i="12" s="1"/>
  <c r="O66" i="12" s="1"/>
  <c r="J84" i="19"/>
  <c r="M25" i="5"/>
  <c r="P14" i="12"/>
  <c r="P49" i="12" s="1"/>
  <c r="K30" i="2"/>
  <c r="N7" i="12"/>
  <c r="N42" i="12" s="1"/>
  <c r="H67" i="19"/>
  <c r="M30" i="3"/>
  <c r="P10" i="12"/>
  <c r="P45" i="12" s="1"/>
  <c r="L27" i="8"/>
  <c r="O23" i="12"/>
  <c r="O58" i="12" s="1"/>
  <c r="AC25" i="18"/>
  <c r="AC21" i="32" s="1"/>
  <c r="AF19" i="12"/>
  <c r="AF54" i="12" s="1"/>
  <c r="I66" i="19"/>
  <c r="Y25" i="16"/>
  <c r="AB12" i="12"/>
  <c r="AB47" i="12" s="1"/>
  <c r="M25" i="9"/>
  <c r="P13" i="12"/>
  <c r="P48" i="12" s="1"/>
  <c r="O33" i="6"/>
  <c r="R24" i="12"/>
  <c r="R59" i="12" s="1"/>
  <c r="J31" i="1"/>
  <c r="M5" i="12"/>
  <c r="M40" i="12" s="1"/>
  <c r="R28" i="10"/>
  <c r="V26" i="12" s="1"/>
  <c r="V61" i="12" s="1"/>
  <c r="K78" i="19" l="1"/>
  <c r="N30" i="12"/>
  <c r="N65" i="12" s="1"/>
  <c r="K64" i="19"/>
  <c r="N27" i="12"/>
  <c r="N62" i="12" s="1"/>
  <c r="S60" i="19"/>
  <c r="W29" i="12" s="1"/>
  <c r="W64" i="12" s="1"/>
  <c r="R82" i="19"/>
  <c r="V32" i="12" s="1"/>
  <c r="V67" i="12" s="1"/>
  <c r="L56" i="19"/>
  <c r="P28" i="12" s="1"/>
  <c r="P63" i="12" s="1"/>
  <c r="K69" i="19"/>
  <c r="P25" i="12"/>
  <c r="P60" i="12" s="1"/>
  <c r="M28" i="7"/>
  <c r="L74" i="19"/>
  <c r="P31" i="12" s="1"/>
  <c r="P66" i="12" s="1"/>
  <c r="K84" i="19"/>
  <c r="N25" i="5"/>
  <c r="Q14" i="12"/>
  <c r="Q49" i="12" s="1"/>
  <c r="I67" i="19"/>
  <c r="L30" i="2"/>
  <c r="O7" i="12"/>
  <c r="O42" i="12" s="1"/>
  <c r="P33" i="6"/>
  <c r="S24" i="12"/>
  <c r="S59" i="12" s="1"/>
  <c r="J66" i="19"/>
  <c r="AG19" i="12"/>
  <c r="AG54" i="12" s="1"/>
  <c r="N25" i="9"/>
  <c r="Q13" i="12"/>
  <c r="Q48" i="12" s="1"/>
  <c r="Z25" i="16"/>
  <c r="AC12" i="12"/>
  <c r="AC47" i="12" s="1"/>
  <c r="M27" i="8"/>
  <c r="P23" i="12"/>
  <c r="P58" i="12" s="1"/>
  <c r="N30" i="3"/>
  <c r="Q10" i="12"/>
  <c r="Q45" i="12" s="1"/>
  <c r="K31" i="1"/>
  <c r="N5" i="12"/>
  <c r="N40" i="12" s="1"/>
  <c r="S28" i="10"/>
  <c r="W26" i="12" s="1"/>
  <c r="W61" i="12" s="1"/>
  <c r="L64" i="19" l="1"/>
  <c r="O27" i="12"/>
  <c r="O62" i="12" s="1"/>
  <c r="L78" i="19"/>
  <c r="O30" i="12"/>
  <c r="O65" i="12" s="1"/>
  <c r="S82" i="19"/>
  <c r="W32" i="12" s="1"/>
  <c r="W67" i="12" s="1"/>
  <c r="T60" i="19"/>
  <c r="X29" i="12" s="1"/>
  <c r="X64" i="12" s="1"/>
  <c r="M56" i="19"/>
  <c r="Q28" i="12" s="1"/>
  <c r="Q63" i="12" s="1"/>
  <c r="L69" i="19"/>
  <c r="Q25" i="12"/>
  <c r="Q60" i="12" s="1"/>
  <c r="N28" i="7"/>
  <c r="M74" i="19"/>
  <c r="Q31" i="12" s="1"/>
  <c r="Q66" i="12" s="1"/>
  <c r="L84" i="19"/>
  <c r="R14" i="12"/>
  <c r="R49" i="12" s="1"/>
  <c r="O25" i="5"/>
  <c r="P7" i="12"/>
  <c r="P42" i="12" s="1"/>
  <c r="M30" i="2"/>
  <c r="J67" i="19"/>
  <c r="O30" i="3"/>
  <c r="R10" i="12"/>
  <c r="R45" i="12" s="1"/>
  <c r="N27" i="8"/>
  <c r="Q23" i="12"/>
  <c r="Q58" i="12" s="1"/>
  <c r="K66" i="19"/>
  <c r="O25" i="9"/>
  <c r="R13" i="12"/>
  <c r="R48" i="12" s="1"/>
  <c r="AA25" i="16"/>
  <c r="AD12" i="12"/>
  <c r="AD47" i="12" s="1"/>
  <c r="Q33" i="6"/>
  <c r="T24" i="12"/>
  <c r="T59" i="12" s="1"/>
  <c r="L31" i="1"/>
  <c r="O5" i="12"/>
  <c r="O40" i="12" s="1"/>
  <c r="T28" i="10"/>
  <c r="X26" i="12" s="1"/>
  <c r="X61" i="12" s="1"/>
  <c r="M78" i="19" l="1"/>
  <c r="P30" i="12"/>
  <c r="P65" i="12" s="1"/>
  <c r="M64" i="19"/>
  <c r="P27" i="12"/>
  <c r="P62" i="12" s="1"/>
  <c r="U60" i="19"/>
  <c r="Y29" i="12" s="1"/>
  <c r="Y64" i="12" s="1"/>
  <c r="T82" i="19"/>
  <c r="X32" i="12" s="1"/>
  <c r="X67" i="12" s="1"/>
  <c r="N56" i="19"/>
  <c r="R28" i="12" s="1"/>
  <c r="R63" i="12" s="1"/>
  <c r="M69" i="19"/>
  <c r="R25" i="12"/>
  <c r="R60" i="12" s="1"/>
  <c r="O28" i="7"/>
  <c r="N74" i="19"/>
  <c r="R31" i="12" s="1"/>
  <c r="R66" i="12" s="1"/>
  <c r="M84" i="19"/>
  <c r="S14" i="12"/>
  <c r="S49" i="12" s="1"/>
  <c r="P25" i="5"/>
  <c r="K67" i="19"/>
  <c r="Q7" i="12"/>
  <c r="Q42" i="12" s="1"/>
  <c r="N30" i="2"/>
  <c r="O27" i="8"/>
  <c r="R23" i="12"/>
  <c r="R58" i="12" s="1"/>
  <c r="AB25" i="16"/>
  <c r="AE12" i="12"/>
  <c r="AE47" i="12" s="1"/>
  <c r="R33" i="6"/>
  <c r="U24" i="12"/>
  <c r="U59" i="12" s="1"/>
  <c r="P25" i="9"/>
  <c r="S13" i="12"/>
  <c r="S48" i="12" s="1"/>
  <c r="L66" i="19"/>
  <c r="P30" i="3"/>
  <c r="S10" i="12"/>
  <c r="S45" i="12" s="1"/>
  <c r="M31" i="1"/>
  <c r="P5" i="12"/>
  <c r="P40" i="12" s="1"/>
  <c r="U28" i="10"/>
  <c r="Y26" i="12" s="1"/>
  <c r="Y61" i="12" s="1"/>
  <c r="N64" i="19" l="1"/>
  <c r="Q27" i="12"/>
  <c r="Q62" i="12" s="1"/>
  <c r="N78" i="19"/>
  <c r="Q30" i="12"/>
  <c r="Q65" i="12" s="1"/>
  <c r="U82" i="19"/>
  <c r="Y32" i="12" s="1"/>
  <c r="Y67" i="12" s="1"/>
  <c r="V60" i="19"/>
  <c r="Z29" i="12" s="1"/>
  <c r="Z64" i="12" s="1"/>
  <c r="O56" i="19"/>
  <c r="S28" i="12" s="1"/>
  <c r="S63" i="12" s="1"/>
  <c r="N69" i="19"/>
  <c r="S25" i="12"/>
  <c r="S60" i="12" s="1"/>
  <c r="P28" i="7"/>
  <c r="O74" i="19"/>
  <c r="S31" i="12" s="1"/>
  <c r="S66" i="12" s="1"/>
  <c r="N84" i="19"/>
  <c r="T14" i="12"/>
  <c r="T49" i="12" s="1"/>
  <c r="Q25" i="5"/>
  <c r="O30" i="2"/>
  <c r="R7" i="12"/>
  <c r="R42" i="12" s="1"/>
  <c r="L67" i="19"/>
  <c r="Q30" i="3"/>
  <c r="T10" i="12"/>
  <c r="T45" i="12" s="1"/>
  <c r="S33" i="6"/>
  <c r="V24" i="12"/>
  <c r="V59" i="12" s="1"/>
  <c r="P27" i="8"/>
  <c r="S23" i="12"/>
  <c r="S58" i="12" s="1"/>
  <c r="M66" i="19"/>
  <c r="AC25" i="16"/>
  <c r="AF12" i="12"/>
  <c r="AF47" i="12" s="1"/>
  <c r="Q25" i="9"/>
  <c r="T13" i="12"/>
  <c r="T48" i="12" s="1"/>
  <c r="N31" i="1"/>
  <c r="Q5" i="12"/>
  <c r="Q40" i="12" s="1"/>
  <c r="V28" i="10"/>
  <c r="Z26" i="12" s="1"/>
  <c r="Z61" i="12" s="1"/>
  <c r="O78" i="19" l="1"/>
  <c r="R30" i="12"/>
  <c r="R65" i="12" s="1"/>
  <c r="O64" i="19"/>
  <c r="R27" i="12"/>
  <c r="R62" i="12" s="1"/>
  <c r="W60" i="19"/>
  <c r="AA29" i="12" s="1"/>
  <c r="AA64" i="12" s="1"/>
  <c r="V82" i="19"/>
  <c r="Z32" i="12" s="1"/>
  <c r="Z67" i="12" s="1"/>
  <c r="P56" i="19"/>
  <c r="T28" i="12" s="1"/>
  <c r="T63" i="12" s="1"/>
  <c r="O69" i="19"/>
  <c r="T25" i="12"/>
  <c r="T60" i="12" s="1"/>
  <c r="Q28" i="7"/>
  <c r="P74" i="19"/>
  <c r="T31" i="12" s="1"/>
  <c r="T66" i="12" s="1"/>
  <c r="O84" i="19"/>
  <c r="U14" i="12"/>
  <c r="U49" i="12" s="1"/>
  <c r="R25" i="5"/>
  <c r="M67" i="19"/>
  <c r="P30" i="2"/>
  <c r="S7" i="12"/>
  <c r="S42" i="12" s="1"/>
  <c r="R25" i="9"/>
  <c r="U13" i="12"/>
  <c r="U48" i="12" s="1"/>
  <c r="R30" i="3"/>
  <c r="U10" i="12"/>
  <c r="U45" i="12" s="1"/>
  <c r="N66" i="19"/>
  <c r="AG12" i="12"/>
  <c r="AG47" i="12" s="1"/>
  <c r="Q27" i="8"/>
  <c r="T23" i="12"/>
  <c r="T58" i="12" s="1"/>
  <c r="T33" i="6"/>
  <c r="W24" i="12"/>
  <c r="W59" i="12" s="1"/>
  <c r="O31" i="1"/>
  <c r="R5" i="12"/>
  <c r="R40" i="12" s="1"/>
  <c r="W28" i="10"/>
  <c r="AA26" i="12" s="1"/>
  <c r="AA61" i="12" s="1"/>
  <c r="P64" i="19" l="1"/>
  <c r="S27" i="12"/>
  <c r="S62" i="12" s="1"/>
  <c r="P78" i="19"/>
  <c r="S30" i="12"/>
  <c r="S65" i="12" s="1"/>
  <c r="W82" i="19"/>
  <c r="AA32" i="12" s="1"/>
  <c r="AA67" i="12" s="1"/>
  <c r="X60" i="19"/>
  <c r="AB29" i="12" s="1"/>
  <c r="AB64" i="12" s="1"/>
  <c r="Q56" i="19"/>
  <c r="U28" i="12" s="1"/>
  <c r="U63" i="12" s="1"/>
  <c r="P69" i="19"/>
  <c r="U25" i="12"/>
  <c r="U60" i="12" s="1"/>
  <c r="R28" i="7"/>
  <c r="Q74" i="19"/>
  <c r="U31" i="12" s="1"/>
  <c r="U66" i="12" s="1"/>
  <c r="P84" i="19"/>
  <c r="S25" i="5"/>
  <c r="V14" i="12"/>
  <c r="V49" i="12" s="1"/>
  <c r="Q30" i="2"/>
  <c r="T7" i="12"/>
  <c r="T42" i="12" s="1"/>
  <c r="N67" i="19"/>
  <c r="O66" i="19"/>
  <c r="S25" i="9"/>
  <c r="V13" i="12"/>
  <c r="V48" i="12" s="1"/>
  <c r="R27" i="8"/>
  <c r="U23" i="12"/>
  <c r="U58" i="12" s="1"/>
  <c r="S30" i="3"/>
  <c r="V10" i="12"/>
  <c r="V45" i="12" s="1"/>
  <c r="U33" i="6"/>
  <c r="X24" i="12"/>
  <c r="X59" i="12" s="1"/>
  <c r="P31" i="1"/>
  <c r="S5" i="12"/>
  <c r="S40" i="12" s="1"/>
  <c r="X28" i="10"/>
  <c r="AB26" i="12" s="1"/>
  <c r="AB61" i="12" s="1"/>
  <c r="Q78" i="19" l="1"/>
  <c r="T30" i="12"/>
  <c r="T65" i="12" s="1"/>
  <c r="Q64" i="19"/>
  <c r="T27" i="12"/>
  <c r="T62" i="12" s="1"/>
  <c r="Y60" i="19"/>
  <c r="AC29" i="12" s="1"/>
  <c r="AC64" i="12" s="1"/>
  <c r="X82" i="19"/>
  <c r="AB32" i="12" s="1"/>
  <c r="AB67" i="12" s="1"/>
  <c r="R56" i="19"/>
  <c r="V28" i="12" s="1"/>
  <c r="V63" i="12" s="1"/>
  <c r="Q69" i="19"/>
  <c r="V25" i="12"/>
  <c r="V60" i="12" s="1"/>
  <c r="S28" i="7"/>
  <c r="R74" i="19"/>
  <c r="V31" i="12" s="1"/>
  <c r="V66" i="12" s="1"/>
  <c r="Q84" i="19"/>
  <c r="W14" i="12"/>
  <c r="W49" i="12" s="1"/>
  <c r="T25" i="5"/>
  <c r="R30" i="2"/>
  <c r="U7" i="12"/>
  <c r="U42" i="12" s="1"/>
  <c r="O67" i="19"/>
  <c r="S27" i="8"/>
  <c r="V23" i="12"/>
  <c r="V58" i="12" s="1"/>
  <c r="T30" i="3"/>
  <c r="W10" i="12"/>
  <c r="W45" i="12" s="1"/>
  <c r="T25" i="9"/>
  <c r="W13" i="12"/>
  <c r="W48" i="12" s="1"/>
  <c r="V33" i="6"/>
  <c r="Y24" i="12"/>
  <c r="Y59" i="12" s="1"/>
  <c r="P66" i="19"/>
  <c r="Q31" i="1"/>
  <c r="T5" i="12"/>
  <c r="T40" i="12" s="1"/>
  <c r="Y28" i="10"/>
  <c r="AC26" i="12" s="1"/>
  <c r="AC61" i="12" s="1"/>
  <c r="R64" i="19" l="1"/>
  <c r="U27" i="12"/>
  <c r="U62" i="12" s="1"/>
  <c r="R78" i="19"/>
  <c r="U30" i="12"/>
  <c r="U65" i="12" s="1"/>
  <c r="Y82" i="19"/>
  <c r="AC32" i="12" s="1"/>
  <c r="AC67" i="12" s="1"/>
  <c r="Z60" i="19"/>
  <c r="AD29" i="12" s="1"/>
  <c r="AD64" i="12" s="1"/>
  <c r="S56" i="19"/>
  <c r="W28" i="12" s="1"/>
  <c r="W63" i="12" s="1"/>
  <c r="R69" i="19"/>
  <c r="W25" i="12"/>
  <c r="W60" i="12" s="1"/>
  <c r="T28" i="7"/>
  <c r="S74" i="19"/>
  <c r="W31" i="12" s="1"/>
  <c r="W66" i="12" s="1"/>
  <c r="R84" i="19"/>
  <c r="X14" i="12"/>
  <c r="X49" i="12" s="1"/>
  <c r="U25" i="5"/>
  <c r="P67" i="19"/>
  <c r="S30" i="2"/>
  <c r="V7" i="12"/>
  <c r="V42" i="12" s="1"/>
  <c r="W33" i="6"/>
  <c r="Z24" i="12"/>
  <c r="Z59" i="12" s="1"/>
  <c r="U30" i="3"/>
  <c r="X10" i="12"/>
  <c r="X45" i="12" s="1"/>
  <c r="U25" i="9"/>
  <c r="X13" i="12"/>
  <c r="X48" i="12" s="1"/>
  <c r="Q66" i="19"/>
  <c r="T27" i="8"/>
  <c r="W23" i="12"/>
  <c r="W58" i="12" s="1"/>
  <c r="R31" i="1"/>
  <c r="U5" i="12"/>
  <c r="U40" i="12" s="1"/>
  <c r="Z28" i="10"/>
  <c r="AD26" i="12" s="1"/>
  <c r="AD61" i="12" s="1"/>
  <c r="S78" i="19" l="1"/>
  <c r="V30" i="12"/>
  <c r="V65" i="12" s="1"/>
  <c r="S64" i="19"/>
  <c r="V27" i="12"/>
  <c r="V62" i="12" s="1"/>
  <c r="AA60" i="19"/>
  <c r="AE29" i="12" s="1"/>
  <c r="AE64" i="12" s="1"/>
  <c r="Z82" i="19"/>
  <c r="AD32" i="12" s="1"/>
  <c r="AD67" i="12" s="1"/>
  <c r="T56" i="19"/>
  <c r="X28" i="12" s="1"/>
  <c r="X63" i="12" s="1"/>
  <c r="S69" i="19"/>
  <c r="X25" i="12"/>
  <c r="X60" i="12" s="1"/>
  <c r="U28" i="7"/>
  <c r="T74" i="19"/>
  <c r="X31" i="12" s="1"/>
  <c r="X66" i="12" s="1"/>
  <c r="S84" i="19"/>
  <c r="V25" i="5"/>
  <c r="Y14" i="12"/>
  <c r="Y49" i="12" s="1"/>
  <c r="T30" i="2"/>
  <c r="W7" i="12"/>
  <c r="W42" i="12" s="1"/>
  <c r="Q67" i="19"/>
  <c r="R66" i="19"/>
  <c r="U27" i="8"/>
  <c r="X23" i="12"/>
  <c r="X58" i="12" s="1"/>
  <c r="V30" i="3"/>
  <c r="Y10" i="12"/>
  <c r="Y45" i="12" s="1"/>
  <c r="V25" i="9"/>
  <c r="Y13" i="12"/>
  <c r="Y48" i="12" s="1"/>
  <c r="X33" i="6"/>
  <c r="AA24" i="12"/>
  <c r="AA59" i="12" s="1"/>
  <c r="S31" i="1"/>
  <c r="V5" i="12"/>
  <c r="V40" i="12" s="1"/>
  <c r="AA28" i="10"/>
  <c r="AE26" i="12" s="1"/>
  <c r="AE61" i="12" s="1"/>
  <c r="T64" i="19" l="1"/>
  <c r="W27" i="12"/>
  <c r="W62" i="12" s="1"/>
  <c r="T78" i="19"/>
  <c r="W30" i="12"/>
  <c r="W65" i="12" s="1"/>
  <c r="AA82" i="19"/>
  <c r="AE32" i="12" s="1"/>
  <c r="AE67" i="12" s="1"/>
  <c r="AB60" i="19"/>
  <c r="AF29" i="12" s="1"/>
  <c r="AF64" i="12" s="1"/>
  <c r="U56" i="19"/>
  <c r="Y28" i="12" s="1"/>
  <c r="Y63" i="12" s="1"/>
  <c r="T69" i="19"/>
  <c r="Y25" i="12"/>
  <c r="Y60" i="12" s="1"/>
  <c r="V28" i="7"/>
  <c r="U74" i="19"/>
  <c r="Y31" i="12" s="1"/>
  <c r="Y66" i="12" s="1"/>
  <c r="T84" i="19"/>
  <c r="Z14" i="12"/>
  <c r="Z49" i="12" s="1"/>
  <c r="W25" i="5"/>
  <c r="R67" i="19"/>
  <c r="U30" i="2"/>
  <c r="X7" i="12"/>
  <c r="X42" i="12" s="1"/>
  <c r="W25" i="9"/>
  <c r="Z13" i="12"/>
  <c r="Z48" i="12" s="1"/>
  <c r="W30" i="3"/>
  <c r="Z10" i="12"/>
  <c r="Z45" i="12" s="1"/>
  <c r="S66" i="19"/>
  <c r="V27" i="8"/>
  <c r="Y23" i="12"/>
  <c r="Y58" i="12" s="1"/>
  <c r="Y33" i="6"/>
  <c r="AB24" i="12"/>
  <c r="AB59" i="12" s="1"/>
  <c r="T31" i="1"/>
  <c r="W5" i="12"/>
  <c r="W40" i="12" s="1"/>
  <c r="AB28" i="10"/>
  <c r="AF26" i="12" s="1"/>
  <c r="AF61" i="12" s="1"/>
  <c r="U78" i="19" l="1"/>
  <c r="X30" i="12"/>
  <c r="X65" i="12" s="1"/>
  <c r="U64" i="19"/>
  <c r="X27" i="12"/>
  <c r="X62" i="12" s="1"/>
  <c r="AC60" i="19"/>
  <c r="AG29" i="12" s="1"/>
  <c r="AG64" i="12" s="1"/>
  <c r="AB82" i="19"/>
  <c r="AF32" i="12" s="1"/>
  <c r="AF67" i="12" s="1"/>
  <c r="V56" i="19"/>
  <c r="Z28" i="12" s="1"/>
  <c r="Z63" i="12" s="1"/>
  <c r="U69" i="19"/>
  <c r="Z25" i="12"/>
  <c r="Z60" i="12" s="1"/>
  <c r="W28" i="7"/>
  <c r="V74" i="19"/>
  <c r="Z31" i="12" s="1"/>
  <c r="Z66" i="12" s="1"/>
  <c r="U84" i="19"/>
  <c r="X25" i="5"/>
  <c r="AA14" i="12"/>
  <c r="AA49" i="12" s="1"/>
  <c r="V30" i="2"/>
  <c r="Y7" i="12"/>
  <c r="Y42" i="12" s="1"/>
  <c r="S67" i="19"/>
  <c r="T66" i="19"/>
  <c r="X30" i="3"/>
  <c r="AA10" i="12"/>
  <c r="AA45" i="12" s="1"/>
  <c r="X25" i="9"/>
  <c r="AA13" i="12"/>
  <c r="AA48" i="12" s="1"/>
  <c r="Z33" i="6"/>
  <c r="AC24" i="12"/>
  <c r="AC59" i="12" s="1"/>
  <c r="W27" i="8"/>
  <c r="Z23" i="12"/>
  <c r="Z58" i="12" s="1"/>
  <c r="U31" i="1"/>
  <c r="X5" i="12"/>
  <c r="X40" i="12" s="1"/>
  <c r="AC28" i="10"/>
  <c r="AG26" i="12" s="1"/>
  <c r="AG61" i="12" s="1"/>
  <c r="V64" i="19" l="1"/>
  <c r="Y27" i="12"/>
  <c r="Y62" i="12" s="1"/>
  <c r="V78" i="19"/>
  <c r="Y30" i="12"/>
  <c r="Y65" i="12" s="1"/>
  <c r="AC82" i="19"/>
  <c r="W56" i="19"/>
  <c r="AA28" i="12" s="1"/>
  <c r="AA63" i="12" s="1"/>
  <c r="V69" i="19"/>
  <c r="AA25" i="12"/>
  <c r="AA60" i="12" s="1"/>
  <c r="X28" i="7"/>
  <c r="W74" i="19"/>
  <c r="AA31" i="12" s="1"/>
  <c r="AA66" i="12" s="1"/>
  <c r="V84" i="19"/>
  <c r="AB14" i="12"/>
  <c r="AB49" i="12" s="1"/>
  <c r="Y25" i="5"/>
  <c r="T67" i="19"/>
  <c r="W30" i="2"/>
  <c r="Z7" i="12"/>
  <c r="Z42" i="12" s="1"/>
  <c r="Y25" i="9"/>
  <c r="AB13" i="12"/>
  <c r="AB48" i="12" s="1"/>
  <c r="X27" i="8"/>
  <c r="AA23" i="12"/>
  <c r="AA58" i="12" s="1"/>
  <c r="AA33" i="6"/>
  <c r="AD24" i="12"/>
  <c r="AD59" i="12" s="1"/>
  <c r="Y30" i="3"/>
  <c r="AB10" i="12"/>
  <c r="AB45" i="12" s="1"/>
  <c r="U66" i="19"/>
  <c r="V31" i="1"/>
  <c r="Y5" i="12"/>
  <c r="Y40" i="12" s="1"/>
  <c r="W78" i="19" l="1"/>
  <c r="Z30" i="12"/>
  <c r="Z65" i="12" s="1"/>
  <c r="W64" i="19"/>
  <c r="Z27" i="12"/>
  <c r="Z62" i="12" s="1"/>
  <c r="AG32" i="12"/>
  <c r="AG67" i="12" s="1"/>
  <c r="X56" i="19"/>
  <c r="AB28" i="12" s="1"/>
  <c r="AB63" i="12" s="1"/>
  <c r="W69" i="19"/>
  <c r="AB25" i="12"/>
  <c r="AB60" i="12" s="1"/>
  <c r="Y28" i="7"/>
  <c r="X74" i="19"/>
  <c r="AB31" i="12" s="1"/>
  <c r="AB66" i="12" s="1"/>
  <c r="W84" i="19"/>
  <c r="Z25" i="5"/>
  <c r="AC14" i="12"/>
  <c r="AC49" i="12" s="1"/>
  <c r="AA7" i="12"/>
  <c r="AA42" i="12" s="1"/>
  <c r="X30" i="2"/>
  <c r="U67" i="19"/>
  <c r="Z30" i="3"/>
  <c r="AC10" i="12"/>
  <c r="AC45" i="12" s="1"/>
  <c r="AB33" i="6"/>
  <c r="AE24" i="12"/>
  <c r="AE59" i="12" s="1"/>
  <c r="V66" i="19"/>
  <c r="Y27" i="8"/>
  <c r="AB23" i="12"/>
  <c r="AB58" i="12" s="1"/>
  <c r="Z25" i="9"/>
  <c r="AC13" i="12"/>
  <c r="AC48" i="12" s="1"/>
  <c r="W31" i="1"/>
  <c r="Z5" i="12"/>
  <c r="Z40" i="12" s="1"/>
  <c r="X64" i="19" l="1"/>
  <c r="AA27" i="12"/>
  <c r="AA62" i="12" s="1"/>
  <c r="X78" i="19"/>
  <c r="AA30" i="12"/>
  <c r="AA65" i="12" s="1"/>
  <c r="Y56" i="19"/>
  <c r="AC28" i="12" s="1"/>
  <c r="AC63" i="12" s="1"/>
  <c r="X69" i="19"/>
  <c r="AC25" i="12"/>
  <c r="AC60" i="12" s="1"/>
  <c r="Z28" i="7"/>
  <c r="Y74" i="19"/>
  <c r="AC31" i="12" s="1"/>
  <c r="AC66" i="12" s="1"/>
  <c r="X84" i="19"/>
  <c r="AA25" i="5"/>
  <c r="AD14" i="12"/>
  <c r="AD49" i="12" s="1"/>
  <c r="V67" i="19"/>
  <c r="Y30" i="2"/>
  <c r="AB7" i="12"/>
  <c r="AB42" i="12" s="1"/>
  <c r="W66" i="19"/>
  <c r="AC33" i="6"/>
  <c r="AF24" i="12"/>
  <c r="AF59" i="12" s="1"/>
  <c r="Z27" i="8"/>
  <c r="AC23" i="12"/>
  <c r="AC58" i="12" s="1"/>
  <c r="AA25" i="9"/>
  <c r="AD13" i="12"/>
  <c r="AD48" i="12" s="1"/>
  <c r="AA30" i="3"/>
  <c r="AD10" i="12"/>
  <c r="AD45" i="12" s="1"/>
  <c r="X31" i="1"/>
  <c r="AA5" i="12"/>
  <c r="AA40" i="12" s="1"/>
  <c r="Y78" i="19" l="1"/>
  <c r="AB30" i="12"/>
  <c r="AB65" i="12" s="1"/>
  <c r="Y64" i="19"/>
  <c r="AB27" i="12"/>
  <c r="AB62" i="12" s="1"/>
  <c r="Z56" i="19"/>
  <c r="AD28" i="12" s="1"/>
  <c r="AD63" i="12" s="1"/>
  <c r="Y69" i="19"/>
  <c r="AD25" i="12"/>
  <c r="AD60" i="12" s="1"/>
  <c r="AA28" i="7"/>
  <c r="Z74" i="19"/>
  <c r="AD31" i="12" s="1"/>
  <c r="AD66" i="12" s="1"/>
  <c r="Y84" i="19"/>
  <c r="AB25" i="5"/>
  <c r="AE14" i="12"/>
  <c r="AE49" i="12" s="1"/>
  <c r="AC7" i="12"/>
  <c r="AC42" i="12" s="1"/>
  <c r="Z30" i="2"/>
  <c r="W67" i="19"/>
  <c r="AD33" i="6"/>
  <c r="AG24" i="12"/>
  <c r="AG59" i="12" s="1"/>
  <c r="X66" i="19"/>
  <c r="AB30" i="3"/>
  <c r="AE10" i="12"/>
  <c r="AE45" i="12" s="1"/>
  <c r="AA27" i="8"/>
  <c r="AD23" i="12"/>
  <c r="AD58" i="12" s="1"/>
  <c r="AB25" i="9"/>
  <c r="AE13" i="12"/>
  <c r="AE48" i="12" s="1"/>
  <c r="Y31" i="1"/>
  <c r="AB5" i="12"/>
  <c r="AB40" i="12" s="1"/>
  <c r="Z64" i="19" l="1"/>
  <c r="AC27" i="12"/>
  <c r="AC62" i="12" s="1"/>
  <c r="Z78" i="19"/>
  <c r="AC30" i="12"/>
  <c r="AC65" i="12" s="1"/>
  <c r="AA56" i="19"/>
  <c r="AE28" i="12" s="1"/>
  <c r="AE63" i="12" s="1"/>
  <c r="Z69" i="19"/>
  <c r="AE25" i="12"/>
  <c r="AE60" i="12" s="1"/>
  <c r="AB28" i="7"/>
  <c r="AA74" i="19"/>
  <c r="AE31" i="12" s="1"/>
  <c r="AE66" i="12" s="1"/>
  <c r="Z84" i="19"/>
  <c r="AC25" i="5"/>
  <c r="AF14" i="12"/>
  <c r="AF49" i="12" s="1"/>
  <c r="X67" i="19"/>
  <c r="AA30" i="2"/>
  <c r="AD7" i="12"/>
  <c r="AD42" i="12" s="1"/>
  <c r="AB27" i="8"/>
  <c r="AE23" i="12"/>
  <c r="AE58" i="12" s="1"/>
  <c r="AC30" i="3"/>
  <c r="AF10" i="12"/>
  <c r="AF45" i="12" s="1"/>
  <c r="AC25" i="9"/>
  <c r="AF13" i="12"/>
  <c r="AF48" i="12" s="1"/>
  <c r="Y66" i="19"/>
  <c r="AE33" i="6"/>
  <c r="Z31" i="1"/>
  <c r="AC5" i="12"/>
  <c r="AC40" i="12" s="1"/>
  <c r="AA78" i="19" l="1"/>
  <c r="AD30" i="12"/>
  <c r="AD65" i="12" s="1"/>
  <c r="AA64" i="19"/>
  <c r="AD27" i="12"/>
  <c r="AD62" i="12" s="1"/>
  <c r="AB56" i="19"/>
  <c r="AF28" i="12" s="1"/>
  <c r="AF63" i="12" s="1"/>
  <c r="AA69" i="19"/>
  <c r="AF25" i="12"/>
  <c r="AF60" i="12" s="1"/>
  <c r="AC28" i="7"/>
  <c r="AG25" i="12" s="1"/>
  <c r="AB74" i="19"/>
  <c r="AF31" i="12" s="1"/>
  <c r="AF66" i="12" s="1"/>
  <c r="AA84" i="19"/>
  <c r="AG14" i="12"/>
  <c r="AG49" i="12" s="1"/>
  <c r="AB30" i="2"/>
  <c r="AE7" i="12"/>
  <c r="AE42" i="12" s="1"/>
  <c r="Y67" i="19"/>
  <c r="AF33" i="6"/>
  <c r="AG13" i="12"/>
  <c r="AG48" i="12" s="1"/>
  <c r="AG10" i="12"/>
  <c r="AG45" i="12" s="1"/>
  <c r="AC27" i="8"/>
  <c r="AF23" i="12"/>
  <c r="AF58" i="12" s="1"/>
  <c r="Z66" i="19"/>
  <c r="AA31" i="1"/>
  <c r="AD5" i="12"/>
  <c r="AD40" i="12" s="1"/>
  <c r="AG60" i="12" l="1"/>
  <c r="AB64" i="19"/>
  <c r="AE27" i="12"/>
  <c r="AE62" i="12" s="1"/>
  <c r="AB78" i="19"/>
  <c r="AE30" i="12"/>
  <c r="AE65" i="12" s="1"/>
  <c r="AC56" i="19"/>
  <c r="AB69" i="19"/>
  <c r="AC74" i="19"/>
  <c r="AB84" i="19"/>
  <c r="Z67" i="19"/>
  <c r="AC30" i="2"/>
  <c r="AF7" i="12"/>
  <c r="AF42" i="12" s="1"/>
  <c r="AG23" i="12"/>
  <c r="AG58" i="12" s="1"/>
  <c r="AA66" i="19"/>
  <c r="AB31" i="1"/>
  <c r="AE5" i="12"/>
  <c r="AE40" i="12" s="1"/>
  <c r="AG31" i="12" l="1"/>
  <c r="AG66" i="12" s="1"/>
  <c r="AC69" i="19"/>
  <c r="AG28" i="12"/>
  <c r="AG63" i="12" s="1"/>
  <c r="AC78" i="19"/>
  <c r="AF30" i="12"/>
  <c r="AF65" i="12" s="1"/>
  <c r="AC64" i="19"/>
  <c r="AG27" i="12" s="1"/>
  <c r="AF27" i="12"/>
  <c r="AF62" i="12" s="1"/>
  <c r="AG7" i="12"/>
  <c r="AG42" i="12" s="1"/>
  <c r="AA67" i="19"/>
  <c r="AB66" i="19"/>
  <c r="AC31" i="1"/>
  <c r="AF5" i="12"/>
  <c r="AF40" i="12" s="1"/>
  <c r="AG62" i="12" l="1"/>
  <c r="AG30" i="12"/>
  <c r="AG65" i="12" s="1"/>
  <c r="AC84" i="19"/>
  <c r="AB67" i="19"/>
  <c r="AC66" i="19"/>
  <c r="AG5" i="12"/>
  <c r="AG40" i="12" s="1"/>
  <c r="AC6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Karpoff, Alexandra</author>
  </authors>
  <commentList>
    <comment ref="E8" authorId="0" shapeId="0" xr:uid="{00000000-0006-0000-1300-000001000000}">
      <text>
        <r>
          <rPr>
            <b/>
            <sz val="9"/>
            <color indexed="81"/>
            <rFont val="Tahoma"/>
            <family val="2"/>
          </rPr>
          <t>Karpoff, Alexandra:</t>
        </r>
        <r>
          <rPr>
            <sz val="9"/>
            <color indexed="81"/>
            <rFont val="Tahoma"/>
            <family val="2"/>
          </rPr>
          <t xml:space="preserve">
Overbuild storage capacity adder removed because 2022 ATB accounts for overbuild in CAPEX costs.
 7/7/2022</t>
        </r>
      </text>
    </comment>
  </commentList>
</comments>
</file>

<file path=xl/sharedStrings.xml><?xml version="1.0" encoding="utf-8"?>
<sst xmlns="http://schemas.openxmlformats.org/spreadsheetml/2006/main" count="1892" uniqueCount="423">
  <si>
    <t>This workbook provides a summary of cost assumptions and details on cost adjustments applied to the Generic Resources PSE will consider in the 2023 Electric Progress Report portfolio planning process. The majority of cost assumptions are sourced from the 2022 National Renewable Energy Laboratory (NREL) Annual Technology Baseline (ATB) cost report.</t>
  </si>
  <si>
    <t>Objective</t>
  </si>
  <si>
    <t>The objective of this document is to 1) provide updates PSE is making to Generic Resource operating assumptions; and 2) provide a detailed look at the captial costs breakdown and cost adjustments PSE has performed based on internal information. Costs provided may differ from the actual costs modeled in the 2023 Electric Progress Report as new information is available and assumptions are updated. The information contained in this document supercedes informpation presented in the document, "2023_ElectricProgressReport_GenericResourcesCostAdjustments.xlsx" posted to PSE's 2023 Electric Progress Report website on March 22, 2022.</t>
  </si>
  <si>
    <t>Definitions</t>
  </si>
  <si>
    <t>Capital Cost</t>
  </si>
  <si>
    <t xml:space="preserve">This document presents the CAPEX or total capital expenditure required to achieve commerical operation of the generation plant, as published in the 2022 NREL ATB. The 2022 NREL ATB does not provide an in-depth review of the numerous components which compose the total capital cost of a generating resource. Therefore, PSE has reviewed the source materials cited in the NREL ATB to get an understanding of the components of each technology's capital cost, for example: equipment costs, balance of plant costs and financing costs. Often times, the total capital costs of the source materials differed from the costs presented in the NREL ATB. In these cases, PSE used the ratio of the total capital cost of the source materials to the total capital cost of the NREL ATB to scale component costs to gain an understanding of the contribution of each component to the NREL ATB cost. In cases, where PSE deemed it necessary to make an adjustment to the capital cost of a resource, the cost is applied to the specific component which required an adjustment. </t>
  </si>
  <si>
    <t xml:space="preserve">Fixed O&amp;M </t>
  </si>
  <si>
    <t>Fixed operation and maintenance (O&amp;M) costs are defined in alignment with the 2022 ATB. Fixed O&amp;M includes administrative fees and labor, insurance, land lease payments, legal fees operating labor, property taxes, site security, taxes, project management, and general, scheduled, and unscheduled maintenance. Different technologies may include additinal items (NREL 2022).</t>
  </si>
  <si>
    <t>Variable O&amp;M</t>
  </si>
  <si>
    <t>Variable O&amp;M costs are defined in alignment with the 2022 ATB. Variable cost components include consumables, such as water, chemicals, and catalysts; waste disposal, transformer maintenance, and an annualized present value of large componenet replacement over the technical life of the technology (including batteries; NREL 2022).</t>
  </si>
  <si>
    <t xml:space="preserve">Other Notes: </t>
  </si>
  <si>
    <t xml:space="preserve">Dollar values are in 2020 US Dollars, unless otherwise noted. </t>
  </si>
  <si>
    <t>Production Tax Credits (PTCs) and Investment Tax Credits (ITCs) are not included in this workbook.  The tax credits will be accounted for in a later step for modeling.</t>
  </si>
  <si>
    <t xml:space="preserve">Reference: </t>
  </si>
  <si>
    <t>BC Hydro (British Columbia Hydro and Power Authority). 2015. Pennask and Shinnish Creek Wind Farm Interconnection System Impact Re-Study. Report No: T&amp;S Planning 2015-050. October 2015. Availalbe at: https://app.bchydro.com/content/dam/BCHydro/customer-portal/documents/accounts-billing/electrical-connections/Pennask-Shinnish-Wind-SIS-ReStudy-redacted.pdf</t>
  </si>
  <si>
    <t>CAISO (California Independent System Operator). 2020. Variable Operations and Maintenance Cost Review, Final Proposal. October 22, 2022. Available at: https://stakeholdercenter.caiso.com/StakeholderInitiatives/Variable-operations-maintenance-cost-review.</t>
  </si>
  <si>
    <t>EIA (U.S. Energy Information Administration). 2019. Annual Energy Outlook 2019. January 24, 2019. Available at: https://www.eia.gov/outlooks/archive/aeo19/ .</t>
  </si>
  <si>
    <t>EIA. 2020. Capital Cost and Performance Characteric Estimates for Utility Scale Electric Power Generating Technolgies. Prepared by Sargent &amp; Lundy. February 2020. Available at: https://www.eia.gov/analysis/studies/powerplants/capitalcost/pdf/capital_cost_AEO2020.pdf.</t>
  </si>
  <si>
    <t>EIA. 2022. Annual Energy Outlook 2022. March 3, 2022. Available at: https://www.eia.gov/outlooks/aeo/.</t>
  </si>
  <si>
    <t>HDR. 2019. Generic Resource Costs for Integrated Resource Planning. Conducted on behalf of Puget Sound Energy. January 23, 2019. Revision 4. Available at: https://www.pse.com/IRP/Get-involved.</t>
  </si>
  <si>
    <t xml:space="preserve">Mongrid, K., V. Viswanathan, J. Alam, C. Vartanian, V. Sprenkle. 2020. 2020 Grid energy storage technology cost and performance assessment. Pacific Northwest National Laboratory. Tech Reprot Pub. No. DOE/PA-0204. December 2020. </t>
  </si>
  <si>
    <t>NREL (National Renewable Energy Laboratory). 2022. 2022 Annual Technology Baseline. Available at: https://atb.nrel.gov/electricity/2022/data.</t>
  </si>
  <si>
    <t>PSE (Puget Sound Energy). 2021a. 2021 PSE Integrated Resource Plan. April 1, 2021. Available at: https://www.pse.com/IRP/Past-IRPs/2021-IRP.</t>
  </si>
  <si>
    <t>PSE. 2021b. 2021 All-Source RFP for Renewable and Peak Capacity Resources. June 30, 2021. Available at: https://www.pse.com/en/pages/energy-supply/acquiring-energy.</t>
  </si>
  <si>
    <t>S&amp;P Global (S&amp;P Global IQ Pro Platform). 2022. Availabel at: https://www.capitaliq.spglobal.com/web/client?auth=inherit#news/home. Accessed on May 19, 2022.</t>
  </si>
  <si>
    <t>Severy, M., D. Overhus, L. Tugade, A. Copping. 2022. Preliminary data aggregation and analysis of the effects on fish, marine mammals, and other marine organisms, and the habitats that support them, from a proposed offshore wind farm off the coast of Grays Harbor, Washington. PNNL. January 2022.</t>
  </si>
  <si>
    <t xml:space="preserve">Please refer to companion workbook on NREL ATB Cost Breakdown for complete listing of data sources. </t>
  </si>
  <si>
    <t>Feldman, David, Vignesh Ramasamy, Ran Fu, Ashwin Ramdas, Jal Desai, and Robert Margolis. “U.S. Solar Photovoltaic System and Energy Storage Cost Benchmark: Q1 2020.” National Renewable Energy Lab. (NREL), Golden, CO (United States), January 27, 2021. https://doi.org/10.2172/1764908.</t>
  </si>
  <si>
    <t>Operating Life by Resource</t>
  </si>
  <si>
    <t>Generic resource operating assumptions for the 2023 Electric Progress Report</t>
  </si>
  <si>
    <t>Technology</t>
  </si>
  <si>
    <r>
      <t>Capital Recovery Period (Years)</t>
    </r>
    <r>
      <rPr>
        <b/>
        <vertAlign val="superscript"/>
        <sz val="11"/>
        <color theme="1"/>
        <rFont val="Calibri"/>
        <family val="2"/>
        <scheme val="minor"/>
      </rPr>
      <t>1</t>
    </r>
  </si>
  <si>
    <t>Offshore Wind, WA</t>
  </si>
  <si>
    <t>Wind, BC</t>
  </si>
  <si>
    <t>Wind, WA</t>
  </si>
  <si>
    <t>Wind, MT</t>
  </si>
  <si>
    <t>Wind, ID/WY</t>
  </si>
  <si>
    <t>Solar, WA</t>
  </si>
  <si>
    <t>Solar,  ID/WY</t>
  </si>
  <si>
    <t>Solar, DER (Residential)</t>
  </si>
  <si>
    <t>Biomass</t>
  </si>
  <si>
    <r>
      <t>PHES, WA/OR</t>
    </r>
    <r>
      <rPr>
        <vertAlign val="superscript"/>
        <sz val="11"/>
        <rFont val="Calibri"/>
        <family val="2"/>
        <scheme val="minor"/>
      </rPr>
      <t>2</t>
    </r>
  </si>
  <si>
    <r>
      <t>PHES, MT</t>
    </r>
    <r>
      <rPr>
        <vertAlign val="superscript"/>
        <sz val="11"/>
        <rFont val="Calibri"/>
        <family val="2"/>
        <scheme val="minor"/>
      </rPr>
      <t>2</t>
    </r>
  </si>
  <si>
    <t>Battery (2hr, Li-Ion)</t>
  </si>
  <si>
    <t>Battery (4hr, Li-Ion)</t>
  </si>
  <si>
    <t>Battery (6hr, Li-Ion)</t>
  </si>
  <si>
    <t>Battery, DER (Residential)</t>
  </si>
  <si>
    <t>Wind + Battery, WA</t>
  </si>
  <si>
    <t>Solar + Battery, WA</t>
  </si>
  <si>
    <t>Wind + Solar + Battery, WA</t>
  </si>
  <si>
    <t>Frame Peaker</t>
  </si>
  <si>
    <t>CCCT</t>
  </si>
  <si>
    <t>Recip Peaker</t>
  </si>
  <si>
    <t>Small Modular Nuclear</t>
  </si>
  <si>
    <t>Notes</t>
  </si>
  <si>
    <t>1: Source: NREL 2022.</t>
  </si>
  <si>
    <t>2: Though the NREL 2022 ATB assumes a 100 year operating life, PSE assumes the operating life will be the length of the FERC permitting cycle, at 40 years.</t>
  </si>
  <si>
    <t>O&amp;M Costs by Resource - Comparison of Several Sources</t>
  </si>
  <si>
    <t>Source: "R:\ResourcePlanning\2023 IRP\Generic Resource Costs\O&amp;M_Costs\2023_IRP_O&amp;M_Comparison_20220622.xlsx"</t>
  </si>
  <si>
    <t>Fixed O&amp;M</t>
  </si>
  <si>
    <t xml:space="preserve">2023 Vintage, </t>
  </si>
  <si>
    <t xml:space="preserve">Fixed Operating and Maintenance </t>
  </si>
  <si>
    <t>Comparison of Sources</t>
  </si>
  <si>
    <t>2020 U.S. Dollars</t>
  </si>
  <si>
    <t>($/kW-yr)</t>
  </si>
  <si>
    <t>2023 Progress Report 
(NREL 2021; S&amp;P Global 2022)</t>
  </si>
  <si>
    <t>2019 HDR Report 
(HDR 2019)</t>
  </si>
  <si>
    <t>2021 IRP Operating Assumptions 
(PSE 2021a)</t>
  </si>
  <si>
    <r>
      <t>2022 ATB</t>
    </r>
    <r>
      <rPr>
        <b/>
        <vertAlign val="superscript"/>
        <sz val="11"/>
        <color theme="1"/>
        <rFont val="Calibri"/>
        <family val="2"/>
        <scheme val="minor"/>
      </rPr>
      <t>1</t>
    </r>
    <r>
      <rPr>
        <b/>
        <sz val="11"/>
        <color theme="1"/>
        <rFont val="Calibri"/>
        <family val="2"/>
        <scheme val="minor"/>
      </rPr>
      <t xml:space="preserve"> 
(NREL 2022)</t>
    </r>
  </si>
  <si>
    <r>
      <t>FERC Form 1s</t>
    </r>
    <r>
      <rPr>
        <b/>
        <vertAlign val="superscript"/>
        <sz val="11"/>
        <color theme="1"/>
        <rFont val="Calibri"/>
        <family val="2"/>
        <scheme val="minor"/>
      </rPr>
      <t>2</t>
    </r>
    <r>
      <rPr>
        <b/>
        <sz val="11"/>
        <color theme="1"/>
        <rFont val="Calibri"/>
        <family val="2"/>
        <scheme val="minor"/>
      </rPr>
      <t xml:space="preserve"> 
(S&amp;P Global 2022)</t>
    </r>
  </si>
  <si>
    <t>CAISO Defaults Values
(CAISO 2020)</t>
  </si>
  <si>
    <t>--</t>
  </si>
  <si>
    <t>PHES, WA/OR</t>
  </si>
  <si>
    <t>PHES, MT</t>
  </si>
  <si>
    <r>
      <t>Wind + Battery, WA</t>
    </r>
    <r>
      <rPr>
        <vertAlign val="superscript"/>
        <sz val="11"/>
        <rFont val="Calibri"/>
        <family val="2"/>
        <scheme val="minor"/>
      </rPr>
      <t>3</t>
    </r>
  </si>
  <si>
    <r>
      <t>Solar + Battery, WA</t>
    </r>
    <r>
      <rPr>
        <vertAlign val="superscript"/>
        <sz val="11"/>
        <rFont val="Calibri"/>
        <family val="2"/>
        <scheme val="minor"/>
      </rPr>
      <t>3</t>
    </r>
  </si>
  <si>
    <r>
      <t>Wind + Solar + Battery, WA</t>
    </r>
    <r>
      <rPr>
        <vertAlign val="superscript"/>
        <sz val="11"/>
        <rFont val="Calibri"/>
        <family val="2"/>
        <scheme val="minor"/>
      </rPr>
      <t>3</t>
    </r>
  </si>
  <si>
    <t>1: FOM for wind, solar, battery storage, and hybrid resources are presented in the 2022 ATB as a curve. Vintage year 2023 only is presented in this table for comparison with other FOM costs.</t>
  </si>
  <si>
    <t>2: From the S&amp;P Global IQ screener tool, averaged the "fixed production expence," for PSE existing resources in 2021. The Port Westward 2 "fixed production expense" from 2021 was adopted as the recipricating peaker fixed O&amp;M.</t>
  </si>
  <si>
    <t xml:space="preserve">3: Weighted averages (using nameplate capacities for hybrid configurations) are used to calculate the FOM for hybrid resources. Because FOM for the generating resource is a curve, the FOM for hybrid resources are also a curve. </t>
  </si>
  <si>
    <t xml:space="preserve">Variable Operating and Maintenance </t>
  </si>
  <si>
    <t>($/MWh)</t>
  </si>
  <si>
    <t>2023 Progress Report 
(NREL 2021; CAISO 2020)</t>
  </si>
  <si>
    <t>2022 ATB 
(NREL 2022)</t>
  </si>
  <si>
    <r>
      <t>FERC Form 1s</t>
    </r>
    <r>
      <rPr>
        <b/>
        <vertAlign val="superscript"/>
        <sz val="11"/>
        <color theme="1"/>
        <rFont val="Calibri"/>
        <family val="2"/>
        <scheme val="minor"/>
      </rPr>
      <t>1</t>
    </r>
    <r>
      <rPr>
        <b/>
        <sz val="11"/>
        <color theme="1"/>
        <rFont val="Calibri"/>
        <family val="2"/>
        <scheme val="minor"/>
      </rPr>
      <t xml:space="preserve"> 
(S&amp;P Global 2022)</t>
    </r>
  </si>
  <si>
    <t>Wind + PHES, MT</t>
  </si>
  <si>
    <r>
      <t>Frame Peaker</t>
    </r>
    <r>
      <rPr>
        <vertAlign val="superscript"/>
        <sz val="11"/>
        <rFont val="Calibri"/>
        <family val="2"/>
        <scheme val="minor"/>
      </rPr>
      <t>2</t>
    </r>
  </si>
  <si>
    <r>
      <t>CCCT</t>
    </r>
    <r>
      <rPr>
        <vertAlign val="superscript"/>
        <sz val="11"/>
        <rFont val="Calibri"/>
        <family val="2"/>
        <scheme val="minor"/>
      </rPr>
      <t>3</t>
    </r>
  </si>
  <si>
    <t>1: From the S&amp;P Global IQ screener tool, averaged the "fixed production expence," for PSE existing resources in 2021. The Port Westward 2 "fixed production expense" from 2021 was adopted as the recipricating peaker fixed O&amp;M.</t>
  </si>
  <si>
    <t xml:space="preserve">2: CAISO default values calculated by dividing the default minimum load adder of $1.74/run-hour/MW by PSE's 20-year forecasted capacity factor for CCCTs of 33% (PSE 2021 IRP), then adding the energy O&amp;M adder of $0.59/MWh. </t>
  </si>
  <si>
    <t>3: The CAISO default value appears low; however, CAISO also provides a startup O&amp;M adder of $52.13/start/MW, which will be applied to generic frame peakers in the 2023 Electric Progress Report.</t>
  </si>
  <si>
    <t>FOM cost curves across all available resources, all listings in 2020 dollars per kiloWatt-year</t>
  </si>
  <si>
    <t>Source of FOM cost curves: 2022 NREL ATB, unless otherwise noted.</t>
  </si>
  <si>
    <t>R:\ResourcePlanning\2023 IRP\Generic Resource Costs\2022 NREL ATB\2022 v1 Annual Technology Baseline Workbook Original 6-14-2022.xlsx</t>
  </si>
  <si>
    <t>FOM ($/kW-yr)</t>
  </si>
  <si>
    <t>Year</t>
  </si>
  <si>
    <t>Offshore Wind</t>
  </si>
  <si>
    <t>Solar, ID/WY</t>
  </si>
  <si>
    <r>
      <t>Battery, LI 2hr</t>
    </r>
    <r>
      <rPr>
        <b/>
        <vertAlign val="superscript"/>
        <sz val="11"/>
        <color theme="1"/>
        <rFont val="Calibri"/>
        <family val="2"/>
        <scheme val="minor"/>
      </rPr>
      <t>1</t>
    </r>
  </si>
  <si>
    <r>
      <t>Battery, LI 4hr</t>
    </r>
    <r>
      <rPr>
        <b/>
        <vertAlign val="superscript"/>
        <sz val="11"/>
        <color theme="1"/>
        <rFont val="Calibri"/>
        <family val="2"/>
        <scheme val="minor"/>
      </rPr>
      <t>1</t>
    </r>
  </si>
  <si>
    <r>
      <t>Battery, LI 6hr</t>
    </r>
    <r>
      <rPr>
        <b/>
        <vertAlign val="superscript"/>
        <sz val="11"/>
        <color theme="1"/>
        <rFont val="Calibri"/>
        <family val="2"/>
        <scheme val="minor"/>
      </rPr>
      <t>1</t>
    </r>
  </si>
  <si>
    <r>
      <t>Battery, DER (Residential)</t>
    </r>
    <r>
      <rPr>
        <b/>
        <vertAlign val="superscript"/>
        <sz val="11"/>
        <color theme="1"/>
        <rFont val="Calibri"/>
        <family val="2"/>
        <scheme val="minor"/>
      </rPr>
      <t>1</t>
    </r>
  </si>
  <si>
    <r>
      <t>Wind + Battery, WA</t>
    </r>
    <r>
      <rPr>
        <b/>
        <vertAlign val="superscript"/>
        <sz val="11"/>
        <color theme="1"/>
        <rFont val="Calibri"/>
        <family val="2"/>
        <scheme val="minor"/>
      </rPr>
      <t>3</t>
    </r>
  </si>
  <si>
    <r>
      <t>Solar + Battery, WA</t>
    </r>
    <r>
      <rPr>
        <b/>
        <vertAlign val="superscript"/>
        <sz val="11"/>
        <color theme="1"/>
        <rFont val="Calibri"/>
        <family val="2"/>
        <scheme val="minor"/>
      </rPr>
      <t>3</t>
    </r>
  </si>
  <si>
    <r>
      <t>Wind + Solar + Battery, WA</t>
    </r>
    <r>
      <rPr>
        <b/>
        <vertAlign val="superscript"/>
        <sz val="11"/>
        <color theme="1"/>
        <rFont val="Calibri"/>
        <family val="2"/>
        <scheme val="minor"/>
      </rPr>
      <t>3</t>
    </r>
  </si>
  <si>
    <r>
      <t>Frame Peaker</t>
    </r>
    <r>
      <rPr>
        <b/>
        <vertAlign val="superscript"/>
        <sz val="11"/>
        <color theme="1"/>
        <rFont val="Calibri"/>
        <family val="2"/>
        <scheme val="minor"/>
      </rPr>
      <t>2</t>
    </r>
  </si>
  <si>
    <r>
      <t>CCCT</t>
    </r>
    <r>
      <rPr>
        <b/>
        <vertAlign val="superscript"/>
        <sz val="11"/>
        <color theme="1"/>
        <rFont val="Calibri"/>
        <family val="2"/>
        <scheme val="minor"/>
      </rPr>
      <t>2</t>
    </r>
  </si>
  <si>
    <r>
      <t>Reciprocating Peaker</t>
    </r>
    <r>
      <rPr>
        <b/>
        <vertAlign val="superscript"/>
        <sz val="11"/>
        <color theme="1"/>
        <rFont val="Calibri"/>
        <family val="2"/>
        <scheme val="minor"/>
      </rPr>
      <t>2</t>
    </r>
  </si>
  <si>
    <t>1: Following the 2022 NREL ATB, the FOM for Li-ion batteries is 2.5% of the capital cost.</t>
  </si>
  <si>
    <t>2: From 2021 Form 1s (scaled to vintage 2023).</t>
  </si>
  <si>
    <t xml:space="preserve">3: Each element of the hybrid resource is modeled seperatly in AURORA. FOM for these elements are input into the model seperatly. </t>
  </si>
  <si>
    <t>Proposed spur line lengths and costs for the 2023 Electric Progress Report generic resources</t>
  </si>
  <si>
    <t>Resource</t>
  </si>
  <si>
    <r>
      <t>2023 Proposed Tie Line Length</t>
    </r>
    <r>
      <rPr>
        <b/>
        <vertAlign val="superscript"/>
        <sz val="11"/>
        <color theme="1"/>
        <rFont val="Calibri"/>
        <family val="2"/>
        <scheme val="minor"/>
      </rPr>
      <t>10</t>
    </r>
  </si>
  <si>
    <t xml:space="preserve"> Tie Line Length Source</t>
  </si>
  <si>
    <t>Capacity</t>
  </si>
  <si>
    <t>Spur Line Size</t>
  </si>
  <si>
    <t>Spur Line Cost</t>
  </si>
  <si>
    <r>
      <t>Total Spur Line Cost</t>
    </r>
    <r>
      <rPr>
        <b/>
        <vertAlign val="superscript"/>
        <sz val="11"/>
        <color theme="1"/>
        <rFont val="Calibri"/>
        <family val="2"/>
        <scheme val="minor"/>
      </rPr>
      <t>9</t>
    </r>
  </si>
  <si>
    <t>Total Spur Line Cost</t>
  </si>
  <si>
    <t>(MW)</t>
  </si>
  <si>
    <t>(kV)</t>
  </si>
  <si>
    <t>($M)</t>
  </si>
  <si>
    <t>($)</t>
  </si>
  <si>
    <t>$/kW</t>
  </si>
  <si>
    <r>
      <t>Offshore Wind</t>
    </r>
    <r>
      <rPr>
        <vertAlign val="superscript"/>
        <sz val="11"/>
        <rFont val="Calibri"/>
        <family val="2"/>
        <scheme val="minor"/>
      </rPr>
      <t>1</t>
    </r>
  </si>
  <si>
    <t>Severy et. Al (2022)</t>
  </si>
  <si>
    <r>
      <t>Wind, BC</t>
    </r>
    <r>
      <rPr>
        <vertAlign val="superscript"/>
        <sz val="11"/>
        <rFont val="Calibri"/>
        <family val="2"/>
        <scheme val="minor"/>
      </rPr>
      <t>4</t>
    </r>
  </si>
  <si>
    <t>BC Hydro (2015)</t>
  </si>
  <si>
    <r>
      <t>Wind, WA</t>
    </r>
    <r>
      <rPr>
        <vertAlign val="superscript"/>
        <sz val="11"/>
        <rFont val="Calibri"/>
        <family val="2"/>
        <scheme val="minor"/>
      </rPr>
      <t>2</t>
    </r>
  </si>
  <si>
    <t>PSE 2021 All Source RFP Bids</t>
  </si>
  <si>
    <r>
      <t>Wind, MT</t>
    </r>
    <r>
      <rPr>
        <vertAlign val="superscript"/>
        <sz val="11"/>
        <rFont val="Calibri"/>
        <family val="2"/>
        <scheme val="minor"/>
      </rPr>
      <t>3</t>
    </r>
  </si>
  <si>
    <r>
      <t>Wind, ID/WY</t>
    </r>
    <r>
      <rPr>
        <vertAlign val="superscript"/>
        <sz val="11"/>
        <rFont val="Calibri"/>
        <family val="2"/>
        <scheme val="minor"/>
      </rPr>
      <t>3</t>
    </r>
  </si>
  <si>
    <r>
      <t>Solar, WA</t>
    </r>
    <r>
      <rPr>
        <vertAlign val="superscript"/>
        <sz val="11"/>
        <rFont val="Calibri"/>
        <family val="2"/>
        <scheme val="minor"/>
      </rPr>
      <t>2</t>
    </r>
  </si>
  <si>
    <r>
      <t>Solar, ID/WY</t>
    </r>
    <r>
      <rPr>
        <vertAlign val="superscript"/>
        <sz val="11"/>
        <rFont val="Calibri"/>
        <family val="2"/>
        <scheme val="minor"/>
      </rPr>
      <t>3</t>
    </r>
  </si>
  <si>
    <r>
      <t>Biomass</t>
    </r>
    <r>
      <rPr>
        <vertAlign val="superscript"/>
        <sz val="11"/>
        <rFont val="Calibri"/>
        <family val="2"/>
        <scheme val="minor"/>
      </rPr>
      <t>5</t>
    </r>
  </si>
  <si>
    <t>GIS Calculation</t>
  </si>
  <si>
    <r>
      <t>PHES, WA/OR</t>
    </r>
    <r>
      <rPr>
        <vertAlign val="superscript"/>
        <sz val="11"/>
        <rFont val="Calibri"/>
        <family val="2"/>
        <scheme val="minor"/>
      </rPr>
      <t>6</t>
    </r>
  </si>
  <si>
    <r>
      <t>PHES, MT</t>
    </r>
    <r>
      <rPr>
        <vertAlign val="superscript"/>
        <sz val="11"/>
        <rFont val="Calibri"/>
        <family val="2"/>
        <scheme val="minor"/>
      </rPr>
      <t>6</t>
    </r>
  </si>
  <si>
    <r>
      <t>Battery (2hr, Li-Ion)</t>
    </r>
    <r>
      <rPr>
        <vertAlign val="superscript"/>
        <sz val="11"/>
        <rFont val="Calibri"/>
        <family val="2"/>
        <scheme val="minor"/>
      </rPr>
      <t>7</t>
    </r>
  </si>
  <si>
    <r>
      <t>Battery (4hr, Li-Ion)</t>
    </r>
    <r>
      <rPr>
        <vertAlign val="superscript"/>
        <sz val="11"/>
        <rFont val="Calibri"/>
        <family val="2"/>
        <scheme val="minor"/>
      </rPr>
      <t>7</t>
    </r>
  </si>
  <si>
    <r>
      <t>Battery (6hr, Li-Ion)</t>
    </r>
    <r>
      <rPr>
        <vertAlign val="superscript"/>
        <sz val="11"/>
        <rFont val="Calibri"/>
        <family val="2"/>
        <scheme val="minor"/>
      </rPr>
      <t>7</t>
    </r>
  </si>
  <si>
    <t>NA</t>
  </si>
  <si>
    <r>
      <t>Wind + Battery, WA</t>
    </r>
    <r>
      <rPr>
        <vertAlign val="superscript"/>
        <sz val="11"/>
        <rFont val="Calibri"/>
        <family val="2"/>
        <scheme val="minor"/>
      </rPr>
      <t>2</t>
    </r>
  </si>
  <si>
    <r>
      <t>Solar + Battery, WA</t>
    </r>
    <r>
      <rPr>
        <vertAlign val="superscript"/>
        <sz val="11"/>
        <rFont val="Calibri"/>
        <family val="2"/>
        <scheme val="minor"/>
      </rPr>
      <t>2</t>
    </r>
  </si>
  <si>
    <r>
      <t>Wind + Solar + Battery, WA</t>
    </r>
    <r>
      <rPr>
        <vertAlign val="superscript"/>
        <sz val="11"/>
        <rFont val="Calibri"/>
        <family val="2"/>
        <scheme val="minor"/>
      </rPr>
      <t>2</t>
    </r>
  </si>
  <si>
    <r>
      <t>Frame Peaker</t>
    </r>
    <r>
      <rPr>
        <vertAlign val="superscript"/>
        <sz val="11"/>
        <rFont val="Calibri"/>
        <family val="2"/>
        <scheme val="minor"/>
      </rPr>
      <t>8</t>
    </r>
  </si>
  <si>
    <r>
      <t>CCCT</t>
    </r>
    <r>
      <rPr>
        <vertAlign val="superscript"/>
        <sz val="11"/>
        <rFont val="Calibri"/>
        <family val="2"/>
        <scheme val="minor"/>
      </rPr>
      <t>8</t>
    </r>
  </si>
  <si>
    <r>
      <t>Recip Peaker</t>
    </r>
    <r>
      <rPr>
        <vertAlign val="superscript"/>
        <sz val="11"/>
        <rFont val="Calibri"/>
        <family val="2"/>
        <scheme val="minor"/>
      </rPr>
      <t>8</t>
    </r>
  </si>
  <si>
    <r>
      <t>Small Modular Nuclear</t>
    </r>
    <r>
      <rPr>
        <vertAlign val="superscript"/>
        <sz val="11"/>
        <rFont val="Calibri"/>
        <family val="2"/>
        <scheme val="minor"/>
      </rPr>
      <t>8</t>
    </r>
  </si>
  <si>
    <t>1: Assumptions based upon the Grays Harbor Wind Project, which is proposed to make landfall approximatly 20 miles from Aberdeen, WA</t>
  </si>
  <si>
    <t>2: OR/WA wind, solar, and hybrid resoruces from the 2021 RFP were combined to create this overall average.</t>
  </si>
  <si>
    <t>3: ID, MT, and WY wind, solar, and hybrid resources spur line lengths from projects submitted to PSE's 2021 RFP process were combined to create this overall average.</t>
  </si>
  <si>
    <t xml:space="preserve">4: This is the average inerconnection distance estimated for Shinish Creek and Pennask Wind Farms, located in south central BC. </t>
  </si>
  <si>
    <t>5: Existing biomass plant interconnection distances were caluclated using GIS for plants located in ID, MT, Northern OR, and WA.</t>
  </si>
  <si>
    <t>6: PHES spur line lengths were determined using data provided by PHES projects in development: WA/OR used an average of Swan Lake and Goldendale data; MT use Gordon Butte spur line length.</t>
  </si>
  <si>
    <t xml:space="preserve">7: The average interconnection length for all batteries proposed in the 2021 RFP process, with outliers removed. Acutual value is 0.7. </t>
  </si>
  <si>
    <t>8: Assumed to be have a similar interconnection length to the 2021 RFP batteries because the resource would be similarly sited.</t>
  </si>
  <si>
    <t>9: Includes a $3M substation hook-up addition.</t>
  </si>
  <si>
    <t>10: Miles are rounded to the nearest 0.5 mile.</t>
  </si>
  <si>
    <t>Cost curves across all available resources, all listings in 2020 dollars per kiloWatt</t>
  </si>
  <si>
    <t>Capital Cost Curves</t>
  </si>
  <si>
    <t>Battery, LI 2hr</t>
  </si>
  <si>
    <t>Battery, LI 4hr</t>
  </si>
  <si>
    <t>Battery, LI 6hr</t>
  </si>
  <si>
    <r>
      <t>Wind + Battery, WA</t>
    </r>
    <r>
      <rPr>
        <b/>
        <vertAlign val="superscript"/>
        <sz val="11"/>
        <rFont val="Calibri"/>
        <family val="2"/>
        <scheme val="minor"/>
      </rPr>
      <t>1</t>
    </r>
  </si>
  <si>
    <r>
      <t>Solar + Battery, WA</t>
    </r>
    <r>
      <rPr>
        <b/>
        <vertAlign val="superscript"/>
        <sz val="11"/>
        <rFont val="Calibri"/>
        <family val="2"/>
        <scheme val="minor"/>
      </rPr>
      <t>1</t>
    </r>
  </si>
  <si>
    <r>
      <t>Wind + Solar + Battery, WA</t>
    </r>
    <r>
      <rPr>
        <b/>
        <vertAlign val="superscript"/>
        <sz val="11"/>
        <rFont val="Calibri"/>
        <family val="2"/>
        <scheme val="minor"/>
      </rPr>
      <t>1</t>
    </r>
  </si>
  <si>
    <t>Reciprocating Peaker</t>
  </si>
  <si>
    <r>
      <t>Hybrid Wind</t>
    </r>
    <r>
      <rPr>
        <b/>
        <vertAlign val="superscript"/>
        <sz val="11"/>
        <color theme="1"/>
        <rFont val="Calibri"/>
        <family val="2"/>
        <scheme val="minor"/>
      </rPr>
      <t>2</t>
    </r>
  </si>
  <si>
    <r>
      <t>Hybrid Solar</t>
    </r>
    <r>
      <rPr>
        <b/>
        <vertAlign val="superscript"/>
        <sz val="11"/>
        <color theme="1"/>
        <rFont val="Calibri"/>
        <family val="2"/>
        <scheme val="minor"/>
      </rPr>
      <t>2</t>
    </r>
  </si>
  <si>
    <r>
      <t>Hybrid Battery</t>
    </r>
    <r>
      <rPr>
        <b/>
        <vertAlign val="superscript"/>
        <sz val="11"/>
        <color theme="1"/>
        <rFont val="Calibri"/>
        <family val="2"/>
        <scheme val="minor"/>
      </rPr>
      <t>2</t>
    </r>
  </si>
  <si>
    <r>
      <t>Hybrid - Triple Wind</t>
    </r>
    <r>
      <rPr>
        <b/>
        <vertAlign val="superscript"/>
        <sz val="11"/>
        <color theme="1"/>
        <rFont val="Calibri"/>
        <family val="2"/>
        <scheme val="minor"/>
      </rPr>
      <t>2</t>
    </r>
  </si>
  <si>
    <r>
      <t>Hybrid-Triple  Solar</t>
    </r>
    <r>
      <rPr>
        <b/>
        <vertAlign val="superscript"/>
        <sz val="11"/>
        <color theme="1"/>
        <rFont val="Calibri"/>
        <family val="2"/>
        <scheme val="minor"/>
      </rPr>
      <t>2</t>
    </r>
  </si>
  <si>
    <r>
      <t>Hybrid-Triple Battery</t>
    </r>
    <r>
      <rPr>
        <b/>
        <vertAlign val="superscript"/>
        <sz val="11"/>
        <color theme="1"/>
        <rFont val="Calibri"/>
        <family val="2"/>
        <scheme val="minor"/>
      </rPr>
      <t>2</t>
    </r>
  </si>
  <si>
    <t>1: Placeholder rows for PSE internal use: see rows 27-32 for hybrid component capital costs.</t>
  </si>
  <si>
    <t xml:space="preserve">2: Each element of the hybrid resource is modeled seperatly in AURORA. Capital costs for these elements are input into the model seperatly. </t>
  </si>
  <si>
    <t>Percent change per year (2022 ATB)</t>
  </si>
  <si>
    <r>
      <t>Reciprocating Peaker</t>
    </r>
    <r>
      <rPr>
        <b/>
        <vertAlign val="superscript"/>
        <sz val="11"/>
        <color theme="1"/>
        <rFont val="Calibri"/>
        <family val="2"/>
        <scheme val="minor"/>
      </rPr>
      <t>3</t>
    </r>
  </si>
  <si>
    <t>Hybrid Wind</t>
  </si>
  <si>
    <t>Hybrid Solar</t>
  </si>
  <si>
    <t>Hybrid Battery</t>
  </si>
  <si>
    <t>Hybrid - Triple Wind</t>
  </si>
  <si>
    <t>Hybrid-Triple  Solar</t>
  </si>
  <si>
    <t>Hybrid-Triple Battery</t>
  </si>
  <si>
    <t xml:space="preserve">3: Recipricating peaker technology was not included in the 2022 ATB. This capital cost curve was sourced from the 2022 EIA AEO (EIA 2022). </t>
  </si>
  <si>
    <t>2023 Vintage,  2020$</t>
  </si>
  <si>
    <t xml:space="preserve">2021 IRP </t>
  </si>
  <si>
    <t>2023 PR, 2021 ATB</t>
  </si>
  <si>
    <t>2023 PR, 2022 ATB</t>
  </si>
  <si>
    <t>Battery (4hr, Flow)</t>
  </si>
  <si>
    <t>Battery (6hr, Flow)</t>
  </si>
  <si>
    <t>Source material</t>
  </si>
  <si>
    <t>Adjustments</t>
  </si>
  <si>
    <t>Base</t>
  </si>
  <si>
    <t>Percentage of total CAPEX</t>
  </si>
  <si>
    <t>Scale to 2022 NREL 2020 vintage, 2020 $</t>
  </si>
  <si>
    <t>PSE Adjustment 1: add Spur Line</t>
  </si>
  <si>
    <t>PSE Adjustment 1 Total</t>
  </si>
  <si>
    <t>PSE ADJUSTED CAPITAL COST</t>
  </si>
  <si>
    <t>NREL ATB Nameplate (MW)</t>
  </si>
  <si>
    <t>Capital Cost Component</t>
  </si>
  <si>
    <t>% of Total</t>
  </si>
  <si>
    <t>Adder</t>
  </si>
  <si>
    <t>Turbine capital costs</t>
  </si>
  <si>
    <t xml:space="preserve">SUB TOTAL </t>
  </si>
  <si>
    <t>Balance of System</t>
  </si>
  <si>
    <t>Development</t>
  </si>
  <si>
    <t>Engineering &amp; Mgmt</t>
  </si>
  <si>
    <t>Substructure &amp; foundation</t>
  </si>
  <si>
    <t>Port &amp; staging,logistics,transport</t>
  </si>
  <si>
    <t>electrical infrastructure</t>
  </si>
  <si>
    <t>Assembly &amp; installation</t>
  </si>
  <si>
    <t>Lease price</t>
  </si>
  <si>
    <t>Soft Costs</t>
  </si>
  <si>
    <t>Insurance during construction</t>
  </si>
  <si>
    <t>Decommissioning bond</t>
  </si>
  <si>
    <t>construction financing</t>
  </si>
  <si>
    <t>contingency</t>
  </si>
  <si>
    <t>Plant commissioning</t>
  </si>
  <si>
    <t>Total CAPEX</t>
  </si>
  <si>
    <r>
      <rPr>
        <b/>
        <sz val="22"/>
        <color theme="1"/>
        <rFont val="Calibri"/>
        <family val="2"/>
      </rPr>
      <t>↓</t>
    </r>
    <r>
      <rPr>
        <b/>
        <sz val="22"/>
        <color theme="1"/>
        <rFont val="Calibri"/>
        <family val="2"/>
        <scheme val="minor"/>
      </rPr>
      <t xml:space="preserve"> COST CURVE </t>
    </r>
    <r>
      <rPr>
        <b/>
        <sz val="22"/>
        <color theme="1"/>
        <rFont val="Calibri"/>
        <family val="2"/>
      </rPr>
      <t>↓</t>
    </r>
  </si>
  <si>
    <t>2022 NREL ATB, Moderate Class 8</t>
  </si>
  <si>
    <t>% change on year</t>
  </si>
  <si>
    <t>After PSE Adjustments</t>
  </si>
  <si>
    <t>Turbine capital cost</t>
  </si>
  <si>
    <t>Rotor module</t>
  </si>
  <si>
    <t>Nacelle module</t>
  </si>
  <si>
    <t>Tower module</t>
  </si>
  <si>
    <t>total</t>
  </si>
  <si>
    <t>Dev cost</t>
  </si>
  <si>
    <t>Foundation</t>
  </si>
  <si>
    <t>Site access &amp; staging</t>
  </si>
  <si>
    <t>Total</t>
  </si>
  <si>
    <t>financial costs</t>
  </si>
  <si>
    <t>Construction financing</t>
  </si>
  <si>
    <t>Contingency fund</t>
  </si>
  <si>
    <t>2022 NREL ATB, Class 4</t>
  </si>
  <si>
    <t>adder</t>
  </si>
  <si>
    <t>Module component</t>
  </si>
  <si>
    <t>Cost in $, rough</t>
  </si>
  <si>
    <t>Module</t>
  </si>
  <si>
    <t>Inverter</t>
  </si>
  <si>
    <t>Structural BOS</t>
  </si>
  <si>
    <t>Electrical BOS</t>
  </si>
  <si>
    <t>Total BOS</t>
  </si>
  <si>
    <t>Install labor &amp; equipment</t>
  </si>
  <si>
    <t>EPC overhead</t>
  </si>
  <si>
    <t>Sales tax</t>
  </si>
  <si>
    <t>Total EPC</t>
  </si>
  <si>
    <t>Land</t>
  </si>
  <si>
    <t>Permitting fee</t>
  </si>
  <si>
    <t>Interconnection fee</t>
  </si>
  <si>
    <t>Transmission line</t>
  </si>
  <si>
    <t>Developer overhead</t>
  </si>
  <si>
    <t>Contingency</t>
  </si>
  <si>
    <t>EPC/developer profit</t>
  </si>
  <si>
    <t>Developer cost</t>
  </si>
  <si>
    <t>2022 NREL ATB Listing</t>
  </si>
  <si>
    <t>PV modules</t>
  </si>
  <si>
    <t>Lithium-ion battery</t>
  </si>
  <si>
    <t>PV inverter</t>
  </si>
  <si>
    <t>Battery inverter</t>
  </si>
  <si>
    <t>Supply chain costs</t>
  </si>
  <si>
    <t>Installed Labor &amp; equipment</t>
  </si>
  <si>
    <t>Permitting, inspection, interconnection</t>
  </si>
  <si>
    <t>Sales &amp; Marketing</t>
  </si>
  <si>
    <t>Net profit</t>
  </si>
  <si>
    <t>PSE Adjustment 1: Add 5 Mile Spur Line</t>
  </si>
  <si>
    <t>Cost component</t>
  </si>
  <si>
    <t>$</t>
  </si>
  <si>
    <t>civil/structural/architectural</t>
  </si>
  <si>
    <t>Mechanical</t>
  </si>
  <si>
    <t>Electrical</t>
  </si>
  <si>
    <t>Project indirects</t>
  </si>
  <si>
    <t>EPC fee</t>
  </si>
  <si>
    <t>EPC subtotal</t>
  </si>
  <si>
    <t>Owners costs</t>
  </si>
  <si>
    <t>Owner's services</t>
  </si>
  <si>
    <t>Electrical Interconnection*</t>
  </si>
  <si>
    <t>Owners cost subtotal</t>
  </si>
  <si>
    <t>2022 NREL ATB Listing ($/kW)</t>
  </si>
  <si>
    <t>After PSE Adjustments ($/kW)</t>
  </si>
  <si>
    <t>Mongrid et al. 2020 (PNNL)</t>
  </si>
  <si>
    <t>Hours</t>
  </si>
  <si>
    <t>Upper + lower reservoir</t>
  </si>
  <si>
    <t>Tunnels</t>
  </si>
  <si>
    <t>Powerhouse excavation</t>
  </si>
  <si>
    <t>Powerhouse structure, equip. BOP</t>
  </si>
  <si>
    <t>Total direct costs</t>
  </si>
  <si>
    <t>EPC management services inc. contingency</t>
  </si>
  <si>
    <t>Owner's cost</t>
  </si>
  <si>
    <t>Proj mgmt &amp; design engineering</t>
  </si>
  <si>
    <t>Construction mgmt &amp; startup support</t>
  </si>
  <si>
    <t>Total indirect cost</t>
  </si>
  <si>
    <t>Total installed cost</t>
  </si>
  <si>
    <t>Source material, 2 hr</t>
  </si>
  <si>
    <t>Source material, 4 hr</t>
  </si>
  <si>
    <t>Source material, 6 hr</t>
  </si>
  <si>
    <t>PSE Adjustment 1: Overbuild Storage Block</t>
  </si>
  <si>
    <t>PSE Adjustment 2: add Spur line</t>
  </si>
  <si>
    <t>PSE Adjustment 2 Total</t>
  </si>
  <si>
    <t>Duration (Hours)</t>
  </si>
  <si>
    <t>Lithium Ion Batteries</t>
  </si>
  <si>
    <t>Duration</t>
  </si>
  <si>
    <t>Module Component</t>
  </si>
  <si>
    <t>Multiplier</t>
  </si>
  <si>
    <t>Storage Block</t>
  </si>
  <si>
    <t>Storage balance of system</t>
  </si>
  <si>
    <t>Power Equipment</t>
  </si>
  <si>
    <t>Controls &amp; communication</t>
  </si>
  <si>
    <t>System integration</t>
  </si>
  <si>
    <t>Eng., procurement, construction</t>
  </si>
  <si>
    <t>Project Dev</t>
  </si>
  <si>
    <t>Grid integration</t>
  </si>
  <si>
    <t>Total ESS intalled cost</t>
  </si>
  <si>
    <r>
      <rPr>
        <b/>
        <sz val="22"/>
        <color theme="1"/>
        <rFont val="Calibri"/>
        <family val="2"/>
      </rPr>
      <t>↓</t>
    </r>
    <r>
      <rPr>
        <b/>
        <sz val="22"/>
        <color theme="1"/>
        <rFont val="Calibri"/>
        <family val="2"/>
        <scheme val="minor"/>
      </rPr>
      <t xml:space="preserve"> COST CURVES </t>
    </r>
    <r>
      <rPr>
        <b/>
        <sz val="22"/>
        <color theme="1"/>
        <rFont val="Calibri"/>
        <family val="2"/>
      </rPr>
      <t>↓</t>
    </r>
  </si>
  <si>
    <t>2hr LI</t>
  </si>
  <si>
    <t>NREL ATB Listing</t>
  </si>
  <si>
    <t>4hr LI</t>
  </si>
  <si>
    <t>6hr LI</t>
  </si>
  <si>
    <t>5 kW, 14.5 kWh</t>
  </si>
  <si>
    <t>Lithium Ion Battery</t>
  </si>
  <si>
    <t>Battery Inverter</t>
  </si>
  <si>
    <t>Suuply Chain Costs</t>
  </si>
  <si>
    <t>Sales Tax</t>
  </si>
  <si>
    <t>Install Labor and Equipment</t>
  </si>
  <si>
    <t>Permitting, Inspection, Interconnection</t>
  </si>
  <si>
    <t>Overhead</t>
  </si>
  <si>
    <t>Sales and Marketing</t>
  </si>
  <si>
    <t>Net Profit</t>
  </si>
  <si>
    <t xml:space="preserve">TOTAL </t>
  </si>
  <si>
    <t>Solar + Battery</t>
  </si>
  <si>
    <t>Benefit</t>
  </si>
  <si>
    <t>Wind + Battery</t>
  </si>
  <si>
    <t>Wind + Solar + Battery</t>
  </si>
  <si>
    <t xml:space="preserve">Rationale for Hybrid Discount Assumptions: </t>
  </si>
  <si>
    <t xml:space="preserve">Source: </t>
  </si>
  <si>
    <t>\\spestfile01v01\REACQ\ResourcePlanning\2023 IRP\Generic Resource Costs\Hybrid_Resources\Hybrid_resource_discount_factor.xlsx</t>
  </si>
  <si>
    <t>Battery Components</t>
  </si>
  <si>
    <t>PSE Adjusted Cost, $/kW</t>
  </si>
  <si>
    <t>Savings, %</t>
  </si>
  <si>
    <t>Hybrid Cost, $/kW</t>
  </si>
  <si>
    <t>Based on savings from Solar + Strorage for AC-Coupled System</t>
  </si>
  <si>
    <t xml:space="preserve">Discounts applied on a component-by-component basis on the following schedule: </t>
  </si>
  <si>
    <t xml:space="preserve">Component costs varied resource to resource, used best judgement in applying discount factors. </t>
  </si>
  <si>
    <t>Component</t>
  </si>
  <si>
    <t>Discount Factor</t>
  </si>
  <si>
    <t>Related Items</t>
  </si>
  <si>
    <t>Equipment</t>
  </si>
  <si>
    <t>power plant equipment</t>
  </si>
  <si>
    <t>controls, BOS/BOP, Buildings</t>
  </si>
  <si>
    <t>Installation</t>
  </si>
  <si>
    <t>Installation, Labor, Engineering, Management</t>
  </si>
  <si>
    <t>Grid Connection Costs (2 projects)</t>
  </si>
  <si>
    <t>Interconnection, permits, fees, spur line</t>
  </si>
  <si>
    <t>Grid Connection Costs (3 projects)</t>
  </si>
  <si>
    <t>Owner's Costs</t>
  </si>
  <si>
    <t>Financing, Development, Contingency</t>
  </si>
  <si>
    <t>Solar Components</t>
  </si>
  <si>
    <t>Wind Components</t>
  </si>
  <si>
    <t>WA Solar + Battery/WA Wind + Battery</t>
  </si>
  <si>
    <t>Solar - NREL ATB</t>
  </si>
  <si>
    <t>Solar - % change on year</t>
  </si>
  <si>
    <t>Solar - PSE</t>
  </si>
  <si>
    <t>Battery - NREL ATB</t>
  </si>
  <si>
    <t>Battery - % change on year</t>
  </si>
  <si>
    <t>Battery - PSE</t>
  </si>
  <si>
    <t>WA Wind - NREL ATB</t>
  </si>
  <si>
    <t>WA Wind - % change on year</t>
  </si>
  <si>
    <t>WA Wind - PSE</t>
  </si>
  <si>
    <t>100 MW WA Solar + 50 MW Battery</t>
  </si>
  <si>
    <t>100 MW WA Wind + 50 MW Battery</t>
  </si>
  <si>
    <t>O&amp;M Scratch</t>
  </si>
  <si>
    <t>WA Solar + Wind + Battery</t>
  </si>
  <si>
    <t>100 MW WA Wind + 100 MW WA/OR Solar + 50 MW Battery</t>
  </si>
  <si>
    <t>PSE Adjustment 1: Add Fuel Storage Tank</t>
  </si>
  <si>
    <t>PSE Adjustment 2: Add Spur Line</t>
  </si>
  <si>
    <t>Cost Components</t>
  </si>
  <si>
    <t>$, thousands</t>
  </si>
  <si>
    <t>Civil/structural/architectural subtotal</t>
  </si>
  <si>
    <t>Mech. Major equipment</t>
  </si>
  <si>
    <t>Mech. BOP</t>
  </si>
  <si>
    <t>add fuel oil (distillate or biodiesel) storage tank, assumed $15,000,000 for 24hrs of capacit</t>
  </si>
  <si>
    <t>Mechanical subtotal</t>
  </si>
  <si>
    <t>Electrical subtotal</t>
  </si>
  <si>
    <t>Electrical Interconnection</t>
  </si>
  <si>
    <t>Gas interconnection</t>
  </si>
  <si>
    <t>Owner's cost subtotal</t>
  </si>
  <si>
    <t>Project contingency</t>
  </si>
  <si>
    <t>Description</t>
  </si>
  <si>
    <t>Feedwater &amp; Misc. BOP Systems</t>
  </si>
  <si>
    <t>CT &amp; Accessories</t>
  </si>
  <si>
    <t>HRSG, Ductwork &amp; Stack</t>
  </si>
  <si>
    <t>Steam Turbine &amp; Accessories</t>
  </si>
  <si>
    <t>Cooling Water System</t>
  </si>
  <si>
    <t>Accessory Electric Plant</t>
  </si>
  <si>
    <t>Instrumentation &amp; Control</t>
  </si>
  <si>
    <t>Improvements to Site</t>
  </si>
  <si>
    <t>Building &amp; Structure</t>
  </si>
  <si>
    <t>Owners Cost</t>
  </si>
  <si>
    <t>Pre-Production Costs</t>
  </si>
  <si>
    <t>Inventory Capital</t>
  </si>
  <si>
    <t>Initial Cost for Catalyst &amp; Chemicals</t>
  </si>
  <si>
    <t>Other Owner's Costs</t>
  </si>
  <si>
    <t>Financing Costs</t>
  </si>
  <si>
    <t>Total Overnight Costs</t>
  </si>
  <si>
    <t>TASC Multiplier (IOU, 33 year)</t>
  </si>
  <si>
    <t>Total As-Spent Cost</t>
  </si>
  <si>
    <t xml:space="preserve"> </t>
  </si>
  <si>
    <t>scale to 2021 NREL 2019 vintage, 2019 $</t>
  </si>
  <si>
    <t>PSE Adjustment 1: escalate to 2020 $</t>
  </si>
  <si>
    <t>2022 EIA AEO (MW)</t>
  </si>
  <si>
    <t>Engines</t>
  </si>
  <si>
    <t>Mechanical BOP</t>
  </si>
  <si>
    <t>Owner's fuirnished equipment</t>
  </si>
  <si>
    <t>2022 EIA AEO</t>
  </si>
  <si>
    <t>Nuclear island</t>
  </si>
  <si>
    <t>Conventional island</t>
  </si>
  <si>
    <t>Balance of Plant</t>
  </si>
  <si>
    <t>Not enough information available to generate reliable cost curve at present</t>
  </si>
  <si>
    <t>2022 NREL ATB</t>
  </si>
  <si>
    <t xml:space="preserve">Average Annual Inflation: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</si>
</sst>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0%"/>
    <numFmt numFmtId="165" formatCode="0.0000"/>
    <numFmt numFmtId="166" formatCode="_(* #,##0_);_(* \(#,##0\);_(* &quot;-&quot;??_);_(@_)"/>
    <numFmt numFmtId="167" formatCode="_(* #,##0.0_);_(* \(#,##0.0\);_(* &quot;-&quot;??_);_(@_)"/>
    <numFmt numFmtId="168" formatCode="0.0"/>
    <numFmt numFmtId="169" formatCode="&quot;$&quot;#,##0.00"/>
    <numFmt numFmtId="170" formatCode="&quot;$&quot;#,##0"/>
  </numFmts>
  <fonts count="25">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22"/>
      <color theme="1"/>
      <name val="Calibri"/>
      <family val="2"/>
      <scheme val="minor"/>
    </font>
    <font>
      <b/>
      <sz val="22"/>
      <color theme="1"/>
      <name val="Calibri"/>
      <family val="2"/>
    </font>
    <font>
      <sz val="16"/>
      <color theme="1"/>
      <name val="Calibri"/>
      <family val="2"/>
      <scheme val="minor"/>
    </font>
    <font>
      <sz val="22"/>
      <color theme="1"/>
      <name val="Calibri"/>
      <family val="2"/>
      <scheme val="minor"/>
    </font>
    <font>
      <b/>
      <sz val="18"/>
      <color theme="1"/>
      <name val="Calibri"/>
      <family val="2"/>
      <scheme val="minor"/>
    </font>
    <font>
      <sz val="11"/>
      <name val="Calibri"/>
      <family val="2"/>
      <scheme val="minor"/>
    </font>
    <font>
      <sz val="10"/>
      <color theme="1"/>
      <name val="Calibri"/>
      <family val="2"/>
      <scheme val="minor"/>
    </font>
    <font>
      <vertAlign val="superscript"/>
      <sz val="11"/>
      <name val="Calibri"/>
      <family val="2"/>
      <scheme val="minor"/>
    </font>
    <font>
      <sz val="9"/>
      <color theme="1"/>
      <name val="Calibri"/>
      <family val="2"/>
      <scheme val="minor"/>
    </font>
    <font>
      <sz val="9"/>
      <name val="Calibri"/>
      <family val="2"/>
      <scheme val="minor"/>
    </font>
    <font>
      <b/>
      <vertAlign val="superscript"/>
      <sz val="11"/>
      <color theme="1"/>
      <name val="Calibri"/>
      <family val="2"/>
      <scheme val="minor"/>
    </font>
    <font>
      <sz val="14"/>
      <color theme="1"/>
      <name val="Calibri"/>
      <family val="2"/>
      <scheme val="minor"/>
    </font>
    <font>
      <sz val="10"/>
      <name val="Arial"/>
      <family val="2"/>
    </font>
    <font>
      <sz val="11"/>
      <color rgb="FFFF0000"/>
      <name val="Calibri"/>
      <family val="2"/>
      <scheme val="minor"/>
    </font>
    <font>
      <sz val="9"/>
      <color indexed="81"/>
      <name val="Tahoma"/>
      <family val="2"/>
    </font>
    <font>
      <b/>
      <sz val="9"/>
      <color indexed="81"/>
      <name val="Tahoma"/>
      <family val="2"/>
    </font>
    <font>
      <sz val="11"/>
      <color theme="1"/>
      <name val="Calibri"/>
      <family val="2"/>
    </font>
    <font>
      <b/>
      <sz val="11"/>
      <color rgb="FF000000"/>
      <name val="Calibri"/>
      <family val="2"/>
    </font>
    <font>
      <b/>
      <sz val="11"/>
      <color rgb="FFFF0000"/>
      <name val="Calibri"/>
      <family val="2"/>
      <scheme val="minor"/>
    </font>
    <font>
      <b/>
      <sz val="11"/>
      <name val="Calibri"/>
      <family val="2"/>
      <scheme val="minor"/>
    </font>
    <font>
      <b/>
      <vertAlign val="superscript"/>
      <sz val="11"/>
      <name val="Calibri"/>
      <family val="2"/>
      <scheme val="minor"/>
    </font>
  </fonts>
  <fills count="9">
    <fill>
      <patternFill patternType="none"/>
    </fill>
    <fill>
      <patternFill patternType="gray125"/>
    </fill>
    <fill>
      <patternFill patternType="solid">
        <fgColor theme="6" tint="0.59999389629810485"/>
        <bgColor indexed="65"/>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4" fontId="1" fillId="0" borderId="0" applyFont="0" applyFill="0" applyBorder="0" applyAlignment="0" applyProtection="0"/>
    <xf numFmtId="0" fontId="1" fillId="0" borderId="0"/>
    <xf numFmtId="0" fontId="16" fillId="0" borderId="0"/>
    <xf numFmtId="44" fontId="16" fillId="0" borderId="0" applyFont="0" applyFill="0" applyBorder="0" applyAlignment="0" applyProtection="0"/>
  </cellStyleXfs>
  <cellXfs count="235">
    <xf numFmtId="0" fontId="0" fillId="0" borderId="0" xfId="0"/>
    <xf numFmtId="0" fontId="0" fillId="0" borderId="2" xfId="0" applyBorder="1"/>
    <xf numFmtId="0" fontId="0" fillId="0" borderId="2" xfId="0" applyBorder="1" applyAlignment="1">
      <alignment horizontal="left" indent="2"/>
    </xf>
    <xf numFmtId="0" fontId="0" fillId="0" borderId="3" xfId="0" applyBorder="1"/>
    <xf numFmtId="0" fontId="0" fillId="0" borderId="0" xfId="0" applyAlignment="1">
      <alignment horizontal="center"/>
    </xf>
    <xf numFmtId="0" fontId="0" fillId="0" borderId="5" xfId="0" applyBorder="1"/>
    <xf numFmtId="0" fontId="0" fillId="0" borderId="0" xfId="0" applyAlignment="1">
      <alignment wrapText="1"/>
    </xf>
    <xf numFmtId="164" fontId="0" fillId="0" borderId="0" xfId="2" applyNumberFormat="1" applyFont="1"/>
    <xf numFmtId="2" fontId="0" fillId="0" borderId="0" xfId="0" applyNumberFormat="1"/>
    <xf numFmtId="0" fontId="0" fillId="0" borderId="5" xfId="0" applyBorder="1" applyAlignment="1">
      <alignment horizontal="center"/>
    </xf>
    <xf numFmtId="0" fontId="0" fillId="0" borderId="6" xfId="0" applyBorder="1"/>
    <xf numFmtId="0" fontId="0" fillId="0" borderId="7" xfId="0" applyBorder="1"/>
    <xf numFmtId="0" fontId="0" fillId="0" borderId="3" xfId="0" applyBorder="1" applyAlignment="1">
      <alignment horizontal="left" indent="2"/>
    </xf>
    <xf numFmtId="3" fontId="0" fillId="0" borderId="5" xfId="0" applyNumberFormat="1" applyBorder="1"/>
    <xf numFmtId="165" fontId="0" fillId="0" borderId="0" xfId="0" applyNumberFormat="1"/>
    <xf numFmtId="0" fontId="0" fillId="0" borderId="0" xfId="0" quotePrefix="1"/>
    <xf numFmtId="0" fontId="0" fillId="0" borderId="0" xfId="0" quotePrefix="1" applyAlignment="1">
      <alignment horizontal="right"/>
    </xf>
    <xf numFmtId="0" fontId="2" fillId="0" borderId="0" xfId="0" applyFont="1" applyAlignment="1">
      <alignment wrapText="1"/>
    </xf>
    <xf numFmtId="0" fontId="2" fillId="0" borderId="0" xfId="0" applyFont="1"/>
    <xf numFmtId="2" fontId="2" fillId="0" borderId="0" xfId="0" applyNumberFormat="1" applyFont="1"/>
    <xf numFmtId="166" fontId="0" fillId="0" borderId="9" xfId="1" applyNumberFormat="1" applyFont="1" applyBorder="1"/>
    <xf numFmtId="0" fontId="0" fillId="0" borderId="1" xfId="0" applyBorder="1"/>
    <xf numFmtId="43" fontId="0" fillId="0" borderId="0" xfId="1" applyFont="1"/>
    <xf numFmtId="166" fontId="0" fillId="0" borderId="0" xfId="1" applyNumberFormat="1" applyFont="1"/>
    <xf numFmtId="0" fontId="3" fillId="0" borderId="2" xfId="0" applyFont="1" applyBorder="1"/>
    <xf numFmtId="0" fontId="0" fillId="0" borderId="0" xfId="0" applyAlignment="1">
      <alignment vertical="top" wrapText="1"/>
    </xf>
    <xf numFmtId="0" fontId="2" fillId="0" borderId="0" xfId="0" applyFont="1" applyAlignment="1">
      <alignment vertical="top" wrapText="1"/>
    </xf>
    <xf numFmtId="0" fontId="2" fillId="0" borderId="5" xfId="0" applyFont="1" applyBorder="1"/>
    <xf numFmtId="166" fontId="0" fillId="0" borderId="5" xfId="1" applyNumberFormat="1" applyFont="1" applyBorder="1"/>
    <xf numFmtId="166" fontId="0" fillId="4" borderId="0" xfId="1" applyNumberFormat="1" applyFont="1" applyFill="1"/>
    <xf numFmtId="166" fontId="0" fillId="0" borderId="0" xfId="1" applyNumberFormat="1" applyFont="1" applyFill="1" applyBorder="1"/>
    <xf numFmtId="43" fontId="0" fillId="0" borderId="0" xfId="1" applyFont="1" applyFill="1" applyBorder="1"/>
    <xf numFmtId="166" fontId="3" fillId="0" borderId="0" xfId="1" applyNumberFormat="1" applyFont="1" applyFill="1" applyBorder="1"/>
    <xf numFmtId="166" fontId="0" fillId="0" borderId="5" xfId="1" applyNumberFormat="1" applyFont="1" applyFill="1" applyBorder="1"/>
    <xf numFmtId="0" fontId="0" fillId="4" borderId="0" xfId="0" applyFill="1"/>
    <xf numFmtId="2" fontId="0" fillId="4" borderId="0" xfId="0" applyNumberFormat="1" applyFill="1"/>
    <xf numFmtId="166" fontId="0" fillId="0" borderId="0" xfId="1" applyNumberFormat="1" applyFont="1" applyFill="1"/>
    <xf numFmtId="0" fontId="0" fillId="5" borderId="0" xfId="0" applyFill="1"/>
    <xf numFmtId="166" fontId="0" fillId="0" borderId="9" xfId="1" applyNumberFormat="1" applyFont="1" applyFill="1" applyBorder="1"/>
    <xf numFmtId="166" fontId="0" fillId="0" borderId="8" xfId="1" applyNumberFormat="1" applyFont="1" applyFill="1" applyBorder="1"/>
    <xf numFmtId="164" fontId="0" fillId="3" borderId="0" xfId="2" applyNumberFormat="1" applyFont="1" applyFill="1"/>
    <xf numFmtId="0" fontId="0" fillId="3" borderId="0" xfId="0" quotePrefix="1" applyFill="1" applyAlignment="1">
      <alignment horizontal="right"/>
    </xf>
    <xf numFmtId="2" fontId="0" fillId="3" borderId="0" xfId="0" applyNumberFormat="1" applyFill="1"/>
    <xf numFmtId="0" fontId="2" fillId="0" borderId="0" xfId="0" applyFont="1" applyAlignment="1">
      <alignment horizontal="center"/>
    </xf>
    <xf numFmtId="0" fontId="0" fillId="4" borderId="0" xfId="0" applyFill="1" applyAlignment="1">
      <alignment wrapText="1"/>
    </xf>
    <xf numFmtId="0" fontId="0" fillId="4" borderId="0" xfId="0" applyFill="1" applyAlignment="1">
      <alignment horizontal="center"/>
    </xf>
    <xf numFmtId="0" fontId="0" fillId="3" borderId="0" xfId="0" applyFill="1" applyAlignment="1">
      <alignment wrapText="1"/>
    </xf>
    <xf numFmtId="0" fontId="0" fillId="3" borderId="0" xfId="0" applyFill="1"/>
    <xf numFmtId="164" fontId="0" fillId="0" borderId="5" xfId="2" applyNumberFormat="1" applyFont="1" applyBorder="1"/>
    <xf numFmtId="164" fontId="0" fillId="3" borderId="5" xfId="2" applyNumberFormat="1" applyFont="1" applyFill="1" applyBorder="1"/>
    <xf numFmtId="2" fontId="0" fillId="4" borderId="5" xfId="0" applyNumberFormat="1" applyFill="1" applyBorder="1"/>
    <xf numFmtId="0" fontId="0" fillId="3" borderId="5" xfId="0" quotePrefix="1" applyFill="1" applyBorder="1" applyAlignment="1">
      <alignment horizontal="right"/>
    </xf>
    <xf numFmtId="0" fontId="0" fillId="3" borderId="0" xfId="0" applyFill="1" applyAlignment="1">
      <alignment horizontal="center"/>
    </xf>
    <xf numFmtId="166" fontId="0" fillId="3" borderId="0" xfId="1" applyNumberFormat="1" applyFont="1" applyFill="1"/>
    <xf numFmtId="0" fontId="0" fillId="3" borderId="0" xfId="0" applyFill="1" applyAlignment="1">
      <alignment vertical="top" wrapText="1"/>
    </xf>
    <xf numFmtId="2" fontId="0" fillId="3" borderId="0" xfId="0" applyNumberFormat="1" applyFill="1" applyAlignment="1">
      <alignment horizontal="right"/>
    </xf>
    <xf numFmtId="43" fontId="0" fillId="4" borderId="0" xfId="0" applyNumberFormat="1" applyFill="1"/>
    <xf numFmtId="0" fontId="0" fillId="4" borderId="0" xfId="0" applyFill="1" applyAlignment="1">
      <alignment vertical="top" wrapText="1"/>
    </xf>
    <xf numFmtId="166" fontId="0" fillId="4" borderId="0" xfId="0" applyNumberFormat="1" applyFill="1"/>
    <xf numFmtId="9" fontId="0" fillId="3" borderId="0" xfId="2" applyFont="1" applyFill="1"/>
    <xf numFmtId="0" fontId="0" fillId="3" borderId="0" xfId="0" quotePrefix="1" applyFill="1"/>
    <xf numFmtId="0" fontId="0" fillId="3" borderId="5" xfId="0" applyFill="1" applyBorder="1"/>
    <xf numFmtId="164" fontId="0" fillId="0" borderId="0" xfId="2" applyNumberFormat="1" applyFont="1" applyBorder="1"/>
    <xf numFmtId="2" fontId="0" fillId="0" borderId="5" xfId="0" applyNumberFormat="1" applyBorder="1"/>
    <xf numFmtId="0" fontId="0" fillId="3" borderId="5" xfId="0" quotePrefix="1" applyFill="1" applyBorder="1"/>
    <xf numFmtId="2" fontId="2" fillId="0" borderId="5" xfId="0" applyNumberFormat="1" applyFont="1" applyBorder="1"/>
    <xf numFmtId="0" fontId="0" fillId="0" borderId="4" xfId="0" applyBorder="1"/>
    <xf numFmtId="164" fontId="0" fillId="0" borderId="4" xfId="2" applyNumberFormat="1" applyFont="1" applyBorder="1"/>
    <xf numFmtId="0" fontId="0" fillId="4" borderId="5" xfId="0" applyFill="1" applyBorder="1" applyAlignment="1">
      <alignment horizontal="center"/>
    </xf>
    <xf numFmtId="0" fontId="2" fillId="0" borderId="5" xfId="0" applyFont="1" applyBorder="1" applyAlignment="1">
      <alignment horizontal="center"/>
    </xf>
    <xf numFmtId="2" fontId="0" fillId="3" borderId="5" xfId="0" applyNumberFormat="1" applyFill="1" applyBorder="1"/>
    <xf numFmtId="0" fontId="0" fillId="3" borderId="5" xfId="0" applyFill="1" applyBorder="1" applyAlignment="1">
      <alignment horizontal="center"/>
    </xf>
    <xf numFmtId="43" fontId="0" fillId="4" borderId="5" xfId="0" applyNumberFormat="1" applyFill="1" applyBorder="1"/>
    <xf numFmtId="0" fontId="0" fillId="3" borderId="4" xfId="0" quotePrefix="1" applyFill="1" applyBorder="1" applyAlignment="1">
      <alignment horizontal="right"/>
    </xf>
    <xf numFmtId="0" fontId="0" fillId="4" borderId="5" xfId="0" applyFill="1" applyBorder="1"/>
    <xf numFmtId="166" fontId="0" fillId="0" borderId="4" xfId="1" applyNumberFormat="1" applyFont="1" applyFill="1" applyBorder="1"/>
    <xf numFmtId="0" fontId="0" fillId="0" borderId="10" xfId="0" applyBorder="1"/>
    <xf numFmtId="167" fontId="0" fillId="0" borderId="8" xfId="1" applyNumberFormat="1" applyFont="1" applyBorder="1"/>
    <xf numFmtId="167" fontId="0" fillId="0" borderId="9" xfId="0" applyNumberFormat="1" applyBorder="1"/>
    <xf numFmtId="167" fontId="0" fillId="0" borderId="8" xfId="1" applyNumberFormat="1" applyFont="1" applyFill="1" applyBorder="1"/>
    <xf numFmtId="0" fontId="6" fillId="0" borderId="0" xfId="0" applyFont="1"/>
    <xf numFmtId="0" fontId="4" fillId="0" borderId="0" xfId="0" applyFont="1" applyAlignment="1">
      <alignment wrapText="1"/>
    </xf>
    <xf numFmtId="43" fontId="0" fillId="0" borderId="5" xfId="1" applyFont="1" applyBorder="1"/>
    <xf numFmtId="43" fontId="0" fillId="4" borderId="5" xfId="1" applyFont="1" applyFill="1" applyBorder="1"/>
    <xf numFmtId="43" fontId="0" fillId="4" borderId="0" xfId="1" applyFont="1" applyFill="1"/>
    <xf numFmtId="43" fontId="2" fillId="0" borderId="5" xfId="1" applyFont="1" applyBorder="1"/>
    <xf numFmtId="43" fontId="2" fillId="0" borderId="0" xfId="1" applyFont="1"/>
    <xf numFmtId="166" fontId="0" fillId="0" borderId="0" xfId="1" applyNumberFormat="1" applyFont="1" applyBorder="1"/>
    <xf numFmtId="43" fontId="0" fillId="4" borderId="0" xfId="1" applyFont="1" applyFill="1" applyBorder="1"/>
    <xf numFmtId="43" fontId="0" fillId="4" borderId="4" xfId="1" applyFont="1" applyFill="1" applyBorder="1"/>
    <xf numFmtId="43" fontId="2" fillId="0" borderId="4" xfId="1" applyFont="1" applyBorder="1"/>
    <xf numFmtId="166" fontId="0" fillId="0" borderId="4" xfId="0" applyNumberFormat="1" applyBorder="1"/>
    <xf numFmtId="166" fontId="0" fillId="4" borderId="5" xfId="0" applyNumberFormat="1" applyFill="1" applyBorder="1"/>
    <xf numFmtId="10" fontId="0" fillId="0" borderId="0" xfId="0" applyNumberFormat="1"/>
    <xf numFmtId="168" fontId="0" fillId="3" borderId="0" xfId="0" applyNumberFormat="1" applyFill="1" applyAlignment="1">
      <alignment horizontal="right"/>
    </xf>
    <xf numFmtId="43" fontId="0" fillId="0" borderId="0" xfId="0" applyNumberFormat="1"/>
    <xf numFmtId="0" fontId="0" fillId="3" borderId="0" xfId="2" applyNumberFormat="1" applyFont="1" applyFill="1"/>
    <xf numFmtId="0" fontId="0" fillId="3" borderId="5" xfId="2" applyNumberFormat="1" applyFont="1" applyFill="1" applyBorder="1"/>
    <xf numFmtId="0" fontId="0" fillId="3" borderId="4" xfId="2" applyNumberFormat="1" applyFont="1" applyFill="1" applyBorder="1"/>
    <xf numFmtId="0" fontId="4" fillId="6" borderId="0" xfId="0" applyFont="1" applyFill="1" applyAlignment="1">
      <alignment wrapText="1"/>
    </xf>
    <xf numFmtId="0" fontId="0" fillId="6" borderId="0" xfId="0" applyFill="1"/>
    <xf numFmtId="0" fontId="1" fillId="6" borderId="0" xfId="3" applyFill="1"/>
    <xf numFmtId="0" fontId="0" fillId="6" borderId="0" xfId="0" applyFill="1" applyAlignment="1">
      <alignment vertical="top" wrapText="1"/>
    </xf>
    <xf numFmtId="0" fontId="0" fillId="6" borderId="0" xfId="0" applyFill="1" applyAlignment="1">
      <alignment vertical="top"/>
    </xf>
    <xf numFmtId="0" fontId="2" fillId="7" borderId="0" xfId="3" applyFont="1" applyFill="1"/>
    <xf numFmtId="0" fontId="1" fillId="7" borderId="0" xfId="3" applyFill="1"/>
    <xf numFmtId="0" fontId="2" fillId="7" borderId="0" xfId="0" applyFont="1" applyFill="1"/>
    <xf numFmtId="0" fontId="0" fillId="7" borderId="0" xfId="0" applyFill="1"/>
    <xf numFmtId="0" fontId="0" fillId="7" borderId="0" xfId="0" applyFill="1" applyAlignment="1">
      <alignment wrapText="1"/>
    </xf>
    <xf numFmtId="0" fontId="2" fillId="4" borderId="0" xfId="0" applyFont="1" applyFill="1"/>
    <xf numFmtId="164" fontId="2" fillId="4" borderId="0" xfId="2" applyNumberFormat="1" applyFont="1" applyFill="1"/>
    <xf numFmtId="43" fontId="0" fillId="0" borderId="0" xfId="1" applyFont="1" applyAlignment="1">
      <alignment horizontal="right"/>
    </xf>
    <xf numFmtId="0" fontId="2" fillId="0" borderId="0" xfId="0" applyFont="1" applyAlignment="1">
      <alignment horizontal="right"/>
    </xf>
    <xf numFmtId="166" fontId="0" fillId="4" borderId="5" xfId="1" applyNumberFormat="1" applyFont="1" applyFill="1" applyBorder="1"/>
    <xf numFmtId="2" fontId="0" fillId="0" borderId="4" xfId="0" applyNumberFormat="1" applyBorder="1"/>
    <xf numFmtId="2" fontId="0" fillId="3" borderId="0" xfId="0" quotePrefix="1" applyNumberFormat="1" applyFill="1" applyAlignment="1">
      <alignment horizontal="right"/>
    </xf>
    <xf numFmtId="1" fontId="0" fillId="3" borderId="0" xfId="0" applyNumberFormat="1" applyFill="1" applyAlignment="1">
      <alignment horizontal="right"/>
    </xf>
    <xf numFmtId="2" fontId="0" fillId="3" borderId="5" xfId="0" quotePrefix="1" applyNumberFormat="1" applyFill="1" applyBorder="1" applyAlignment="1">
      <alignment horizontal="right"/>
    </xf>
    <xf numFmtId="43" fontId="0" fillId="3" borderId="0" xfId="0" quotePrefix="1" applyNumberFormat="1" applyFill="1" applyAlignment="1">
      <alignment horizontal="right"/>
    </xf>
    <xf numFmtId="0" fontId="2" fillId="8" borderId="11"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12" xfId="0" applyFont="1" applyFill="1" applyBorder="1" applyAlignment="1">
      <alignment horizontal="center" vertical="center"/>
    </xf>
    <xf numFmtId="0" fontId="0" fillId="8" borderId="9" xfId="0" applyFill="1" applyBorder="1" applyAlignment="1">
      <alignment horizontal="center" vertical="center"/>
    </xf>
    <xf numFmtId="0" fontId="2" fillId="8" borderId="9" xfId="0" applyFont="1" applyFill="1" applyBorder="1" applyAlignment="1">
      <alignment horizontal="center" vertical="center"/>
    </xf>
    <xf numFmtId="0" fontId="9" fillId="0" borderId="15" xfId="0" applyFont="1" applyBorder="1" applyAlignment="1">
      <alignment horizontal="left" vertical="center" wrapText="1" readingOrder="1"/>
    </xf>
    <xf numFmtId="168" fontId="9" fillId="0" borderId="15" xfId="4" quotePrefix="1" applyNumberFormat="1" applyFont="1" applyFill="1" applyBorder="1" applyAlignment="1">
      <alignment horizontal="center" vertical="center" wrapText="1" readingOrder="1"/>
    </xf>
    <xf numFmtId="44" fontId="9" fillId="0" borderId="15" xfId="4" quotePrefix="1" applyFont="1" applyFill="1" applyBorder="1" applyAlignment="1">
      <alignment horizontal="left" vertical="center" wrapText="1" readingOrder="1"/>
    </xf>
    <xf numFmtId="1" fontId="9" fillId="0" borderId="15" xfId="4" quotePrefix="1" applyNumberFormat="1" applyFont="1" applyFill="1" applyBorder="1" applyAlignment="1">
      <alignment horizontal="center" vertical="center" wrapText="1" readingOrder="1"/>
    </xf>
    <xf numFmtId="168" fontId="9" fillId="0" borderId="15" xfId="4" applyNumberFormat="1" applyFont="1" applyFill="1" applyBorder="1" applyAlignment="1">
      <alignment horizontal="center" vertical="center" wrapText="1" readingOrder="1"/>
    </xf>
    <xf numFmtId="1" fontId="9" fillId="0" borderId="15" xfId="4" applyNumberFormat="1" applyFont="1" applyFill="1" applyBorder="1" applyAlignment="1">
      <alignment horizontal="center" vertical="center" wrapText="1" readingOrder="1"/>
    </xf>
    <xf numFmtId="168" fontId="9" fillId="0" borderId="15" xfId="4" quotePrefix="1" applyNumberFormat="1" applyFont="1" applyFill="1" applyBorder="1" applyAlignment="1">
      <alignment horizontal="left" vertical="center" wrapText="1" readingOrder="1"/>
    </xf>
    <xf numFmtId="1" fontId="9" fillId="0" borderId="15" xfId="4" quotePrefix="1" applyNumberFormat="1" applyFont="1" applyFill="1" applyBorder="1" applyAlignment="1">
      <alignment horizontal="right" vertical="center" wrapText="1" readingOrder="1"/>
    </xf>
    <xf numFmtId="44" fontId="9" fillId="0" borderId="15" xfId="4" applyFont="1" applyFill="1" applyBorder="1" applyAlignment="1">
      <alignment horizontal="left" vertical="center" wrapText="1" readingOrder="1"/>
    </xf>
    <xf numFmtId="0" fontId="12" fillId="0" borderId="0" xfId="0" applyFont="1"/>
    <xf numFmtId="0" fontId="12" fillId="0" borderId="0" xfId="0" applyFont="1" applyAlignment="1">
      <alignment horizontal="left" indent="2"/>
    </xf>
    <xf numFmtId="0" fontId="12" fillId="0" borderId="0" xfId="0" applyFont="1" applyAlignment="1">
      <alignment horizontal="left"/>
    </xf>
    <xf numFmtId="0" fontId="9" fillId="0" borderId="0" xfId="0" applyFont="1" applyAlignment="1">
      <alignment horizontal="left" vertical="center" wrapText="1" readingOrder="1"/>
    </xf>
    <xf numFmtId="0" fontId="0" fillId="0" borderId="15" xfId="0" applyBorder="1"/>
    <xf numFmtId="0" fontId="2" fillId="8" borderId="15" xfId="0" applyFont="1" applyFill="1" applyBorder="1" applyAlignment="1">
      <alignment horizontal="center" vertical="center"/>
    </xf>
    <xf numFmtId="0" fontId="13" fillId="0" borderId="12" xfId="0" applyFont="1" applyBorder="1" applyAlignment="1">
      <alignment horizontal="left" vertical="center" wrapText="1" readingOrder="1"/>
    </xf>
    <xf numFmtId="0" fontId="13" fillId="0" borderId="0" xfId="0" applyFont="1" applyAlignment="1">
      <alignment horizontal="left" vertical="center" readingOrder="1"/>
    </xf>
    <xf numFmtId="43" fontId="0" fillId="0" borderId="0" xfId="1" applyFont="1" applyFill="1" applyAlignment="1">
      <alignment horizontal="right"/>
    </xf>
    <xf numFmtId="43" fontId="0" fillId="0" borderId="0" xfId="0" applyNumberFormat="1" applyAlignment="1">
      <alignment horizontal="right"/>
    </xf>
    <xf numFmtId="2" fontId="0" fillId="0" borderId="0" xfId="0" quotePrefix="1" applyNumberFormat="1" applyAlignment="1">
      <alignment horizontal="right"/>
    </xf>
    <xf numFmtId="2" fontId="0" fillId="0" borderId="0" xfId="0" applyNumberFormat="1" applyAlignment="1">
      <alignment horizontal="right"/>
    </xf>
    <xf numFmtId="0" fontId="6" fillId="0" borderId="0" xfId="5" applyFont="1"/>
    <xf numFmtId="0" fontId="1" fillId="0" borderId="0" xfId="5"/>
    <xf numFmtId="0" fontId="10" fillId="0" borderId="0" xfId="5" applyFont="1"/>
    <xf numFmtId="0" fontId="15" fillId="0" borderId="0" xfId="5" applyFont="1"/>
    <xf numFmtId="0" fontId="1" fillId="0" borderId="0" xfId="5" quotePrefix="1"/>
    <xf numFmtId="0" fontId="2" fillId="8" borderId="11" xfId="5" applyFont="1" applyFill="1" applyBorder="1"/>
    <xf numFmtId="0" fontId="2" fillId="8" borderId="12" xfId="5" applyFont="1" applyFill="1" applyBorder="1"/>
    <xf numFmtId="0" fontId="1" fillId="8" borderId="13" xfId="5" applyFill="1" applyBorder="1"/>
    <xf numFmtId="0" fontId="9" fillId="0" borderId="15" xfId="5" applyFont="1" applyBorder="1" applyAlignment="1">
      <alignment horizontal="left" vertical="center" wrapText="1" readingOrder="1"/>
    </xf>
    <xf numFmtId="0" fontId="2" fillId="8" borderId="6" xfId="5" applyFont="1" applyFill="1" applyBorder="1" applyAlignment="1">
      <alignment horizontal="center"/>
    </xf>
    <xf numFmtId="0" fontId="2" fillId="8" borderId="3" xfId="5" applyFont="1" applyFill="1" applyBorder="1" applyAlignment="1">
      <alignment horizontal="center"/>
    </xf>
    <xf numFmtId="169" fontId="2" fillId="8" borderId="15" xfId="5" applyNumberFormat="1" applyFont="1" applyFill="1" applyBorder="1" applyAlignment="1">
      <alignment horizontal="center" wrapText="1"/>
    </xf>
    <xf numFmtId="169" fontId="1" fillId="0" borderId="15" xfId="5" applyNumberFormat="1" applyBorder="1" applyAlignment="1">
      <alignment horizontal="right"/>
    </xf>
    <xf numFmtId="169" fontId="2" fillId="8" borderId="16" xfId="5" applyNumberFormat="1" applyFont="1" applyFill="1" applyBorder="1" applyAlignment="1">
      <alignment horizontal="center" wrapText="1"/>
    </xf>
    <xf numFmtId="8" fontId="1" fillId="0" borderId="0" xfId="5" applyNumberFormat="1"/>
    <xf numFmtId="169" fontId="9" fillId="0" borderId="1" xfId="5" applyNumberFormat="1" applyFont="1" applyBorder="1" applyAlignment="1">
      <alignment horizontal="right" vertical="center" wrapText="1" readingOrder="1"/>
    </xf>
    <xf numFmtId="169" fontId="1" fillId="0" borderId="16" xfId="5" applyNumberFormat="1" applyBorder="1" applyAlignment="1">
      <alignment horizontal="right"/>
    </xf>
    <xf numFmtId="169" fontId="1" fillId="0" borderId="15" xfId="5" quotePrefix="1" applyNumberFormat="1" applyBorder="1" applyAlignment="1">
      <alignment horizontal="right"/>
    </xf>
    <xf numFmtId="169" fontId="1" fillId="0" borderId="16" xfId="5" quotePrefix="1" applyNumberFormat="1" applyBorder="1" applyAlignment="1">
      <alignment horizontal="right"/>
    </xf>
    <xf numFmtId="169" fontId="9" fillId="0" borderId="1" xfId="5" applyNumberFormat="1" applyFont="1" applyBorder="1" applyAlignment="1">
      <alignment vertical="center" wrapText="1" readingOrder="1"/>
    </xf>
    <xf numFmtId="169" fontId="1" fillId="0" borderId="16" xfId="5" applyNumberFormat="1" applyBorder="1"/>
    <xf numFmtId="169" fontId="1" fillId="0" borderId="15" xfId="5" applyNumberFormat="1" applyBorder="1"/>
    <xf numFmtId="169" fontId="1" fillId="0" borderId="15" xfId="5" quotePrefix="1" applyNumberFormat="1" applyBorder="1"/>
    <xf numFmtId="0" fontId="17" fillId="0" borderId="0" xfId="0" applyFont="1"/>
    <xf numFmtId="0" fontId="2" fillId="8" borderId="3" xfId="5" applyFont="1" applyFill="1" applyBorder="1" applyAlignment="1">
      <alignment horizontal="center" wrapText="1"/>
    </xf>
    <xf numFmtId="166" fontId="9" fillId="0" borderId="15" xfId="1" quotePrefix="1" applyNumberFormat="1" applyFont="1" applyFill="1" applyBorder="1" applyAlignment="1">
      <alignment horizontal="right" vertical="center" wrapText="1" readingOrder="1"/>
    </xf>
    <xf numFmtId="168" fontId="0" fillId="0" borderId="0" xfId="0" applyNumberFormat="1"/>
    <xf numFmtId="1" fontId="0" fillId="3" borderId="0" xfId="0" quotePrefix="1" applyNumberFormat="1" applyFill="1" applyAlignment="1">
      <alignment horizontal="right"/>
    </xf>
    <xf numFmtId="0" fontId="2" fillId="7" borderId="0" xfId="0" applyFont="1" applyFill="1" applyAlignment="1">
      <alignment vertical="center"/>
    </xf>
    <xf numFmtId="169" fontId="0" fillId="0" borderId="16" xfId="5" quotePrefix="1" applyNumberFormat="1" applyFont="1" applyBorder="1" applyAlignment="1">
      <alignment horizontal="right"/>
    </xf>
    <xf numFmtId="0" fontId="2" fillId="6" borderId="0" xfId="0" applyFont="1" applyFill="1"/>
    <xf numFmtId="20" fontId="12" fillId="0" borderId="0" xfId="0" quotePrefix="1" applyNumberFormat="1" applyFont="1" applyAlignment="1">
      <alignment horizontal="left"/>
    </xf>
    <xf numFmtId="0" fontId="2" fillId="0" borderId="14" xfId="0" applyFont="1" applyBorder="1"/>
    <xf numFmtId="0" fontId="0" fillId="0" borderId="0" xfId="5" applyFont="1"/>
    <xf numFmtId="9" fontId="1" fillId="0" borderId="0" xfId="2" applyBorder="1"/>
    <xf numFmtId="0" fontId="2" fillId="0" borderId="6" xfId="0" applyFont="1" applyBorder="1"/>
    <xf numFmtId="0" fontId="0" fillId="3" borderId="5" xfId="1" applyNumberFormat="1" applyFont="1" applyFill="1" applyBorder="1"/>
    <xf numFmtId="43" fontId="1" fillId="4" borderId="0" xfId="1" applyFont="1" applyFill="1"/>
    <xf numFmtId="0" fontId="3" fillId="0" borderId="0" xfId="0" applyFont="1"/>
    <xf numFmtId="0" fontId="2" fillId="0" borderId="7" xfId="0" applyFont="1" applyBorder="1"/>
    <xf numFmtId="2" fontId="0" fillId="0" borderId="9" xfId="0" applyNumberFormat="1" applyBorder="1"/>
    <xf numFmtId="165" fontId="0" fillId="0" borderId="9" xfId="0" applyNumberFormat="1" applyBorder="1"/>
    <xf numFmtId="0" fontId="0" fillId="0" borderId="9" xfId="0" applyBorder="1"/>
    <xf numFmtId="2" fontId="3" fillId="0" borderId="0" xfId="0" applyNumberFormat="1" applyFont="1"/>
    <xf numFmtId="2" fontId="3" fillId="0" borderId="9" xfId="0" applyNumberFormat="1" applyFont="1" applyBorder="1"/>
    <xf numFmtId="0" fontId="0" fillId="0" borderId="8" xfId="0" applyBorder="1"/>
    <xf numFmtId="9" fontId="0" fillId="0" borderId="0" xfId="2" applyFont="1" applyBorder="1"/>
    <xf numFmtId="9" fontId="0" fillId="0" borderId="9" xfId="2" applyFont="1" applyBorder="1"/>
    <xf numFmtId="0" fontId="2" fillId="0" borderId="9" xfId="0" applyFont="1" applyBorder="1"/>
    <xf numFmtId="165" fontId="0" fillId="0" borderId="0" xfId="0" quotePrefix="1" applyNumberFormat="1"/>
    <xf numFmtId="0" fontId="2" fillId="0" borderId="2" xfId="0" applyFont="1" applyBorder="1"/>
    <xf numFmtId="0" fontId="0" fillId="0" borderId="0" xfId="0" quotePrefix="1" applyAlignment="1">
      <alignment horizontal="center" vertical="center"/>
    </xf>
    <xf numFmtId="0" fontId="12" fillId="0" borderId="0" xfId="5" applyFont="1"/>
    <xf numFmtId="169" fontId="1" fillId="0" borderId="16" xfId="5" applyNumberFormat="1" applyBorder="1" applyAlignment="1">
      <alignment horizontal="right" indent="1"/>
    </xf>
    <xf numFmtId="169" fontId="1" fillId="0" borderId="16" xfId="5" quotePrefix="1" applyNumberFormat="1" applyBorder="1" applyAlignment="1">
      <alignment horizontal="right" indent="1"/>
    </xf>
    <xf numFmtId="0" fontId="10" fillId="0" borderId="0" xfId="0" applyFont="1"/>
    <xf numFmtId="9" fontId="17" fillId="3" borderId="0" xfId="2" applyFont="1" applyFill="1"/>
    <xf numFmtId="0" fontId="17" fillId="0" borderId="0" xfId="0" applyFont="1" applyAlignment="1">
      <alignment vertical="top" wrapText="1"/>
    </xf>
    <xf numFmtId="169" fontId="1" fillId="0" borderId="15" xfId="5" applyNumberFormat="1" applyBorder="1" applyAlignment="1">
      <alignment horizontal="right" indent="1"/>
    </xf>
    <xf numFmtId="0" fontId="20" fillId="0" borderId="0" xfId="0" applyFont="1"/>
    <xf numFmtId="0" fontId="21" fillId="0" borderId="0" xfId="0" applyFont="1"/>
    <xf numFmtId="0" fontId="2" fillId="0" borderId="0" xfId="0" applyFont="1" applyAlignment="1">
      <alignment horizontal="left"/>
    </xf>
    <xf numFmtId="170" fontId="20" fillId="0" borderId="0" xfId="0" applyNumberFormat="1" applyFont="1"/>
    <xf numFmtId="170" fontId="0" fillId="0" borderId="0" xfId="0" applyNumberFormat="1"/>
    <xf numFmtId="170" fontId="0" fillId="0" borderId="0" xfId="0" quotePrefix="1" applyNumberFormat="1" applyAlignment="1">
      <alignment horizontal="right"/>
    </xf>
    <xf numFmtId="10" fontId="0" fillId="0" borderId="0" xfId="2" applyNumberFormat="1" applyFont="1"/>
    <xf numFmtId="9" fontId="0" fillId="0" borderId="0" xfId="2" applyFont="1"/>
    <xf numFmtId="2" fontId="0" fillId="0" borderId="0" xfId="2" applyNumberFormat="1" applyFont="1"/>
    <xf numFmtId="166" fontId="0" fillId="0" borderId="0" xfId="0" applyNumberFormat="1"/>
    <xf numFmtId="0" fontId="22" fillId="0" borderId="0" xfId="0" applyFont="1"/>
    <xf numFmtId="43" fontId="9" fillId="0" borderId="0" xfId="1" quotePrefix="1" applyFont="1" applyFill="1" applyAlignment="1">
      <alignment horizontal="center"/>
    </xf>
    <xf numFmtId="0" fontId="23" fillId="0" borderId="0" xfId="0" applyFont="1"/>
    <xf numFmtId="10" fontId="0" fillId="0" borderId="0" xfId="2" quotePrefix="1" applyNumberFormat="1" applyFont="1" applyAlignment="1">
      <alignment horizontal="center"/>
    </xf>
    <xf numFmtId="0" fontId="9" fillId="6" borderId="0" xfId="0" applyFont="1" applyFill="1"/>
    <xf numFmtId="0" fontId="0" fillId="6" borderId="0" xfId="0" applyFill="1" applyAlignment="1">
      <alignment horizontal="left" vertical="top" wrapText="1"/>
    </xf>
    <xf numFmtId="0" fontId="8" fillId="6" borderId="0" xfId="0" applyFont="1" applyFill="1" applyAlignment="1">
      <alignment horizontal="left" wrapText="1"/>
    </xf>
    <xf numFmtId="169" fontId="2" fillId="8" borderId="17" xfId="5" applyNumberFormat="1" applyFont="1" applyFill="1" applyBorder="1" applyAlignment="1">
      <alignment horizontal="center"/>
    </xf>
    <xf numFmtId="169" fontId="2" fillId="8" borderId="7" xfId="5" applyNumberFormat="1" applyFont="1" applyFill="1" applyBorder="1" applyAlignment="1">
      <alignment horizontal="center"/>
    </xf>
    <xf numFmtId="169" fontId="2" fillId="8" borderId="14" xfId="5" applyNumberFormat="1" applyFont="1" applyFill="1" applyBorder="1" applyAlignment="1">
      <alignment horizontal="center"/>
    </xf>
    <xf numFmtId="169" fontId="2" fillId="8" borderId="18" xfId="5" applyNumberFormat="1" applyFont="1" applyFill="1" applyBorder="1" applyAlignment="1">
      <alignment horizontal="center"/>
    </xf>
    <xf numFmtId="169" fontId="2" fillId="8" borderId="5" xfId="5" applyNumberFormat="1" applyFont="1" applyFill="1" applyBorder="1" applyAlignment="1">
      <alignment horizontal="center"/>
    </xf>
    <xf numFmtId="169" fontId="2" fillId="8" borderId="8" xfId="5" applyNumberFormat="1" applyFont="1" applyFill="1" applyBorder="1" applyAlignment="1">
      <alignment horizontal="center"/>
    </xf>
    <xf numFmtId="0" fontId="4" fillId="5" borderId="0" xfId="0" applyFont="1" applyFill="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0" fillId="0" borderId="0" xfId="0" applyAlignment="1">
      <alignment horizontal="left"/>
    </xf>
    <xf numFmtId="0" fontId="7" fillId="5" borderId="0" xfId="0" applyFont="1" applyFill="1" applyAlignment="1">
      <alignment horizontal="center"/>
    </xf>
  </cellXfs>
  <cellStyles count="8">
    <cellStyle name="40% - Accent3" xfId="3" builtinId="39"/>
    <cellStyle name="Comma" xfId="1" builtinId="3"/>
    <cellStyle name="Currency" xfId="4" builtinId="4"/>
    <cellStyle name="Currency 2" xfId="7" xr:uid="{00000000-0005-0000-0000-000003000000}"/>
    <cellStyle name="Normal" xfId="0" builtinId="0"/>
    <cellStyle name="Normal 2" xfId="5"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C3E7E3"/>
      <color rgb="FF58C3B4"/>
      <color rgb="FF006671"/>
      <color rgb="FF668B53"/>
      <color rgb="FF5B234F"/>
      <color rgb="FF006A71"/>
      <color rgb="FF663300"/>
      <color rgb="FFCC9900"/>
      <color rgb="FFCC79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'FOM Cost Curves'!$A$7</c:f>
              <c:strCache>
                <c:ptCount val="1"/>
                <c:pt idx="0">
                  <c:v>Offshore Wind</c:v>
                </c:pt>
              </c:strCache>
            </c:strRef>
          </c:tx>
          <c:spPr>
            <a:ln w="19050" cap="rnd">
              <a:solidFill>
                <a:srgbClr val="006671"/>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Curves'!$B$7:$AC$7</c:f>
              <c:numCache>
                <c:formatCode>_(* #,##0.00_);_(* \(#,##0.00\);_(* "-"??_);_(@_)</c:formatCode>
                <c:ptCount val="28"/>
                <c:pt idx="0">
                  <c:v>70.784547535000428</c:v>
                </c:pt>
                <c:pt idx="1">
                  <c:v>69.035810123787158</c:v>
                </c:pt>
                <c:pt idx="2">
                  <c:v>67.520984875428979</c:v>
                </c:pt>
                <c:pt idx="3">
                  <c:v>66.18481431108637</c:v>
                </c:pt>
                <c:pt idx="4">
                  <c:v>64.989569012122843</c:v>
                </c:pt>
                <c:pt idx="5">
                  <c:v>63.90833811985523</c:v>
                </c:pt>
                <c:pt idx="6">
                  <c:v>62.921251651514922</c:v>
                </c:pt>
                <c:pt idx="7">
                  <c:v>62.013220123140378</c:v>
                </c:pt>
                <c:pt idx="8">
                  <c:v>61.172514240301652</c:v>
                </c:pt>
                <c:pt idx="9">
                  <c:v>60.389835788208792</c:v>
                </c:pt>
                <c:pt idx="10">
                  <c:v>59.657688991943466</c:v>
                </c:pt>
                <c:pt idx="11">
                  <c:v>58.969942792381737</c:v>
                </c:pt>
                <c:pt idx="12">
                  <c:v>58.321518427600864</c:v>
                </c:pt>
                <c:pt idx="13">
                  <c:v>57.708161596079727</c:v>
                </c:pt>
                <c:pt idx="14">
                  <c:v>57.126273128637351</c:v>
                </c:pt>
                <c:pt idx="15">
                  <c:v>56.572781016387601</c:v>
                </c:pt>
                <c:pt idx="16">
                  <c:v>56.045042236369717</c:v>
                </c:pt>
                <c:pt idx="17">
                  <c:v>55.540766418130744</c:v>
                </c:pt>
                <c:pt idx="18">
                  <c:v>55.057955768029409</c:v>
                </c:pt>
                <c:pt idx="19">
                  <c:v>54.594857265331214</c:v>
                </c:pt>
                <c:pt idx="20">
                  <c:v>54.149924239654865</c:v>
                </c:pt>
                <c:pt idx="21">
                  <c:v>53.721785203686807</c:v>
                </c:pt>
                <c:pt idx="22">
                  <c:v>53.309218356816146</c:v>
                </c:pt>
                <c:pt idx="23">
                  <c:v>52.911130564848037</c:v>
                </c:pt>
                <c:pt idx="24">
                  <c:v>52.526539904723286</c:v>
                </c:pt>
                <c:pt idx="25">
                  <c:v>52.154561072441297</c:v>
                </c:pt>
                <c:pt idx="26">
                  <c:v>51.794393108457953</c:v>
                </c:pt>
                <c:pt idx="27">
                  <c:v>51.445309012455674</c:v>
                </c:pt>
              </c:numCache>
            </c:numRef>
          </c:val>
          <c:smooth val="0"/>
          <c:extLst>
            <c:ext xmlns:c16="http://schemas.microsoft.com/office/drawing/2014/chart" uri="{C3380CC4-5D6E-409C-BE32-E72D297353CC}">
              <c16:uniqueId val="{00000001-C12B-479F-837B-890AE141662F}"/>
            </c:ext>
          </c:extLst>
        </c:ser>
        <c:ser>
          <c:idx val="3"/>
          <c:order val="2"/>
          <c:tx>
            <c:v>Onshore Wind</c:v>
          </c:tx>
          <c:spPr>
            <a:ln w="19050" cap="rnd">
              <a:solidFill>
                <a:srgbClr val="58C3B4"/>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Curves'!$B$9:$AC$9</c:f>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c:ext xmlns:c16="http://schemas.microsoft.com/office/drawing/2014/chart" uri="{C3380CC4-5D6E-409C-BE32-E72D297353CC}">
              <c16:uniqueId val="{00000003-C12B-479F-837B-890AE141662F}"/>
            </c:ext>
          </c:extLst>
        </c:ser>
        <c:ser>
          <c:idx val="6"/>
          <c:order val="5"/>
          <c:tx>
            <c:v>Solar</c:v>
          </c:tx>
          <c:spPr>
            <a:ln w="19050" cap="rnd">
              <a:solidFill>
                <a:srgbClr val="668B53"/>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Curves'!$B$12:$AC$12</c:f>
              <c:numCache>
                <c:formatCode>_(* #,##0.00_);_(* \(#,##0.00\);_(* "-"??_);_(@_)</c:formatCode>
                <c:ptCount val="28"/>
                <c:pt idx="0">
                  <c:v>19.354429860626116</c:v>
                </c:pt>
                <c:pt idx="1">
                  <c:v>18.75899579306332</c:v>
                </c:pt>
                <c:pt idx="2">
                  <c:v>18.165351904966844</c:v>
                </c:pt>
                <c:pt idx="3">
                  <c:v>17.573425508154287</c:v>
                </c:pt>
                <c:pt idx="4">
                  <c:v>16.983147797119678</c:v>
                </c:pt>
                <c:pt idx="5">
                  <c:v>16.3944535932058</c:v>
                </c:pt>
                <c:pt idx="6">
                  <c:v>15.80728110874111</c:v>
                </c:pt>
                <c:pt idx="7">
                  <c:v>15.221571729346822</c:v>
                </c:pt>
                <c:pt idx="8">
                  <c:v>15.120869365086181</c:v>
                </c:pt>
                <c:pt idx="9">
                  <c:v>15.020426131446611</c:v>
                </c:pt>
                <c:pt idx="10">
                  <c:v>14.920237780385147</c:v>
                </c:pt>
                <c:pt idx="11">
                  <c:v>14.820300156207578</c:v>
                </c:pt>
                <c:pt idx="12">
                  <c:v>14.720609193072546</c:v>
                </c:pt>
                <c:pt idx="13">
                  <c:v>14.621160912576137</c:v>
                </c:pt>
                <c:pt idx="14">
                  <c:v>14.521951421413991</c:v>
                </c:pt>
                <c:pt idx="15">
                  <c:v>14.422976909118004</c:v>
                </c:pt>
                <c:pt idx="16">
                  <c:v>14.32423364586491</c:v>
                </c:pt>
                <c:pt idx="17">
                  <c:v>14.225717980354025</c:v>
                </c:pt>
                <c:pt idx="18">
                  <c:v>14.127426337751704</c:v>
                </c:pt>
                <c:pt idx="19">
                  <c:v>14.029355217700001</c:v>
                </c:pt>
                <c:pt idx="20">
                  <c:v>13.93150119238725</c:v>
                </c:pt>
                <c:pt idx="21">
                  <c:v>13.833860904678309</c:v>
                </c:pt>
                <c:pt idx="22">
                  <c:v>13.736431066302353</c:v>
                </c:pt>
                <c:pt idx="23">
                  <c:v>13.639208456096123</c:v>
                </c:pt>
                <c:pt idx="24">
                  <c:v>13.542189918300684</c:v>
                </c:pt>
                <c:pt idx="25">
                  <c:v>13.445372360909818</c:v>
                </c:pt>
                <c:pt idx="26">
                  <c:v>13.348752754068176</c:v>
                </c:pt>
                <c:pt idx="27">
                  <c:v>13.252328128517522</c:v>
                </c:pt>
              </c:numCache>
            </c:numRef>
          </c:val>
          <c:smooth val="0"/>
          <c:extLst>
            <c:ext xmlns:c16="http://schemas.microsoft.com/office/drawing/2014/chart" uri="{C3380CC4-5D6E-409C-BE32-E72D297353CC}">
              <c16:uniqueId val="{00000006-C12B-479F-837B-890AE141662F}"/>
            </c:ext>
          </c:extLst>
        </c:ser>
        <c:ser>
          <c:idx val="8"/>
          <c:order val="7"/>
          <c:tx>
            <c:strRef>
              <c:f>'FOM Cost Curves'!$A$14</c:f>
              <c:strCache>
                <c:ptCount val="1"/>
                <c:pt idx="0">
                  <c:v>Solar, DER (Residential)</c:v>
                </c:pt>
              </c:strCache>
            </c:strRef>
          </c:tx>
          <c:spPr>
            <a:ln w="19050" cap="rnd">
              <a:solidFill>
                <a:srgbClr val="5B234F"/>
              </a:solidFill>
              <a:round/>
            </a:ln>
            <a:effectLst/>
          </c:spPr>
          <c:marker>
            <c:symbol val="none"/>
          </c:marker>
          <c:cat>
            <c:numRef>
              <c:f>'FOM Cost Curves'!$B$6:$AC$6</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'FOM Cost Curves'!$B$14:$AC$14</c:f>
              <c:numCache>
                <c:formatCode>_(* #,##0.00_);_(* \(#,##0.00\);_(* "-"??_);_(@_)</c:formatCode>
                <c:ptCount val="28"/>
                <c:pt idx="0">
                  <c:v>25.481981878572736</c:v>
                </c:pt>
                <c:pt idx="1">
                  <c:v>23.736124890369009</c:v>
                </c:pt>
                <c:pt idx="2">
                  <c:v>21.990267902165286</c:v>
                </c:pt>
                <c:pt idx="3">
                  <c:v>20.244410913961559</c:v>
                </c:pt>
                <c:pt idx="4">
                  <c:v>18.498553925757832</c:v>
                </c:pt>
                <c:pt idx="5">
                  <c:v>16.752696937554106</c:v>
                </c:pt>
                <c:pt idx="6">
                  <c:v>15.006839949350381</c:v>
                </c:pt>
                <c:pt idx="7">
                  <c:v>13.260982961146656</c:v>
                </c:pt>
                <c:pt idx="8">
                  <c:v>13.152605425931542</c:v>
                </c:pt>
                <c:pt idx="9">
                  <c:v>13.044227890716426</c:v>
                </c:pt>
                <c:pt idx="10">
                  <c:v>12.93585035550131</c:v>
                </c:pt>
                <c:pt idx="11">
                  <c:v>12.827472820286197</c:v>
                </c:pt>
                <c:pt idx="12">
                  <c:v>12.719095285071081</c:v>
                </c:pt>
                <c:pt idx="13">
                  <c:v>12.610717749855965</c:v>
                </c:pt>
                <c:pt idx="14">
                  <c:v>12.502340214640851</c:v>
                </c:pt>
                <c:pt idx="15">
                  <c:v>12.393962679425735</c:v>
                </c:pt>
                <c:pt idx="16">
                  <c:v>12.285585144210621</c:v>
                </c:pt>
                <c:pt idx="17">
                  <c:v>12.177207608995506</c:v>
                </c:pt>
                <c:pt idx="18">
                  <c:v>12.06883007378039</c:v>
                </c:pt>
                <c:pt idx="19">
                  <c:v>11.960452538565276</c:v>
                </c:pt>
                <c:pt idx="20">
                  <c:v>11.85207500335016</c:v>
                </c:pt>
                <c:pt idx="21">
                  <c:v>11.743697468135045</c:v>
                </c:pt>
                <c:pt idx="22">
                  <c:v>11.635319932919931</c:v>
                </c:pt>
                <c:pt idx="23">
                  <c:v>11.526942397704815</c:v>
                </c:pt>
                <c:pt idx="24">
                  <c:v>11.418564862489701</c:v>
                </c:pt>
                <c:pt idx="25">
                  <c:v>11.310187327274585</c:v>
                </c:pt>
                <c:pt idx="26">
                  <c:v>11.201809792059469</c:v>
                </c:pt>
                <c:pt idx="27">
                  <c:v>11.093432256844359</c:v>
                </c:pt>
              </c:numCache>
            </c:numRef>
          </c:val>
          <c:smooth val="0"/>
          <c:extLst>
            <c:ext xmlns:c16="http://schemas.microsoft.com/office/drawing/2014/chart" uri="{C3380CC4-5D6E-409C-BE32-E72D297353CC}">
              <c16:uniqueId val="{00000008-C12B-479F-837B-890AE141662F}"/>
            </c:ext>
          </c:extLst>
        </c:ser>
        <c:ser>
          <c:idx val="0"/>
          <c:order val="8"/>
          <c:tx>
            <c:v>Battery, LI 2hr</c:v>
          </c:tx>
          <c:spPr>
            <a:ln w="25400" cap="rnd">
              <a:solidFill>
                <a:srgbClr val="006671"/>
              </a:solidFill>
              <a:prstDash val="dash"/>
              <a:round/>
            </a:ln>
            <a:effectLst/>
          </c:spPr>
          <c:marker>
            <c:symbol val="none"/>
          </c:marker>
          <c:val>
            <c:numRef>
              <c:f>'FOM Cost Curves'!$B$18:$AC$18</c:f>
              <c:numCache>
                <c:formatCode>_(* #,##0.00_);_(* \(#,##0.00\);_(* "-"??_);_(@_)</c:formatCode>
                <c:ptCount val="28"/>
                <c:pt idx="0">
                  <c:v>20.100916701068275</c:v>
                </c:pt>
                <c:pt idx="1">
                  <c:v>19.067147039121629</c:v>
                </c:pt>
                <c:pt idx="2">
                  <c:v>18.109273532481364</c:v>
                </c:pt>
                <c:pt idx="3">
                  <c:v>17.574316346330036</c:v>
                </c:pt>
                <c:pt idx="4">
                  <c:v>17.075503870534718</c:v>
                </c:pt>
                <c:pt idx="5">
                  <c:v>16.435719287909752</c:v>
                </c:pt>
                <c:pt idx="6">
                  <c:v>16.07787891894408</c:v>
                </c:pt>
                <c:pt idx="7">
                  <c:v>15.615211153504767</c:v>
                </c:pt>
                <c:pt idx="8">
                  <c:v>15.429382958254624</c:v>
                </c:pt>
                <c:pt idx="9">
                  <c:v>15.234192818835801</c:v>
                </c:pt>
                <c:pt idx="10">
                  <c:v>15.039002679417008</c:v>
                </c:pt>
                <c:pt idx="11">
                  <c:v>14.843812539998215</c:v>
                </c:pt>
                <c:pt idx="12">
                  <c:v>14.648622400579393</c:v>
                </c:pt>
                <c:pt idx="13">
                  <c:v>14.453432261160572</c:v>
                </c:pt>
                <c:pt idx="14">
                  <c:v>14.258242121741748</c:v>
                </c:pt>
                <c:pt idx="15">
                  <c:v>14.063051982322959</c:v>
                </c:pt>
                <c:pt idx="16">
                  <c:v>13.867861842904169</c:v>
                </c:pt>
                <c:pt idx="17">
                  <c:v>13.672671703485342</c:v>
                </c:pt>
                <c:pt idx="18">
                  <c:v>13.477481564066522</c:v>
                </c:pt>
                <c:pt idx="19">
                  <c:v>13.282291424647703</c:v>
                </c:pt>
                <c:pt idx="20">
                  <c:v>13.087101285228906</c:v>
                </c:pt>
                <c:pt idx="21">
                  <c:v>12.891911145810116</c:v>
                </c:pt>
                <c:pt idx="22">
                  <c:v>12.696721006391293</c:v>
                </c:pt>
                <c:pt idx="23">
                  <c:v>12.501530866972475</c:v>
                </c:pt>
                <c:pt idx="24">
                  <c:v>12.306340727553652</c:v>
                </c:pt>
                <c:pt idx="25">
                  <c:v>12.111150588134862</c:v>
                </c:pt>
                <c:pt idx="26">
                  <c:v>11.915960448716069</c:v>
                </c:pt>
                <c:pt idx="27">
                  <c:v>11.723390994209097</c:v>
                </c:pt>
              </c:numCache>
            </c:numRef>
          </c:val>
          <c:smooth val="0"/>
          <c:extLst>
            <c:ext xmlns:c16="http://schemas.microsoft.com/office/drawing/2014/chart" uri="{C3380CC4-5D6E-409C-BE32-E72D297353CC}">
              <c16:uniqueId val="{00000009-C12B-479F-837B-890AE141662F}"/>
            </c:ext>
          </c:extLst>
        </c:ser>
        <c:ser>
          <c:idx val="9"/>
          <c:order val="9"/>
          <c:tx>
            <c:v>Batter LI 4hr</c:v>
          </c:tx>
          <c:spPr>
            <a:ln w="25400" cap="rnd">
              <a:solidFill>
                <a:srgbClr val="58C3B4"/>
              </a:solidFill>
              <a:prstDash val="dash"/>
              <a:round/>
            </a:ln>
            <a:effectLst/>
          </c:spPr>
          <c:marker>
            <c:symbol val="none"/>
          </c:marker>
          <c:val>
            <c:numRef>
              <c:f>'FOM Cost Curves'!$B$19:$AC$19</c:f>
              <c:numCache>
                <c:formatCode>_(* #,##0.00_);_(* \(#,##0.00\);_(* "-"??_);_(@_)</c:formatCode>
                <c:ptCount val="28"/>
                <c:pt idx="0">
                  <c:v>32.842705844276296</c:v>
                </c:pt>
                <c:pt idx="1">
                  <c:v>30.516347513640053</c:v>
                </c:pt>
                <c:pt idx="2">
                  <c:v>28.874212221426241</c:v>
                </c:pt>
                <c:pt idx="3">
                  <c:v>27.642610752265877</c:v>
                </c:pt>
                <c:pt idx="4">
                  <c:v>26.547853890789998</c:v>
                </c:pt>
                <c:pt idx="5">
                  <c:v>25.316252421629642</c:v>
                </c:pt>
                <c:pt idx="6">
                  <c:v>24.35834016783825</c:v>
                </c:pt>
                <c:pt idx="7">
                  <c:v>23.400427914046855</c:v>
                </c:pt>
                <c:pt idx="8">
                  <c:v>23.119554356774465</c:v>
                </c:pt>
                <c:pt idx="9">
                  <c:v>22.827049007848839</c:v>
                </c:pt>
                <c:pt idx="10">
                  <c:v>22.534543658923287</c:v>
                </c:pt>
                <c:pt idx="11">
                  <c:v>22.242038309997739</c:v>
                </c:pt>
                <c:pt idx="12">
                  <c:v>21.949532961072109</c:v>
                </c:pt>
                <c:pt idx="13">
                  <c:v>21.657027612146535</c:v>
                </c:pt>
                <c:pt idx="14">
                  <c:v>21.364522263220906</c:v>
                </c:pt>
                <c:pt idx="15">
                  <c:v>21.072016914295357</c:v>
                </c:pt>
                <c:pt idx="16">
                  <c:v>20.779511565369805</c:v>
                </c:pt>
                <c:pt idx="17">
                  <c:v>20.487006216444179</c:v>
                </c:pt>
                <c:pt idx="18">
                  <c:v>20.194500867518602</c:v>
                </c:pt>
                <c:pt idx="19">
                  <c:v>19.90199551859298</c:v>
                </c:pt>
                <c:pt idx="20">
                  <c:v>19.609490169667428</c:v>
                </c:pt>
                <c:pt idx="21">
                  <c:v>19.31698482074188</c:v>
                </c:pt>
                <c:pt idx="22">
                  <c:v>19.02447947181625</c:v>
                </c:pt>
                <c:pt idx="23">
                  <c:v>18.731974122890676</c:v>
                </c:pt>
                <c:pt idx="24">
                  <c:v>18.43946877396505</c:v>
                </c:pt>
                <c:pt idx="25">
                  <c:v>18.146963425039502</c:v>
                </c:pt>
                <c:pt idx="26">
                  <c:v>17.854458076113954</c:v>
                </c:pt>
                <c:pt idx="27">
                  <c:v>17.561952727188324</c:v>
                </c:pt>
              </c:numCache>
            </c:numRef>
          </c:val>
          <c:smooth val="0"/>
          <c:extLst>
            <c:ext xmlns:c16="http://schemas.microsoft.com/office/drawing/2014/chart" uri="{C3380CC4-5D6E-409C-BE32-E72D297353CC}">
              <c16:uniqueId val="{0000000A-C12B-479F-837B-890AE141662F}"/>
            </c:ext>
          </c:extLst>
        </c:ser>
        <c:ser>
          <c:idx val="10"/>
          <c:order val="10"/>
          <c:tx>
            <c:v>Battery, LI 6hr</c:v>
          </c:tx>
          <c:spPr>
            <a:ln w="25400" cap="rnd">
              <a:solidFill>
                <a:srgbClr val="668B53"/>
              </a:solidFill>
              <a:prstDash val="dash"/>
              <a:round/>
            </a:ln>
            <a:effectLst/>
          </c:spPr>
          <c:marker>
            <c:symbol val="none"/>
          </c:marker>
          <c:val>
            <c:numRef>
              <c:f>'FOM Cost Curves'!$B$20:$AC$20</c:f>
              <c:numCache>
                <c:formatCode>_(* #,##0.00_);_(* \(#,##0.00\);_(* "-"??_);_(@_)</c:formatCode>
                <c:ptCount val="28"/>
                <c:pt idx="0">
                  <c:v>45.584494987484256</c:v>
                </c:pt>
                <c:pt idx="1">
                  <c:v>41.98179409867619</c:v>
                </c:pt>
                <c:pt idx="2">
                  <c:v>39.657361836046633</c:v>
                </c:pt>
                <c:pt idx="3">
                  <c:v>37.738230643081458</c:v>
                </c:pt>
                <c:pt idx="4">
                  <c:v>36.054660947238503</c:v>
                </c:pt>
                <c:pt idx="5">
                  <c:v>34.235990894840761</c:v>
                </c:pt>
                <c:pt idx="6">
                  <c:v>32.687521555552607</c:v>
                </c:pt>
                <c:pt idx="7">
                  <c:v>31.239513356831878</c:v>
                </c:pt>
                <c:pt idx="8">
                  <c:v>30.863014498692866</c:v>
                </c:pt>
                <c:pt idx="9">
                  <c:v>30.472520581732411</c:v>
                </c:pt>
                <c:pt idx="10">
                  <c:v>30.082026664772059</c:v>
                </c:pt>
                <c:pt idx="11">
                  <c:v>29.69153274781171</c:v>
                </c:pt>
                <c:pt idx="12">
                  <c:v>29.301038830851247</c:v>
                </c:pt>
                <c:pt idx="13">
                  <c:v>28.910544913890874</c:v>
                </c:pt>
                <c:pt idx="14">
                  <c:v>28.520050996930408</c:v>
                </c:pt>
                <c:pt idx="15">
                  <c:v>28.129557079970063</c:v>
                </c:pt>
                <c:pt idx="16">
                  <c:v>27.739063163009714</c:v>
                </c:pt>
                <c:pt idx="17">
                  <c:v>27.348569246049252</c:v>
                </c:pt>
                <c:pt idx="18">
                  <c:v>26.958075329088885</c:v>
                </c:pt>
                <c:pt idx="19">
                  <c:v>26.567581412128416</c:v>
                </c:pt>
                <c:pt idx="20">
                  <c:v>26.177087495168067</c:v>
                </c:pt>
                <c:pt idx="21">
                  <c:v>25.786593578207722</c:v>
                </c:pt>
                <c:pt idx="22">
                  <c:v>25.396099661247256</c:v>
                </c:pt>
                <c:pt idx="23">
                  <c:v>25.005605744286886</c:v>
                </c:pt>
                <c:pt idx="24">
                  <c:v>24.61511182732642</c:v>
                </c:pt>
                <c:pt idx="25">
                  <c:v>24.224617910366078</c:v>
                </c:pt>
                <c:pt idx="26">
                  <c:v>23.834123993405736</c:v>
                </c:pt>
                <c:pt idx="27">
                  <c:v>23.441118547931072</c:v>
                </c:pt>
              </c:numCache>
            </c:numRef>
          </c:val>
          <c:smooth val="0"/>
          <c:extLst>
            <c:ext xmlns:c16="http://schemas.microsoft.com/office/drawing/2014/chart" uri="{C3380CC4-5D6E-409C-BE32-E72D297353CC}">
              <c16:uniqueId val="{0000000B-C12B-479F-837B-890AE141662F}"/>
            </c:ext>
          </c:extLst>
        </c:ser>
        <c:ser>
          <c:idx val="11"/>
          <c:order val="11"/>
          <c:tx>
            <c:v>Battery, DER (Residential)</c:v>
          </c:tx>
          <c:spPr>
            <a:ln w="25400" cap="rnd">
              <a:solidFill>
                <a:srgbClr val="5B234F"/>
              </a:solidFill>
              <a:prstDash val="dash"/>
              <a:round/>
            </a:ln>
            <a:effectLst/>
          </c:spPr>
          <c:marker>
            <c:symbol val="none"/>
          </c:marker>
          <c:val>
            <c:numRef>
              <c:f>'FOM Cost Curves'!$B$21:$AC$21</c:f>
              <c:numCache>
                <c:formatCode>_(* #,##0.00_);_(* \(#,##0.00\);_(* "-"??_);_(@_)</c:formatCode>
                <c:ptCount val="28"/>
                <c:pt idx="0">
                  <c:v>98.064325314945634</c:v>
                </c:pt>
                <c:pt idx="1">
                  <c:v>91.035604827228212</c:v>
                </c:pt>
                <c:pt idx="2">
                  <c:v>84.365937167659837</c:v>
                </c:pt>
                <c:pt idx="3">
                  <c:v>80.954078029331356</c:v>
                </c:pt>
                <c:pt idx="4">
                  <c:v>77.926058871045825</c:v>
                </c:pt>
                <c:pt idx="5">
                  <c:v>75.326299968847721</c:v>
                </c:pt>
                <c:pt idx="6">
                  <c:v>72.838786258937049</c:v>
                </c:pt>
                <c:pt idx="7">
                  <c:v>70.58719747047742</c:v>
                </c:pt>
                <c:pt idx="8">
                  <c:v>69.723932873887762</c:v>
                </c:pt>
                <c:pt idx="9">
                  <c:v>68.841603250850355</c:v>
                </c:pt>
                <c:pt idx="10">
                  <c:v>67.959273627812919</c:v>
                </c:pt>
                <c:pt idx="11">
                  <c:v>67.076944004775598</c:v>
                </c:pt>
                <c:pt idx="12">
                  <c:v>66.194614381738106</c:v>
                </c:pt>
                <c:pt idx="13">
                  <c:v>65.312284758700827</c:v>
                </c:pt>
                <c:pt idx="14">
                  <c:v>64.42995513566332</c:v>
                </c:pt>
                <c:pt idx="15">
                  <c:v>63.547625512625956</c:v>
                </c:pt>
                <c:pt idx="16">
                  <c:v>62.665295889588485</c:v>
                </c:pt>
                <c:pt idx="17">
                  <c:v>61.782966266551128</c:v>
                </c:pt>
                <c:pt idx="18">
                  <c:v>60.900636643513593</c:v>
                </c:pt>
                <c:pt idx="19">
                  <c:v>60.0183070204763</c:v>
                </c:pt>
                <c:pt idx="20">
                  <c:v>59.135977397438786</c:v>
                </c:pt>
                <c:pt idx="21">
                  <c:v>58.253647774401387</c:v>
                </c:pt>
                <c:pt idx="22">
                  <c:v>57.37131815136393</c:v>
                </c:pt>
                <c:pt idx="23">
                  <c:v>56.488988528326573</c:v>
                </c:pt>
                <c:pt idx="24">
                  <c:v>55.606658905289102</c:v>
                </c:pt>
                <c:pt idx="25">
                  <c:v>54.724329282251738</c:v>
                </c:pt>
                <c:pt idx="26">
                  <c:v>53.841999659214366</c:v>
                </c:pt>
                <c:pt idx="27">
                  <c:v>52.940398102858097</c:v>
                </c:pt>
              </c:numCache>
            </c:numRef>
          </c:val>
          <c:smooth val="0"/>
          <c:extLst>
            <c:ext xmlns:c16="http://schemas.microsoft.com/office/drawing/2014/chart" uri="{C3380CC4-5D6E-409C-BE32-E72D297353CC}">
              <c16:uniqueId val="{0000000C-C12B-479F-837B-890AE141662F}"/>
            </c:ext>
          </c:extLst>
        </c:ser>
        <c:dLbls>
          <c:showLegendKey val="0"/>
          <c:showVal val="0"/>
          <c:showCatName val="0"/>
          <c:showSerName val="0"/>
          <c:showPercent val="0"/>
          <c:showBubbleSize val="0"/>
        </c:dLbls>
        <c:smooth val="0"/>
        <c:axId val="607171976"/>
        <c:axId val="607172304"/>
        <c:extLst>
          <c:ext xmlns:c15="http://schemas.microsoft.com/office/drawing/2012/chart" uri="{02D57815-91ED-43cb-92C2-25804820EDAC}">
            <c15:filteredLineSeries>
              <c15:ser>
                <c:idx val="2"/>
                <c:order val="1"/>
                <c:tx>
                  <c:strRef>
                    <c:extLst>
                      <c:ext uri="{02D57815-91ED-43cb-92C2-25804820EDAC}">
                        <c15:formulaRef>
                          <c15:sqref>'FOM Cost Curves'!$A$8</c15:sqref>
                        </c15:formulaRef>
                      </c:ext>
                    </c:extLst>
                    <c:strCache>
                      <c:ptCount val="1"/>
                      <c:pt idx="0">
                        <c:v>Wind, BC</c:v>
                      </c:pt>
                    </c:strCache>
                  </c:strRef>
                </c:tx>
                <c:spPr>
                  <a:ln w="28575" cap="rnd">
                    <a:solidFill>
                      <a:schemeClr val="accent3"/>
                    </a:solidFill>
                    <a:round/>
                  </a:ln>
                  <a:effectLst/>
                </c:spPr>
                <c:marker>
                  <c:symbol val="none"/>
                </c:marker>
                <c:cat>
                  <c:numRef>
                    <c:extLst>
                      <c:ex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c:ext uri="{02D57815-91ED-43cb-92C2-25804820EDAC}">
                        <c15:formulaRef>
                          <c15:sqref>'FOM Cost Curves'!$B$8:$AC$8</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c:ext xmlns:c16="http://schemas.microsoft.com/office/drawing/2014/chart" uri="{C3380CC4-5D6E-409C-BE32-E72D297353CC}">
                    <c16:uniqueId val="{00000002-C12B-479F-837B-890AE141662F}"/>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'FOM Cost Curves'!$A$10</c15:sqref>
                        </c15:formulaRef>
                      </c:ext>
                    </c:extLst>
                    <c:strCache>
                      <c:ptCount val="1"/>
                      <c:pt idx="0">
                        <c:v>Wind, MT</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Curves'!$B$10:$AC$10</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xmlns:c15="http://schemas.microsoft.com/office/drawing/2012/chart">
                  <c:ext xmlns:c16="http://schemas.microsoft.com/office/drawing/2014/chart" uri="{C3380CC4-5D6E-409C-BE32-E72D297353CC}">
                    <c16:uniqueId val="{00000004-C12B-479F-837B-890AE141662F}"/>
                  </c:ext>
                </c:extLst>
              </c15:ser>
            </c15:filteredLineSeries>
            <c15:filteredLineSeries>
              <c15:ser>
                <c:idx val="5"/>
                <c:order val="4"/>
                <c:tx>
                  <c:strRef>
                    <c:extLst xmlns:c15="http://schemas.microsoft.com/office/drawing/2012/chart">
                      <c:ext xmlns:c15="http://schemas.microsoft.com/office/drawing/2012/chart" uri="{02D57815-91ED-43cb-92C2-25804820EDAC}">
                        <c15:formulaRef>
                          <c15:sqref>'FOM Cost Curves'!$A$11</c15:sqref>
                        </c15:formulaRef>
                      </c:ext>
                    </c:extLst>
                    <c:strCache>
                      <c:ptCount val="1"/>
                      <c:pt idx="0">
                        <c:v>Wind, ID/WY</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Curves'!$B$11:$AC$11</c15:sqref>
                        </c15:formulaRef>
                      </c:ext>
                    </c:extLst>
                    <c:numCache>
                      <c:formatCode>_(* #,##0.00_);_(* \(#,##0.00\);_(* "-"??_);_(@_)</c:formatCode>
                      <c:ptCount val="28"/>
                      <c:pt idx="0">
                        <c:v>41.785000000000004</c:v>
                      </c:pt>
                      <c:pt idx="1">
                        <c:v>41.38</c:v>
                      </c:pt>
                      <c:pt idx="2">
                        <c:v>40.975000000000001</c:v>
                      </c:pt>
                      <c:pt idx="3">
                        <c:v>40.570000000000007</c:v>
                      </c:pt>
                      <c:pt idx="4">
                        <c:v>40.165000000000006</c:v>
                      </c:pt>
                      <c:pt idx="5">
                        <c:v>39.760000000000005</c:v>
                      </c:pt>
                      <c:pt idx="6">
                        <c:v>39.355000000000004</c:v>
                      </c:pt>
                      <c:pt idx="7">
                        <c:v>38.950000000000003</c:v>
                      </c:pt>
                      <c:pt idx="8">
                        <c:v>38.657875000000004</c:v>
                      </c:pt>
                      <c:pt idx="9">
                        <c:v>38.365750000000006</c:v>
                      </c:pt>
                      <c:pt idx="10">
                        <c:v>38.073625000000007</c:v>
                      </c:pt>
                      <c:pt idx="11">
                        <c:v>37.781500000000008</c:v>
                      </c:pt>
                      <c:pt idx="12">
                        <c:v>37.489375000000003</c:v>
                      </c:pt>
                      <c:pt idx="13">
                        <c:v>37.197250000000004</c:v>
                      </c:pt>
                      <c:pt idx="14">
                        <c:v>36.905124999999998</c:v>
                      </c:pt>
                      <c:pt idx="15">
                        <c:v>36.613</c:v>
                      </c:pt>
                      <c:pt idx="16">
                        <c:v>36.320875000000001</c:v>
                      </c:pt>
                      <c:pt idx="17">
                        <c:v>36.028750000000002</c:v>
                      </c:pt>
                      <c:pt idx="18">
                        <c:v>35.736625000000004</c:v>
                      </c:pt>
                      <c:pt idx="19">
                        <c:v>35.444500000000005</c:v>
                      </c:pt>
                      <c:pt idx="20">
                        <c:v>35.152375000000006</c:v>
                      </c:pt>
                      <c:pt idx="21">
                        <c:v>34.860250000000001</c:v>
                      </c:pt>
                      <c:pt idx="22">
                        <c:v>34.568124999999995</c:v>
                      </c:pt>
                      <c:pt idx="23">
                        <c:v>34.275999999999996</c:v>
                      </c:pt>
                      <c:pt idx="24">
                        <c:v>33.983874999999998</c:v>
                      </c:pt>
                      <c:pt idx="25">
                        <c:v>33.691749999999999</c:v>
                      </c:pt>
                      <c:pt idx="26">
                        <c:v>33.399625</c:v>
                      </c:pt>
                      <c:pt idx="27">
                        <c:v>33.107500000000002</c:v>
                      </c:pt>
                    </c:numCache>
                  </c:numRef>
                </c:val>
                <c:smooth val="0"/>
                <c:extLst xmlns:c15="http://schemas.microsoft.com/office/drawing/2012/chart">
                  <c:ext xmlns:c16="http://schemas.microsoft.com/office/drawing/2014/chart" uri="{C3380CC4-5D6E-409C-BE32-E72D297353CC}">
                    <c16:uniqueId val="{00000005-C12B-479F-837B-890AE141662F}"/>
                  </c:ext>
                </c:extLst>
              </c15:ser>
            </c15:filteredLineSeries>
            <c15:filteredLineSeries>
              <c15:ser>
                <c:idx val="7"/>
                <c:order val="6"/>
                <c:tx>
                  <c:strRef>
                    <c:extLst xmlns:c15="http://schemas.microsoft.com/office/drawing/2012/chart">
                      <c:ext xmlns:c15="http://schemas.microsoft.com/office/drawing/2012/chart" uri="{02D57815-91ED-43cb-92C2-25804820EDAC}">
                        <c15:formulaRef>
                          <c15:sqref>'FOM Cost Curves'!$A$13</c15:sqref>
                        </c15:formulaRef>
                      </c:ext>
                    </c:extLst>
                    <c:strCache>
                      <c:ptCount val="1"/>
                      <c:pt idx="0">
                        <c:v>Solar, ID/WY</c:v>
                      </c:pt>
                    </c:strCache>
                  </c:strRef>
                </c:tx>
                <c:spPr>
                  <a:ln w="28575" cap="rnd">
                    <a:solidFill>
                      <a:schemeClr val="accent2">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'FOM Cost Curves'!$B$6:$AC$6</c15:sqref>
                        </c15:formulaRef>
                      </c:ext>
                    </c:extLst>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extLst xmlns:c15="http://schemas.microsoft.com/office/drawing/2012/chart">
                      <c:ext xmlns:c15="http://schemas.microsoft.com/office/drawing/2012/chart" uri="{02D57815-91ED-43cb-92C2-25804820EDAC}">
                        <c15:formulaRef>
                          <c15:sqref>'FOM Cost Curves'!$B$13:$AC$13</c15:sqref>
                        </c15:formulaRef>
                      </c:ext>
                    </c:extLst>
                    <c:numCache>
                      <c:formatCode>_(* #,##0.00_);_(* \(#,##0.00\);_(* "-"??_);_(@_)</c:formatCode>
                      <c:ptCount val="28"/>
                      <c:pt idx="0">
                        <c:v>19.354429860626116</c:v>
                      </c:pt>
                      <c:pt idx="1">
                        <c:v>18.75899579306332</c:v>
                      </c:pt>
                      <c:pt idx="2">
                        <c:v>18.165351904966844</c:v>
                      </c:pt>
                      <c:pt idx="3">
                        <c:v>17.573425508154287</c:v>
                      </c:pt>
                      <c:pt idx="4">
                        <c:v>16.983147797119678</c:v>
                      </c:pt>
                      <c:pt idx="5">
                        <c:v>16.3944535932058</c:v>
                      </c:pt>
                      <c:pt idx="6">
                        <c:v>15.80728110874111</c:v>
                      </c:pt>
                      <c:pt idx="7">
                        <c:v>15.221571729346822</c:v>
                      </c:pt>
                      <c:pt idx="8">
                        <c:v>15.120869365086181</c:v>
                      </c:pt>
                      <c:pt idx="9">
                        <c:v>15.020426131446611</c:v>
                      </c:pt>
                      <c:pt idx="10">
                        <c:v>14.920237780385147</c:v>
                      </c:pt>
                      <c:pt idx="11">
                        <c:v>14.820300156207578</c:v>
                      </c:pt>
                      <c:pt idx="12">
                        <c:v>14.720609193072546</c:v>
                      </c:pt>
                      <c:pt idx="13">
                        <c:v>14.621160912576137</c:v>
                      </c:pt>
                      <c:pt idx="14">
                        <c:v>14.521951421413991</c:v>
                      </c:pt>
                      <c:pt idx="15">
                        <c:v>14.422976909118004</c:v>
                      </c:pt>
                      <c:pt idx="16">
                        <c:v>14.32423364586491</c:v>
                      </c:pt>
                      <c:pt idx="17">
                        <c:v>14.225717980354025</c:v>
                      </c:pt>
                      <c:pt idx="18">
                        <c:v>14.127426337751704</c:v>
                      </c:pt>
                      <c:pt idx="19">
                        <c:v>14.029355217700001</c:v>
                      </c:pt>
                      <c:pt idx="20">
                        <c:v>13.93150119238725</c:v>
                      </c:pt>
                      <c:pt idx="21">
                        <c:v>13.833860904678309</c:v>
                      </c:pt>
                      <c:pt idx="22">
                        <c:v>13.736431066302353</c:v>
                      </c:pt>
                      <c:pt idx="23">
                        <c:v>13.639208456096123</c:v>
                      </c:pt>
                      <c:pt idx="24">
                        <c:v>13.542189918300684</c:v>
                      </c:pt>
                      <c:pt idx="25">
                        <c:v>13.445372360909818</c:v>
                      </c:pt>
                      <c:pt idx="26">
                        <c:v>13.348752754068176</c:v>
                      </c:pt>
                      <c:pt idx="27">
                        <c:v>13.252328128517522</c:v>
                      </c:pt>
                    </c:numCache>
                  </c:numRef>
                </c:val>
                <c:smooth val="0"/>
                <c:extLst xmlns:c15="http://schemas.microsoft.com/office/drawing/2012/chart">
                  <c:ext xmlns:c16="http://schemas.microsoft.com/office/drawing/2014/chart" uri="{C3380CC4-5D6E-409C-BE32-E72D297353CC}">
                    <c16:uniqueId val="{00000007-C12B-479F-837B-890AE141662F}"/>
                  </c:ext>
                </c:extLst>
              </c15:ser>
            </c15:filteredLineSeries>
            <c15:filteredLineSeries>
              <c15:ser>
                <c:idx val="13"/>
                <c:order val="12"/>
                <c:tx>
                  <c:strRef>
                    <c:extLst xmlns:c15="http://schemas.microsoft.com/office/drawing/2012/chart">
                      <c:ext xmlns:c15="http://schemas.microsoft.com/office/drawing/2012/chart" uri="{02D57815-91ED-43cb-92C2-25804820EDAC}">
                        <c15:formulaRef>
                          <c15:sqref>'FOM Cost Curves'!$A$22</c15:sqref>
                        </c15:formulaRef>
                      </c:ext>
                    </c:extLst>
                    <c:strCache>
                      <c:ptCount val="1"/>
                      <c:pt idx="0">
                        <c:v>Wind + Battery, WA3</c:v>
                      </c:pt>
                    </c:strCache>
                  </c:strRef>
                </c:tx>
                <c:spPr>
                  <a:ln w="22225" cap="rnd">
                    <a:solidFill>
                      <a:srgbClr val="006671"/>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Curves'!$B$22:$AC$22</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0E-C12B-479F-837B-890AE141662F}"/>
                  </c:ext>
                </c:extLst>
              </c15:ser>
            </c15:filteredLineSeries>
            <c15:filteredLineSeries>
              <c15:ser>
                <c:idx val="14"/>
                <c:order val="13"/>
                <c:tx>
                  <c:strRef>
                    <c:extLst xmlns:c15="http://schemas.microsoft.com/office/drawing/2012/chart">
                      <c:ext xmlns:c15="http://schemas.microsoft.com/office/drawing/2012/chart" uri="{02D57815-91ED-43cb-92C2-25804820EDAC}">
                        <c15:formulaRef>
                          <c15:sqref>'FOM Cost Curves'!$A$23</c15:sqref>
                        </c15:formulaRef>
                      </c:ext>
                    </c:extLst>
                    <c:strCache>
                      <c:ptCount val="1"/>
                      <c:pt idx="0">
                        <c:v>Solar + Battery, WA3</c:v>
                      </c:pt>
                    </c:strCache>
                  </c:strRef>
                </c:tx>
                <c:spPr>
                  <a:ln w="22225" cap="rnd">
                    <a:solidFill>
                      <a:srgbClr val="58C3B4"/>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Curves'!$B$23:$AC$23</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0F-C12B-479F-837B-890AE141662F}"/>
                  </c:ext>
                </c:extLst>
              </c15:ser>
            </c15:filteredLineSeries>
            <c15:filteredLineSeries>
              <c15:ser>
                <c:idx val="15"/>
                <c:order val="14"/>
                <c:tx>
                  <c:strRef>
                    <c:extLst xmlns:c15="http://schemas.microsoft.com/office/drawing/2012/chart">
                      <c:ext xmlns:c15="http://schemas.microsoft.com/office/drawing/2012/chart" uri="{02D57815-91ED-43cb-92C2-25804820EDAC}">
                        <c15:formulaRef>
                          <c15:sqref>'FOM Cost Curves'!$A$24</c15:sqref>
                        </c15:formulaRef>
                      </c:ext>
                    </c:extLst>
                    <c:strCache>
                      <c:ptCount val="1"/>
                      <c:pt idx="0">
                        <c:v>Wind + Solar + Battery, WA3</c:v>
                      </c:pt>
                    </c:strCache>
                  </c:strRef>
                </c:tx>
                <c:spPr>
                  <a:ln w="22225" cap="rnd">
                    <a:solidFill>
                      <a:srgbClr val="668B53"/>
                    </a:solidFill>
                    <a:prstDash val="lgDash"/>
                    <a:round/>
                  </a:ln>
                  <a:effectLst/>
                </c:spPr>
                <c:marker>
                  <c:symbol val="none"/>
                </c:marker>
                <c:val>
                  <c:numRef>
                    <c:extLst xmlns:c15="http://schemas.microsoft.com/office/drawing/2012/chart">
                      <c:ext xmlns:c15="http://schemas.microsoft.com/office/drawing/2012/chart" uri="{02D57815-91ED-43cb-92C2-25804820EDAC}">
                        <c15:formulaRef>
                          <c15:sqref>'FOM Cost Curves'!$B$24:$AC$24</c15:sqref>
                        </c15:formulaRef>
                      </c:ext>
                    </c:extLst>
                    <c:numCache>
                      <c:formatCode>General</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smooth val="0"/>
                <c:extLst xmlns:c15="http://schemas.microsoft.com/office/drawing/2012/chart">
                  <c:ext xmlns:c16="http://schemas.microsoft.com/office/drawing/2014/chart" uri="{C3380CC4-5D6E-409C-BE32-E72D297353CC}">
                    <c16:uniqueId val="{00000010-C12B-479F-837B-890AE141662F}"/>
                  </c:ext>
                </c:extLst>
              </c15:ser>
            </c15:filteredLineSeries>
          </c:ext>
        </c:extLst>
      </c:lineChart>
      <c:catAx>
        <c:axId val="607171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7172304"/>
        <c:crosses val="autoZero"/>
        <c:auto val="1"/>
        <c:lblAlgn val="ctr"/>
        <c:lblOffset val="100"/>
        <c:noMultiLvlLbl val="0"/>
      </c:catAx>
      <c:valAx>
        <c:axId val="607172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Fixed O&amp;M ($/kW-yr)</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07171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Cost Curves, 2020$/kW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'Capital Cost Curves'!$B$5</c:f>
              <c:strCache>
                <c:ptCount val="1"/>
                <c:pt idx="0">
                  <c:v>Offshore Wind</c:v>
                </c:pt>
              </c:strCache>
            </c:strRef>
          </c:tx>
          <c:spPr>
            <a:ln w="28575" cap="rnd">
              <a:solidFill>
                <a:schemeClr val="accent1"/>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Curves'!$C$5:$AG$5</c:f>
              <c:numCache>
                <c:formatCode>_(* #,##0.00_);_(* \(#,##0.00\);_(* "-"??_);_(@_)</c:formatCode>
                <c:ptCount val="28"/>
                <c:pt idx="0">
                  <c:v>4728.1641758045389</c:v>
                </c:pt>
                <c:pt idx="1">
                  <c:v>4599.8595561826396</c:v>
                </c:pt>
                <c:pt idx="2">
                  <c:v>4495.0270487875168</c:v>
                </c:pt>
                <c:pt idx="3">
                  <c:v>4415.1774068772838</c:v>
                </c:pt>
                <c:pt idx="4">
                  <c:v>4346.8898841870778</c:v>
                </c:pt>
                <c:pt idx="5">
                  <c:v>4287.4173439635842</c:v>
                </c:pt>
                <c:pt idx="6">
                  <c:v>4234.8859302657229</c:v>
                </c:pt>
                <c:pt idx="7">
                  <c:v>4187.9604244539687</c:v>
                </c:pt>
                <c:pt idx="8">
                  <c:v>4137.429857493099</c:v>
                </c:pt>
                <c:pt idx="9">
                  <c:v>4090.9462419044276</c:v>
                </c:pt>
                <c:pt idx="10">
                  <c:v>4047.9091359671856</c:v>
                </c:pt>
                <c:pt idx="11">
                  <c:v>4007.8425488942157</c:v>
                </c:pt>
                <c:pt idx="12">
                  <c:v>3970.3627597364575</c:v>
                </c:pt>
                <c:pt idx="13">
                  <c:v>3935.1559095731986</c:v>
                </c:pt>
                <c:pt idx="14">
                  <c:v>3901.9620082945085</c:v>
                </c:pt>
                <c:pt idx="15">
                  <c:v>3870.5632712637012</c:v>
                </c:pt>
                <c:pt idx="16">
                  <c:v>3840.7754511375738</c:v>
                </c:pt>
                <c:pt idx="17">
                  <c:v>3812.4412867685955</c:v>
                </c:pt>
                <c:pt idx="18">
                  <c:v>3785.4254774987353</c:v>
                </c:pt>
                <c:pt idx="19">
                  <c:v>3759.6107755272697</c:v>
                </c:pt>
                <c:pt idx="20">
                  <c:v>3734.8949105378661</c:v>
                </c:pt>
                <c:pt idx="21">
                  <c:v>3711.18814253869</c:v>
                </c:pt>
                <c:pt idx="22">
                  <c:v>3688.4112949491951</c:v>
                </c:pt>
                <c:pt idx="23">
                  <c:v>3666.4941590959179</c:v>
                </c:pt>
                <c:pt idx="24">
                  <c:v>3645.3741890119536</c:v>
                </c:pt>
                <c:pt idx="25">
                  <c:v>3624.9954253741812</c:v>
                </c:pt>
                <c:pt idx="26">
                  <c:v>3605.3076019389823</c:v>
                </c:pt>
                <c:pt idx="27">
                  <c:v>3586.2653985499969</c:v>
                </c:pt>
              </c:numCache>
            </c:numRef>
          </c:val>
          <c:smooth val="0"/>
          <c:extLst>
            <c:ext xmlns:c16="http://schemas.microsoft.com/office/drawing/2014/chart" uri="{C3380CC4-5D6E-409C-BE32-E72D297353CC}">
              <c16:uniqueId val="{00000000-5B6E-4DD5-B2FE-CBA6B4BF08B8}"/>
            </c:ext>
          </c:extLst>
        </c:ser>
        <c:ser>
          <c:idx val="1"/>
          <c:order val="1"/>
          <c:tx>
            <c:strRef>
              <c:f>'Capital Cost Curves'!$B$6</c:f>
              <c:strCache>
                <c:ptCount val="1"/>
                <c:pt idx="0">
                  <c:v>Wind, BC</c:v>
                </c:pt>
              </c:strCache>
            </c:strRef>
          </c:tx>
          <c:spPr>
            <a:ln w="28575" cap="rnd">
              <a:solidFill>
                <a:schemeClr val="accent2"/>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Curves'!$C$6:$AG$6</c:f>
              <c:numCache>
                <c:formatCode>_(* #,##0.00_);_(* \(#,##0.00\);_(* "-"??_);_(@_)</c:formatCode>
                <c:ptCount val="28"/>
                <c:pt idx="0">
                  <c:v>1730.3999999999999</c:v>
                </c:pt>
                <c:pt idx="1">
                  <c:v>1662.6863955976764</c:v>
                </c:pt>
                <c:pt idx="2">
                  <c:v>1594.972791195353</c:v>
                </c:pt>
                <c:pt idx="3">
                  <c:v>1529.1598922080955</c:v>
                </c:pt>
                <c:pt idx="4">
                  <c:v>1463.1796459406828</c:v>
                </c:pt>
                <c:pt idx="5">
                  <c:v>1397.0318897308782</c:v>
                </c:pt>
                <c:pt idx="6">
                  <c:v>1330.7164602022794</c:v>
                </c:pt>
                <c:pt idx="7">
                  <c:v>1264.233193267278</c:v>
                </c:pt>
                <c:pt idx="8">
                  <c:v>1251.5908613346053</c:v>
                </c:pt>
                <c:pt idx="9">
                  <c:v>1238.9485294019323</c:v>
                </c:pt>
                <c:pt idx="10">
                  <c:v>1226.3061974692596</c:v>
                </c:pt>
                <c:pt idx="11">
                  <c:v>1213.6638655365866</c:v>
                </c:pt>
                <c:pt idx="12">
                  <c:v>1201.0215336039139</c:v>
                </c:pt>
                <c:pt idx="13">
                  <c:v>1188.3792016712412</c:v>
                </c:pt>
                <c:pt idx="14">
                  <c:v>1175.7368697385682</c:v>
                </c:pt>
                <c:pt idx="15">
                  <c:v>1163.0945378058955</c:v>
                </c:pt>
                <c:pt idx="16">
                  <c:v>1150.4522058732227</c:v>
                </c:pt>
                <c:pt idx="17">
                  <c:v>1137.8098739405498</c:v>
                </c:pt>
                <c:pt idx="18">
                  <c:v>1125.167542007877</c:v>
                </c:pt>
                <c:pt idx="19">
                  <c:v>1112.5252100752043</c:v>
                </c:pt>
                <c:pt idx="20">
                  <c:v>1099.8828781425316</c:v>
                </c:pt>
                <c:pt idx="21">
                  <c:v>1087.2405462098586</c:v>
                </c:pt>
                <c:pt idx="22">
                  <c:v>1074.5982142771859</c:v>
                </c:pt>
                <c:pt idx="23">
                  <c:v>1061.9558823445132</c:v>
                </c:pt>
                <c:pt idx="24">
                  <c:v>1049.3135504118402</c:v>
                </c:pt>
                <c:pt idx="25">
                  <c:v>1036.6712184791675</c:v>
                </c:pt>
                <c:pt idx="26">
                  <c:v>1024.0288865464945</c:v>
                </c:pt>
                <c:pt idx="27">
                  <c:v>1011.3865546138218</c:v>
                </c:pt>
              </c:numCache>
            </c:numRef>
          </c:val>
          <c:smooth val="0"/>
          <c:extLst>
            <c:ext xmlns:c16="http://schemas.microsoft.com/office/drawing/2014/chart" uri="{C3380CC4-5D6E-409C-BE32-E72D297353CC}">
              <c16:uniqueId val="{00000001-5B6E-4DD5-B2FE-CBA6B4BF08B8}"/>
            </c:ext>
          </c:extLst>
        </c:ser>
        <c:ser>
          <c:idx val="2"/>
          <c:order val="2"/>
          <c:tx>
            <c:strRef>
              <c:f>'Capital Cost Curves'!$B$7</c:f>
              <c:strCache>
                <c:ptCount val="1"/>
                <c:pt idx="0">
                  <c:v>Wind, WA</c:v>
                </c:pt>
              </c:strCache>
            </c:strRef>
          </c:tx>
          <c:spPr>
            <a:ln w="28575" cap="rnd">
              <a:solidFill>
                <a:schemeClr val="accent3"/>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Curves'!$C$7:$AG$7</c:f>
              <c:numCache>
                <c:formatCode>_(* #,##0.00_);_(* \(#,##0.00\);_(* "-"??_);_(@_)</c:formatCode>
                <c:ptCount val="28"/>
                <c:pt idx="0">
                  <c:v>1464.4</c:v>
                </c:pt>
                <c:pt idx="1">
                  <c:v>1407.0954448180985</c:v>
                </c:pt>
                <c:pt idx="2">
                  <c:v>1349.7908896361969</c:v>
                </c:pt>
                <c:pt idx="3">
                  <c:v>1294.0948602343592</c:v>
                </c:pt>
                <c:pt idx="4">
                  <c:v>1238.2572084578919</c:v>
                </c:pt>
                <c:pt idx="5">
                  <c:v>1182.2777966492708</c:v>
                </c:pt>
                <c:pt idx="6">
                  <c:v>1126.1564865465893</c:v>
                </c:pt>
                <c:pt idx="7">
                  <c:v>1069.8931392860623</c:v>
                </c:pt>
                <c:pt idx="8">
                  <c:v>1059.1942078932018</c:v>
                </c:pt>
                <c:pt idx="9">
                  <c:v>1048.4952765003411</c:v>
                </c:pt>
                <c:pt idx="10">
                  <c:v>1037.7963451074806</c:v>
                </c:pt>
                <c:pt idx="11">
                  <c:v>1027.09741371462</c:v>
                </c:pt>
                <c:pt idx="12">
                  <c:v>1016.3984823217594</c:v>
                </c:pt>
                <c:pt idx="13">
                  <c:v>1005.6995509288988</c:v>
                </c:pt>
                <c:pt idx="14">
                  <c:v>995.00061953603813</c:v>
                </c:pt>
                <c:pt idx="15">
                  <c:v>984.30168814317756</c:v>
                </c:pt>
                <c:pt idx="16">
                  <c:v>973.60275675031687</c:v>
                </c:pt>
                <c:pt idx="17">
                  <c:v>962.90382535745618</c:v>
                </c:pt>
                <c:pt idx="18">
                  <c:v>952.20489396459561</c:v>
                </c:pt>
                <c:pt idx="19">
                  <c:v>941.50596257173493</c:v>
                </c:pt>
                <c:pt idx="20">
                  <c:v>930.80703117887435</c:v>
                </c:pt>
                <c:pt idx="21">
                  <c:v>920.10809978601367</c:v>
                </c:pt>
                <c:pt idx="22">
                  <c:v>909.4091683931531</c:v>
                </c:pt>
                <c:pt idx="23">
                  <c:v>898.71023700029252</c:v>
                </c:pt>
                <c:pt idx="24">
                  <c:v>888.01130560743184</c:v>
                </c:pt>
                <c:pt idx="25">
                  <c:v>877.31237421457126</c:v>
                </c:pt>
                <c:pt idx="26">
                  <c:v>866.61344282171058</c:v>
                </c:pt>
                <c:pt idx="27">
                  <c:v>855.91451142885001</c:v>
                </c:pt>
              </c:numCache>
            </c:numRef>
          </c:val>
          <c:smooth val="0"/>
          <c:extLst>
            <c:ext xmlns:c16="http://schemas.microsoft.com/office/drawing/2014/chart" uri="{C3380CC4-5D6E-409C-BE32-E72D297353CC}">
              <c16:uniqueId val="{00000002-5B6E-4DD5-B2FE-CBA6B4BF08B8}"/>
            </c:ext>
          </c:extLst>
        </c:ser>
        <c:ser>
          <c:idx val="3"/>
          <c:order val="3"/>
          <c:tx>
            <c:strRef>
              <c:f>'Capital Cost Curves'!$B$8</c:f>
              <c:strCache>
                <c:ptCount val="1"/>
                <c:pt idx="0">
                  <c:v>Wind, MT</c:v>
                </c:pt>
              </c:strCache>
            </c:strRef>
          </c:tx>
          <c:spPr>
            <a:ln w="28575" cap="rnd">
              <a:solidFill>
                <a:schemeClr val="accent4"/>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Curves'!$C$8:$AG$8</c:f>
              <c:numCache>
                <c:formatCode>_(* #,##0.00_);_(* \(#,##0.00\);_(* "-"??_);_(@_)</c:formatCode>
                <c:ptCount val="28"/>
                <c:pt idx="0">
                  <c:v>2472.3999999999996</c:v>
                </c:pt>
                <c:pt idx="1">
                  <c:v>2375.6506267196573</c:v>
                </c:pt>
                <c:pt idx="2">
                  <c:v>2278.901253439315</c:v>
                </c:pt>
                <c:pt idx="3">
                  <c:v>2184.8676129769387</c:v>
                </c:pt>
                <c:pt idx="4">
                  <c:v>2090.5948662874152</c:v>
                </c:pt>
                <c:pt idx="5">
                  <c:v>1996.0827809585198</c:v>
                </c:pt>
                <c:pt idx="6">
                  <c:v>1901.3311235576255</c:v>
                </c:pt>
                <c:pt idx="7">
                  <c:v>1806.3396596359323</c:v>
                </c:pt>
                <c:pt idx="8">
                  <c:v>1788.2762630395732</c:v>
                </c:pt>
                <c:pt idx="9">
                  <c:v>1770.2128664432137</c:v>
                </c:pt>
                <c:pt idx="10">
                  <c:v>1752.1494698468546</c:v>
                </c:pt>
                <c:pt idx="11">
                  <c:v>1734.086073250495</c:v>
                </c:pt>
                <c:pt idx="12">
                  <c:v>1716.0226766541357</c:v>
                </c:pt>
                <c:pt idx="13">
                  <c:v>1697.9592800577766</c:v>
                </c:pt>
                <c:pt idx="14">
                  <c:v>1679.895883461417</c:v>
                </c:pt>
                <c:pt idx="15">
                  <c:v>1661.8324868650577</c:v>
                </c:pt>
                <c:pt idx="16">
                  <c:v>1643.7690902686984</c:v>
                </c:pt>
                <c:pt idx="17">
                  <c:v>1625.7056936723388</c:v>
                </c:pt>
                <c:pt idx="18">
                  <c:v>1607.6422970759795</c:v>
                </c:pt>
                <c:pt idx="19">
                  <c:v>1589.5789004796202</c:v>
                </c:pt>
                <c:pt idx="20">
                  <c:v>1571.5155038832609</c:v>
                </c:pt>
                <c:pt idx="21">
                  <c:v>1553.4521072869013</c:v>
                </c:pt>
                <c:pt idx="22">
                  <c:v>1535.3887106905422</c:v>
                </c:pt>
                <c:pt idx="23">
                  <c:v>1517.3253140941829</c:v>
                </c:pt>
                <c:pt idx="24">
                  <c:v>1499.2619174978236</c:v>
                </c:pt>
                <c:pt idx="25">
                  <c:v>1481.1985209014645</c:v>
                </c:pt>
                <c:pt idx="26">
                  <c:v>1463.1351243051049</c:v>
                </c:pt>
                <c:pt idx="27">
                  <c:v>1445.0717277087456</c:v>
                </c:pt>
              </c:numCache>
            </c:numRef>
          </c:val>
          <c:smooth val="0"/>
          <c:extLst>
            <c:ext xmlns:c16="http://schemas.microsoft.com/office/drawing/2014/chart" uri="{C3380CC4-5D6E-409C-BE32-E72D297353CC}">
              <c16:uniqueId val="{00000003-5B6E-4DD5-B2FE-CBA6B4BF08B8}"/>
            </c:ext>
          </c:extLst>
        </c:ser>
        <c:ser>
          <c:idx val="4"/>
          <c:order val="4"/>
          <c:tx>
            <c:strRef>
              <c:f>'Capital Cost Curves'!$B$9</c:f>
              <c:strCache>
                <c:ptCount val="1"/>
                <c:pt idx="0">
                  <c:v>Wind, ID/WY</c:v>
                </c:pt>
              </c:strCache>
            </c:strRef>
          </c:tx>
          <c:spPr>
            <a:ln w="28575" cap="rnd">
              <a:solidFill>
                <a:schemeClr val="accent5"/>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Curves'!$C$9:$AG$9</c:f>
              <c:numCache>
                <c:formatCode>_(* #,##0.00_);_(* \(#,##0.00\);_(* "-"??_);_(@_)</c:formatCode>
                <c:ptCount val="28"/>
                <c:pt idx="0">
                  <c:v>1771.5249999999999</c:v>
                </c:pt>
                <c:pt idx="1">
                  <c:v>1702.2021018037296</c:v>
                </c:pt>
                <c:pt idx="2">
                  <c:v>1632.8792036074594</c:v>
                </c:pt>
                <c:pt idx="3">
                  <c:v>1565.5021833356138</c:v>
                </c:pt>
                <c:pt idx="4">
                  <c:v>1497.9538385778246</c:v>
                </c:pt>
                <c:pt idx="5">
                  <c:v>1430.234002805995</c:v>
                </c:pt>
                <c:pt idx="6">
                  <c:v>1362.3425087608894</c:v>
                </c:pt>
                <c:pt idx="7">
                  <c:v>1294.2791884551632</c:v>
                </c:pt>
                <c:pt idx="8">
                  <c:v>1281.3363965706117</c:v>
                </c:pt>
                <c:pt idx="9">
                  <c:v>1268.3936046860599</c:v>
                </c:pt>
                <c:pt idx="10">
                  <c:v>1255.4508128015084</c:v>
                </c:pt>
                <c:pt idx="11">
                  <c:v>1242.5080209169566</c:v>
                </c:pt>
                <c:pt idx="12">
                  <c:v>1229.5652290324051</c:v>
                </c:pt>
                <c:pt idx="13">
                  <c:v>1216.6224371478536</c:v>
                </c:pt>
                <c:pt idx="14">
                  <c:v>1203.6796452633018</c:v>
                </c:pt>
                <c:pt idx="15">
                  <c:v>1190.7368533787503</c:v>
                </c:pt>
                <c:pt idx="16">
                  <c:v>1177.7940614941986</c:v>
                </c:pt>
                <c:pt idx="17">
                  <c:v>1164.8512696096468</c:v>
                </c:pt>
                <c:pt idx="18">
                  <c:v>1151.9084777250953</c:v>
                </c:pt>
                <c:pt idx="19">
                  <c:v>1138.9656858405435</c:v>
                </c:pt>
                <c:pt idx="20">
                  <c:v>1126.022893955992</c:v>
                </c:pt>
                <c:pt idx="21">
                  <c:v>1113.0801020714403</c:v>
                </c:pt>
                <c:pt idx="22">
                  <c:v>1100.1373101868887</c:v>
                </c:pt>
                <c:pt idx="23">
                  <c:v>1087.1945183023372</c:v>
                </c:pt>
                <c:pt idx="24">
                  <c:v>1074.2517264177854</c:v>
                </c:pt>
                <c:pt idx="25">
                  <c:v>1061.3089345332339</c:v>
                </c:pt>
                <c:pt idx="26">
                  <c:v>1048.3661426486822</c:v>
                </c:pt>
                <c:pt idx="27">
                  <c:v>1035.4233507641306</c:v>
                </c:pt>
              </c:numCache>
            </c:numRef>
          </c:val>
          <c:smooth val="0"/>
          <c:extLst>
            <c:ext xmlns:c16="http://schemas.microsoft.com/office/drawing/2014/chart" uri="{C3380CC4-5D6E-409C-BE32-E72D297353CC}">
              <c16:uniqueId val="{00000004-5B6E-4DD5-B2FE-CBA6B4BF08B8}"/>
            </c:ext>
          </c:extLst>
        </c:ser>
        <c:ser>
          <c:idx val="5"/>
          <c:order val="5"/>
          <c:tx>
            <c:strRef>
              <c:f>'Capital Cost Curves'!$B$10</c:f>
              <c:strCache>
                <c:ptCount val="1"/>
                <c:pt idx="0">
                  <c:v>Solar, WA</c:v>
                </c:pt>
              </c:strCache>
            </c:strRef>
          </c:tx>
          <c:spPr>
            <a:ln w="28575" cap="rnd">
              <a:solidFill>
                <a:schemeClr val="accent6"/>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Curves'!$C$10:$AG$10</c:f>
              <c:numCache>
                <c:formatCode>_(* #,##0.00_);_(* \(#,##0.00\);_(* "-"??_);_(@_)</c:formatCode>
                <c:ptCount val="28"/>
                <c:pt idx="0">
                  <c:v>1229.7840499881536</c:v>
                </c:pt>
                <c:pt idx="1">
                  <c:v>1177.0573376651764</c:v>
                </c:pt>
                <c:pt idx="2">
                  <c:v>1124.330625342199</c:v>
                </c:pt>
                <c:pt idx="3">
                  <c:v>1072.4269092034458</c:v>
                </c:pt>
                <c:pt idx="4">
                  <c:v>1020.4414501844576</c:v>
                </c:pt>
                <c:pt idx="5">
                  <c:v>968.37436744139427</c:v>
                </c:pt>
                <c:pt idx="6">
                  <c:v>916.22577967047619</c:v>
                </c:pt>
                <c:pt idx="7">
                  <c:v>863.99580511074726</c:v>
                </c:pt>
                <c:pt idx="8">
                  <c:v>856.29686276623067</c:v>
                </c:pt>
                <c:pt idx="9">
                  <c:v>848.59792042171421</c:v>
                </c:pt>
                <c:pt idx="10">
                  <c:v>840.89897807719774</c:v>
                </c:pt>
                <c:pt idx="11">
                  <c:v>833.20003573268127</c:v>
                </c:pt>
                <c:pt idx="12">
                  <c:v>825.5010933881648</c:v>
                </c:pt>
                <c:pt idx="13">
                  <c:v>817.80215104364834</c:v>
                </c:pt>
                <c:pt idx="14">
                  <c:v>810.10320869913187</c:v>
                </c:pt>
                <c:pt idx="15">
                  <c:v>802.4042663546154</c:v>
                </c:pt>
                <c:pt idx="16">
                  <c:v>794.70532401009882</c:v>
                </c:pt>
                <c:pt idx="17">
                  <c:v>787.00638166558235</c:v>
                </c:pt>
                <c:pt idx="18">
                  <c:v>779.30743932106589</c:v>
                </c:pt>
                <c:pt idx="19">
                  <c:v>771.60849697654942</c:v>
                </c:pt>
                <c:pt idx="20">
                  <c:v>763.90955463203295</c:v>
                </c:pt>
                <c:pt idx="21">
                  <c:v>756.21061228751648</c:v>
                </c:pt>
                <c:pt idx="22">
                  <c:v>748.51166994300002</c:v>
                </c:pt>
                <c:pt idx="23">
                  <c:v>740.81272759848355</c:v>
                </c:pt>
                <c:pt idx="24">
                  <c:v>733.11378525396697</c:v>
                </c:pt>
                <c:pt idx="25">
                  <c:v>725.4148429094505</c:v>
                </c:pt>
                <c:pt idx="26">
                  <c:v>717.71590056493403</c:v>
                </c:pt>
                <c:pt idx="27">
                  <c:v>710.01695822041768</c:v>
                </c:pt>
              </c:numCache>
            </c:numRef>
          </c:val>
          <c:smooth val="0"/>
          <c:extLst>
            <c:ext xmlns:c16="http://schemas.microsoft.com/office/drawing/2014/chart" uri="{C3380CC4-5D6E-409C-BE32-E72D297353CC}">
              <c16:uniqueId val="{00000005-5B6E-4DD5-B2FE-CBA6B4BF08B8}"/>
            </c:ext>
          </c:extLst>
        </c:ser>
        <c:ser>
          <c:idx val="6"/>
          <c:order val="6"/>
          <c:tx>
            <c:strRef>
              <c:f>'Capital Cost Curves'!$B$11</c:f>
              <c:strCache>
                <c:ptCount val="1"/>
                <c:pt idx="0">
                  <c:v>Solar, ID/WY</c:v>
                </c:pt>
              </c:strCache>
            </c:strRef>
          </c:tx>
          <c:spPr>
            <a:ln w="28575" cap="rnd">
              <a:solidFill>
                <a:schemeClr val="accent1">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Curves'!$C$11:$AG$11</c:f>
              <c:numCache>
                <c:formatCode>_(* #,##0.00_);_(* \(#,##0.00\);_(* "-"??_);_(@_)</c:formatCode>
                <c:ptCount val="28"/>
                <c:pt idx="0">
                  <c:v>1536.9090499881536</c:v>
                </c:pt>
                <c:pt idx="1">
                  <c:v>1471.0144229224618</c:v>
                </c:pt>
                <c:pt idx="2">
                  <c:v>1405.1197958567698</c:v>
                </c:pt>
                <c:pt idx="3">
                  <c:v>1340.2536991933478</c:v>
                </c:pt>
                <c:pt idx="4">
                  <c:v>1275.285445267107</c:v>
                </c:pt>
                <c:pt idx="5">
                  <c:v>1210.2151829921434</c:v>
                </c:pt>
                <c:pt idx="6">
                  <c:v>1145.043060707749</c:v>
                </c:pt>
                <c:pt idx="7">
                  <c:v>1079.7692261818647</c:v>
                </c:pt>
                <c:pt idx="8">
                  <c:v>1070.14755791845</c:v>
                </c:pt>
                <c:pt idx="9">
                  <c:v>1060.5258896550356</c:v>
                </c:pt>
                <c:pt idx="10">
                  <c:v>1050.9042213916211</c:v>
                </c:pt>
                <c:pt idx="11">
                  <c:v>1041.2825531282067</c:v>
                </c:pt>
                <c:pt idx="12">
                  <c:v>1031.6608848647923</c:v>
                </c:pt>
                <c:pt idx="13">
                  <c:v>1022.0392166013778</c:v>
                </c:pt>
                <c:pt idx="14">
                  <c:v>1012.4175483379634</c:v>
                </c:pt>
                <c:pt idx="15">
                  <c:v>1002.7958800745489</c:v>
                </c:pt>
                <c:pt idx="16">
                  <c:v>993.17421181113434</c:v>
                </c:pt>
                <c:pt idx="17">
                  <c:v>983.55254354771978</c:v>
                </c:pt>
                <c:pt idx="18">
                  <c:v>973.93087528430533</c:v>
                </c:pt>
                <c:pt idx="19">
                  <c:v>964.30920702089088</c:v>
                </c:pt>
                <c:pt idx="20">
                  <c:v>954.68753875747643</c:v>
                </c:pt>
                <c:pt idx="21">
                  <c:v>945.06587049406187</c:v>
                </c:pt>
                <c:pt idx="22">
                  <c:v>935.44420223064731</c:v>
                </c:pt>
                <c:pt idx="23">
                  <c:v>925.82253396723274</c:v>
                </c:pt>
                <c:pt idx="24">
                  <c:v>916.20086570381807</c:v>
                </c:pt>
                <c:pt idx="25">
                  <c:v>906.5791974404035</c:v>
                </c:pt>
                <c:pt idx="26">
                  <c:v>896.95752917698894</c:v>
                </c:pt>
                <c:pt idx="27">
                  <c:v>887.33586091357461</c:v>
                </c:pt>
              </c:numCache>
            </c:numRef>
          </c:val>
          <c:smooth val="0"/>
          <c:extLst>
            <c:ext xmlns:c16="http://schemas.microsoft.com/office/drawing/2014/chart" uri="{C3380CC4-5D6E-409C-BE32-E72D297353CC}">
              <c16:uniqueId val="{00000006-5B6E-4DD5-B2FE-CBA6B4BF08B8}"/>
            </c:ext>
          </c:extLst>
        </c:ser>
        <c:ser>
          <c:idx val="7"/>
          <c:order val="7"/>
          <c:tx>
            <c:strRef>
              <c:f>'Capital Cost Curves'!$B$12</c:f>
              <c:strCache>
                <c:ptCount val="1"/>
                <c:pt idx="0">
                  <c:v>Solar, DER (Residential)</c:v>
                </c:pt>
              </c:strCache>
            </c:strRef>
          </c:tx>
          <c:spPr>
            <a:ln w="28575" cap="rnd">
              <a:solidFill>
                <a:schemeClr val="accent2">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Curves'!$C$12:$AG$12</c:f>
              <c:numCache>
                <c:formatCode>_(* #,##0.00_);_(* \(#,##0.00\);_(* "-"??_);_(@_)</c:formatCode>
                <c:ptCount val="28"/>
                <c:pt idx="0">
                  <c:v>2286.9841372703927</c:v>
                </c:pt>
                <c:pt idx="1">
                  <c:v>2105.4762059055888</c:v>
                </c:pt>
                <c:pt idx="2">
                  <c:v>1923.9682745407852</c:v>
                </c:pt>
                <c:pt idx="3">
                  <c:v>1742.4603431759813</c:v>
                </c:pt>
                <c:pt idx="4">
                  <c:v>1560.9524118111776</c:v>
                </c:pt>
                <c:pt idx="5">
                  <c:v>1379.444480446374</c:v>
                </c:pt>
                <c:pt idx="6">
                  <c:v>1197.9365490815703</c:v>
                </c:pt>
                <c:pt idx="7">
                  <c:v>1016.4286177167668</c:v>
                </c:pt>
                <c:pt idx="8">
                  <c:v>1005.1611528807431</c:v>
                </c:pt>
                <c:pt idx="9">
                  <c:v>993.8936880447194</c:v>
                </c:pt>
                <c:pt idx="10">
                  <c:v>982.62622320869571</c:v>
                </c:pt>
                <c:pt idx="11">
                  <c:v>971.35875837267201</c:v>
                </c:pt>
                <c:pt idx="12">
                  <c:v>960.09129353664832</c:v>
                </c:pt>
                <c:pt idx="13">
                  <c:v>948.82382870062463</c:v>
                </c:pt>
                <c:pt idx="14">
                  <c:v>937.55636386460094</c:v>
                </c:pt>
                <c:pt idx="15">
                  <c:v>926.28889902857725</c:v>
                </c:pt>
                <c:pt idx="16">
                  <c:v>915.02143419255356</c:v>
                </c:pt>
                <c:pt idx="17">
                  <c:v>903.75396935652986</c:v>
                </c:pt>
                <c:pt idx="18">
                  <c:v>892.48650452050617</c:v>
                </c:pt>
                <c:pt idx="19">
                  <c:v>881.21903968448248</c:v>
                </c:pt>
                <c:pt idx="20">
                  <c:v>869.95157484845879</c:v>
                </c:pt>
                <c:pt idx="21">
                  <c:v>858.6841100124351</c:v>
                </c:pt>
                <c:pt idx="22">
                  <c:v>847.41664517641141</c:v>
                </c:pt>
                <c:pt idx="23">
                  <c:v>836.14918034038772</c:v>
                </c:pt>
                <c:pt idx="24">
                  <c:v>824.88171550436402</c:v>
                </c:pt>
                <c:pt idx="25">
                  <c:v>813.61425066834033</c:v>
                </c:pt>
                <c:pt idx="26">
                  <c:v>802.34678583231664</c:v>
                </c:pt>
                <c:pt idx="27">
                  <c:v>791.0793209962934</c:v>
                </c:pt>
              </c:numCache>
            </c:numRef>
          </c:val>
          <c:smooth val="0"/>
          <c:extLst>
            <c:ext xmlns:c16="http://schemas.microsoft.com/office/drawing/2014/chart" uri="{C3380CC4-5D6E-409C-BE32-E72D297353CC}">
              <c16:uniqueId val="{00000007-5B6E-4DD5-B2FE-CBA6B4BF08B8}"/>
            </c:ext>
          </c:extLst>
        </c:ser>
        <c:ser>
          <c:idx val="8"/>
          <c:order val="8"/>
          <c:tx>
            <c:strRef>
              <c:f>'Capital Cost Curves'!$B$13</c:f>
              <c:strCache>
                <c:ptCount val="1"/>
                <c:pt idx="0">
                  <c:v>Biomass</c:v>
                </c:pt>
              </c:strCache>
            </c:strRef>
          </c:tx>
          <c:spPr>
            <a:ln w="28575" cap="rnd">
              <a:solidFill>
                <a:schemeClr val="accent3">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Curves'!$C$13:$AG$13</c:f>
              <c:numCache>
                <c:formatCode>_(* #,##0.00_);_(* \(#,##0.00\);_(* "-"??_);_(@_)</c:formatCode>
                <c:ptCount val="28"/>
                <c:pt idx="0">
                  <c:v>4905.5465615733265</c:v>
                </c:pt>
                <c:pt idx="1">
                  <c:v>4874.1811780848857</c:v>
                </c:pt>
                <c:pt idx="2">
                  <c:v>4842.1302162830971</c:v>
                </c:pt>
                <c:pt idx="3">
                  <c:v>4821.9069201170787</c:v>
                </c:pt>
                <c:pt idx="4">
                  <c:v>4801.5619338522074</c:v>
                </c:pt>
                <c:pt idx="5">
                  <c:v>4781.0984377262157</c:v>
                </c:pt>
                <c:pt idx="6">
                  <c:v>4760.5129998603361</c:v>
                </c:pt>
                <c:pt idx="7">
                  <c:v>4739.8063548700447</c:v>
                </c:pt>
                <c:pt idx="8">
                  <c:v>4708.082961616351</c:v>
                </c:pt>
                <c:pt idx="9">
                  <c:v>4676.3597570236971</c:v>
                </c:pt>
                <c:pt idx="10">
                  <c:v>4644.6398402102996</c:v>
                </c:pt>
                <c:pt idx="11">
                  <c:v>4612.9139275125044</c:v>
                </c:pt>
                <c:pt idx="12">
                  <c:v>4581.1922009472628</c:v>
                </c:pt>
                <c:pt idx="13">
                  <c:v>4549.4696594276311</c:v>
                </c:pt>
                <c:pt idx="14">
                  <c:v>4517.749762397897</c:v>
                </c:pt>
                <c:pt idx="15">
                  <c:v>4486.027149350205</c:v>
                </c:pt>
                <c:pt idx="16">
                  <c:v>4454.3051990040285</c:v>
                </c:pt>
                <c:pt idx="17">
                  <c:v>4422.5839696320263</c:v>
                </c:pt>
                <c:pt idx="18">
                  <c:v>4390.8583337261116</c:v>
                </c:pt>
                <c:pt idx="19">
                  <c:v>4359.1360636737336</c:v>
                </c:pt>
                <c:pt idx="20">
                  <c:v>4327.4136538964194</c:v>
                </c:pt>
                <c:pt idx="21">
                  <c:v>4295.6921074466354</c:v>
                </c:pt>
                <c:pt idx="22">
                  <c:v>4263.9733896296193</c:v>
                </c:pt>
                <c:pt idx="23">
                  <c:v>4232.2506954217743</c:v>
                </c:pt>
                <c:pt idx="24">
                  <c:v>4200.5279451876913</c:v>
                </c:pt>
                <c:pt idx="25">
                  <c:v>4168.8036845973029</c:v>
                </c:pt>
                <c:pt idx="26">
                  <c:v>4137.0816644699935</c:v>
                </c:pt>
                <c:pt idx="27">
                  <c:v>4105.3596067022481</c:v>
                </c:pt>
              </c:numCache>
            </c:numRef>
          </c:val>
          <c:smooth val="0"/>
          <c:extLst>
            <c:ext xmlns:c16="http://schemas.microsoft.com/office/drawing/2014/chart" uri="{C3380CC4-5D6E-409C-BE32-E72D297353CC}">
              <c16:uniqueId val="{00000008-5B6E-4DD5-B2FE-CBA6B4BF08B8}"/>
            </c:ext>
          </c:extLst>
        </c:ser>
        <c:ser>
          <c:idx val="9"/>
          <c:order val="9"/>
          <c:tx>
            <c:strRef>
              <c:f>'Capital Cost Curves'!$B$14</c:f>
              <c:strCache>
                <c:ptCount val="1"/>
                <c:pt idx="0">
                  <c:v>PHES, WA/OR</c:v>
                </c:pt>
              </c:strCache>
            </c:strRef>
          </c:tx>
          <c:spPr>
            <a:ln w="28575" cap="rnd">
              <a:solidFill>
                <a:schemeClr val="accent4">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Curves'!$C$14:$AG$14</c:f>
              <c:numCache>
                <c:formatCode>0.00</c:formatCode>
                <c:ptCount val="28"/>
                <c:pt idx="0">
                  <c:v>3910.0621861874979</c:v>
                </c:pt>
                <c:pt idx="1">
                  <c:v>3910.0621861874979</c:v>
                </c:pt>
                <c:pt idx="2">
                  <c:v>3910.0621861874979</c:v>
                </c:pt>
                <c:pt idx="3">
                  <c:v>3914.9135031063756</c:v>
                </c:pt>
                <c:pt idx="4">
                  <c:v>3919.7680306525813</c:v>
                </c:pt>
                <c:pt idx="5">
                  <c:v>3924.625778842576</c:v>
                </c:pt>
                <c:pt idx="6">
                  <c:v>3929.4867576601473</c:v>
                </c:pt>
                <c:pt idx="7">
                  <c:v>3934.3509770566161</c:v>
                </c:pt>
                <c:pt idx="8">
                  <c:v>3934.3509770566161</c:v>
                </c:pt>
                <c:pt idx="9">
                  <c:v>3934.3509770566161</c:v>
                </c:pt>
                <c:pt idx="10">
                  <c:v>3934.3509770566161</c:v>
                </c:pt>
                <c:pt idx="11">
                  <c:v>3934.3509770566161</c:v>
                </c:pt>
                <c:pt idx="12">
                  <c:v>3934.3509770566161</c:v>
                </c:pt>
                <c:pt idx="13">
                  <c:v>3934.3509770566161</c:v>
                </c:pt>
                <c:pt idx="14">
                  <c:v>3934.3509770566161</c:v>
                </c:pt>
                <c:pt idx="15">
                  <c:v>3934.3509770566161</c:v>
                </c:pt>
                <c:pt idx="16">
                  <c:v>3934.3509770566161</c:v>
                </c:pt>
                <c:pt idx="17">
                  <c:v>3934.3509770566161</c:v>
                </c:pt>
                <c:pt idx="18">
                  <c:v>3934.3509770566161</c:v>
                </c:pt>
                <c:pt idx="19">
                  <c:v>3934.3509770566161</c:v>
                </c:pt>
                <c:pt idx="20">
                  <c:v>3934.3509770566161</c:v>
                </c:pt>
                <c:pt idx="21">
                  <c:v>3934.3509770566161</c:v>
                </c:pt>
                <c:pt idx="22">
                  <c:v>3934.3509770566161</c:v>
                </c:pt>
                <c:pt idx="23">
                  <c:v>3934.3509770566161</c:v>
                </c:pt>
                <c:pt idx="24">
                  <c:v>3934.3509770566161</c:v>
                </c:pt>
                <c:pt idx="25">
                  <c:v>3934.3509770566161</c:v>
                </c:pt>
                <c:pt idx="26">
                  <c:v>3934.3509770566161</c:v>
                </c:pt>
                <c:pt idx="27">
                  <c:v>3934.3509770566161</c:v>
                </c:pt>
              </c:numCache>
            </c:numRef>
          </c:val>
          <c:smooth val="0"/>
          <c:extLst>
            <c:ext xmlns:c16="http://schemas.microsoft.com/office/drawing/2014/chart" uri="{C3380CC4-5D6E-409C-BE32-E72D297353CC}">
              <c16:uniqueId val="{00000009-5B6E-4DD5-B2FE-CBA6B4BF08B8}"/>
            </c:ext>
          </c:extLst>
        </c:ser>
        <c:ser>
          <c:idx val="10"/>
          <c:order val="10"/>
          <c:tx>
            <c:strRef>
              <c:f>'Capital Cost Curves'!$B$15</c:f>
              <c:strCache>
                <c:ptCount val="1"/>
                <c:pt idx="0">
                  <c:v>PHES, MT</c:v>
                </c:pt>
              </c:strCache>
            </c:strRef>
          </c:tx>
          <c:spPr>
            <a:ln w="28575" cap="rnd">
              <a:solidFill>
                <a:schemeClr val="accent5">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Curves'!$C$15:$AG$15</c:f>
              <c:numCache>
                <c:formatCode>0.00</c:formatCode>
                <c:ptCount val="28"/>
                <c:pt idx="0">
                  <c:v>3602.0621861874979</c:v>
                </c:pt>
                <c:pt idx="1">
                  <c:v>3602.0621861874979</c:v>
                </c:pt>
                <c:pt idx="2">
                  <c:v>3602.0621861874979</c:v>
                </c:pt>
                <c:pt idx="3">
                  <c:v>3606.5313594115023</c:v>
                </c:pt>
                <c:pt idx="4">
                  <c:v>3611.0034903581054</c:v>
                </c:pt>
                <c:pt idx="5">
                  <c:v>3615.4785882547612</c:v>
                </c:pt>
                <c:pt idx="6">
                  <c:v>3619.9566622988227</c:v>
                </c:pt>
                <c:pt idx="7">
                  <c:v>3624.4377216577341</c:v>
                </c:pt>
                <c:pt idx="8">
                  <c:v>3624.4377216577341</c:v>
                </c:pt>
                <c:pt idx="9">
                  <c:v>3624.4377216577341</c:v>
                </c:pt>
                <c:pt idx="10">
                  <c:v>3624.4377216577341</c:v>
                </c:pt>
                <c:pt idx="11">
                  <c:v>3624.4377216577341</c:v>
                </c:pt>
                <c:pt idx="12">
                  <c:v>3624.4377216577341</c:v>
                </c:pt>
                <c:pt idx="13">
                  <c:v>3624.4377216577341</c:v>
                </c:pt>
                <c:pt idx="14">
                  <c:v>3624.4377216577341</c:v>
                </c:pt>
                <c:pt idx="15">
                  <c:v>3624.4377216577341</c:v>
                </c:pt>
                <c:pt idx="16">
                  <c:v>3624.4377216577341</c:v>
                </c:pt>
                <c:pt idx="17">
                  <c:v>3624.4377216577341</c:v>
                </c:pt>
                <c:pt idx="18">
                  <c:v>3624.4377216577341</c:v>
                </c:pt>
                <c:pt idx="19">
                  <c:v>3624.4377216577341</c:v>
                </c:pt>
                <c:pt idx="20">
                  <c:v>3624.4377216577341</c:v>
                </c:pt>
                <c:pt idx="21">
                  <c:v>3624.4377216577341</c:v>
                </c:pt>
                <c:pt idx="22">
                  <c:v>3624.4377216577341</c:v>
                </c:pt>
                <c:pt idx="23">
                  <c:v>3624.4377216577341</c:v>
                </c:pt>
                <c:pt idx="24">
                  <c:v>3624.4377216577341</c:v>
                </c:pt>
                <c:pt idx="25">
                  <c:v>3624.4377216577341</c:v>
                </c:pt>
                <c:pt idx="26">
                  <c:v>3624.4377216577341</c:v>
                </c:pt>
                <c:pt idx="27">
                  <c:v>3624.4377216577341</c:v>
                </c:pt>
              </c:numCache>
            </c:numRef>
          </c:val>
          <c:smooth val="0"/>
          <c:extLst>
            <c:ext xmlns:c16="http://schemas.microsoft.com/office/drawing/2014/chart" uri="{C3380CC4-5D6E-409C-BE32-E72D297353CC}">
              <c16:uniqueId val="{0000000A-5B6E-4DD5-B2FE-CBA6B4BF08B8}"/>
            </c:ext>
          </c:extLst>
        </c:ser>
        <c:ser>
          <c:idx val="11"/>
          <c:order val="11"/>
          <c:tx>
            <c:strRef>
              <c:f>'Capital Cost Curves'!$B$16</c:f>
              <c:strCache>
                <c:ptCount val="1"/>
                <c:pt idx="0">
                  <c:v>Battery, LI 2hr</c:v>
                </c:pt>
              </c:strCache>
            </c:strRef>
          </c:tx>
          <c:spPr>
            <a:ln w="28575" cap="rnd">
              <a:solidFill>
                <a:schemeClr val="accent6">
                  <a:lumMod val="6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Curves'!$C$16:$AG$16</c:f>
              <c:numCache>
                <c:formatCode>_(* #,##0.00_);_(* \(#,##0.00\);_(* "-"??_);_(@_)</c:formatCode>
                <c:ptCount val="28"/>
                <c:pt idx="0">
                  <c:v>804.03666804273098</c:v>
                </c:pt>
                <c:pt idx="1">
                  <c:v>762.6858815648651</c:v>
                </c:pt>
                <c:pt idx="2">
                  <c:v>724.37094129925447</c:v>
                </c:pt>
                <c:pt idx="3">
                  <c:v>702.97265385320145</c:v>
                </c:pt>
                <c:pt idx="4">
                  <c:v>683.0201548213887</c:v>
                </c:pt>
                <c:pt idx="5">
                  <c:v>657.42877151639004</c:v>
                </c:pt>
                <c:pt idx="6">
                  <c:v>643.1151567577632</c:v>
                </c:pt>
                <c:pt idx="7">
                  <c:v>624.60844614019061</c:v>
                </c:pt>
                <c:pt idx="8">
                  <c:v>617.17531833018495</c:v>
                </c:pt>
                <c:pt idx="9">
                  <c:v>609.36771275343199</c:v>
                </c:pt>
                <c:pt idx="10">
                  <c:v>601.56010717668028</c:v>
                </c:pt>
                <c:pt idx="11">
                  <c:v>593.75250159992856</c:v>
                </c:pt>
                <c:pt idx="12">
                  <c:v>585.94489602317572</c:v>
                </c:pt>
                <c:pt idx="13">
                  <c:v>578.13729044642287</c:v>
                </c:pt>
                <c:pt idx="14">
                  <c:v>570.3296848696699</c:v>
                </c:pt>
                <c:pt idx="15">
                  <c:v>562.52207929291831</c:v>
                </c:pt>
                <c:pt idx="16">
                  <c:v>554.71447371616671</c:v>
                </c:pt>
                <c:pt idx="17">
                  <c:v>546.90686813941363</c:v>
                </c:pt>
                <c:pt idx="18">
                  <c:v>539.0992625626609</c:v>
                </c:pt>
                <c:pt idx="19">
                  <c:v>531.29165698590805</c:v>
                </c:pt>
                <c:pt idx="20">
                  <c:v>523.48405140915622</c:v>
                </c:pt>
                <c:pt idx="21">
                  <c:v>515.67644583240462</c:v>
                </c:pt>
                <c:pt idx="22">
                  <c:v>507.86884025565166</c:v>
                </c:pt>
                <c:pt idx="23">
                  <c:v>500.06123467889898</c:v>
                </c:pt>
                <c:pt idx="24">
                  <c:v>492.25362910214602</c:v>
                </c:pt>
                <c:pt idx="25">
                  <c:v>484.44602352539442</c:v>
                </c:pt>
                <c:pt idx="26">
                  <c:v>476.63841794864271</c:v>
                </c:pt>
                <c:pt idx="27">
                  <c:v>468.9356397683639</c:v>
                </c:pt>
              </c:numCache>
            </c:numRef>
          </c:val>
          <c:smooth val="0"/>
          <c:extLst>
            <c:ext xmlns:c16="http://schemas.microsoft.com/office/drawing/2014/chart" uri="{C3380CC4-5D6E-409C-BE32-E72D297353CC}">
              <c16:uniqueId val="{0000000B-5B6E-4DD5-B2FE-CBA6B4BF08B8}"/>
            </c:ext>
          </c:extLst>
        </c:ser>
        <c:ser>
          <c:idx val="12"/>
          <c:order val="12"/>
          <c:tx>
            <c:strRef>
              <c:f>'Capital Cost Curves'!$B$17</c:f>
              <c:strCache>
                <c:ptCount val="1"/>
                <c:pt idx="0">
                  <c:v>Battery, LI 4hr</c:v>
                </c:pt>
              </c:strCache>
            </c:strRef>
          </c:tx>
          <c:spPr>
            <a:ln w="28575" cap="rnd">
              <a:solidFill>
                <a:schemeClr val="accent1">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Curves'!$C$17:$AG$17</c:f>
              <c:numCache>
                <c:formatCode>_(* #,##0.00_);_(* \(#,##0.00\);_(* "-"??_);_(@_)</c:formatCode>
                <c:ptCount val="28"/>
                <c:pt idx="0">
                  <c:v>1313.7082337710517</c:v>
                </c:pt>
                <c:pt idx="1">
                  <c:v>1220.653900545602</c:v>
                </c:pt>
                <c:pt idx="2">
                  <c:v>1154.9684888570496</c:v>
                </c:pt>
                <c:pt idx="3">
                  <c:v>1105.704430090635</c:v>
                </c:pt>
                <c:pt idx="4">
                  <c:v>1061.9141556315999</c:v>
                </c:pt>
                <c:pt idx="5">
                  <c:v>1012.6500968651856</c:v>
                </c:pt>
                <c:pt idx="6">
                  <c:v>974.33360671352989</c:v>
                </c:pt>
                <c:pt idx="7">
                  <c:v>936.0171165618741</c:v>
                </c:pt>
                <c:pt idx="8">
                  <c:v>924.78217427097854</c:v>
                </c:pt>
                <c:pt idx="9">
                  <c:v>913.08196031395346</c:v>
                </c:pt>
                <c:pt idx="10">
                  <c:v>901.38174635693144</c:v>
                </c:pt>
                <c:pt idx="11">
                  <c:v>889.68153239990943</c:v>
                </c:pt>
                <c:pt idx="12">
                  <c:v>877.98131844288434</c:v>
                </c:pt>
                <c:pt idx="13">
                  <c:v>866.28110448586131</c:v>
                </c:pt>
                <c:pt idx="14">
                  <c:v>854.58089052883622</c:v>
                </c:pt>
                <c:pt idx="15">
                  <c:v>842.88067657181421</c:v>
                </c:pt>
                <c:pt idx="16">
                  <c:v>831.18046261479219</c:v>
                </c:pt>
                <c:pt idx="17">
                  <c:v>819.48024865776711</c:v>
                </c:pt>
                <c:pt idx="18">
                  <c:v>807.78003470074407</c:v>
                </c:pt>
                <c:pt idx="19">
                  <c:v>796.0798207437191</c:v>
                </c:pt>
                <c:pt idx="20">
                  <c:v>784.37960678669708</c:v>
                </c:pt>
                <c:pt idx="21">
                  <c:v>772.67939282967507</c:v>
                </c:pt>
                <c:pt idx="22">
                  <c:v>760.97917887264998</c:v>
                </c:pt>
                <c:pt idx="23">
                  <c:v>749.27896491562706</c:v>
                </c:pt>
                <c:pt idx="24">
                  <c:v>737.57875095860197</c:v>
                </c:pt>
                <c:pt idx="25">
                  <c:v>725.87853700158007</c:v>
                </c:pt>
                <c:pt idx="26">
                  <c:v>714.17832304455806</c:v>
                </c:pt>
                <c:pt idx="27">
                  <c:v>702.47810908753297</c:v>
                </c:pt>
              </c:numCache>
            </c:numRef>
          </c:val>
          <c:smooth val="0"/>
          <c:extLst>
            <c:ext xmlns:c16="http://schemas.microsoft.com/office/drawing/2014/chart" uri="{C3380CC4-5D6E-409C-BE32-E72D297353CC}">
              <c16:uniqueId val="{0000000C-5B6E-4DD5-B2FE-CBA6B4BF08B8}"/>
            </c:ext>
          </c:extLst>
        </c:ser>
        <c:ser>
          <c:idx val="13"/>
          <c:order val="13"/>
          <c:tx>
            <c:strRef>
              <c:f>'Capital Cost Curves'!$B$18</c:f>
              <c:strCache>
                <c:ptCount val="1"/>
                <c:pt idx="0">
                  <c:v>Battery, LI 6hr</c:v>
                </c:pt>
              </c:strCache>
            </c:strRef>
          </c:tx>
          <c:spPr>
            <a:ln w="28575" cap="rnd">
              <a:solidFill>
                <a:schemeClr val="accent2">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Curves'!$C$18:$AG$18</c:f>
              <c:numCache>
                <c:formatCode>_(* #,##0.00_);_(* \(#,##0.00\);_(* "-"??_);_(@_)</c:formatCode>
                <c:ptCount val="28"/>
                <c:pt idx="0">
                  <c:v>1823.3797994993702</c:v>
                </c:pt>
                <c:pt idx="1">
                  <c:v>1679.2717639470475</c:v>
                </c:pt>
                <c:pt idx="2">
                  <c:v>1586.2944734418652</c:v>
                </c:pt>
                <c:pt idx="3">
                  <c:v>1509.5292257232582</c:v>
                </c:pt>
                <c:pt idx="4">
                  <c:v>1442.18643788954</c:v>
                </c:pt>
                <c:pt idx="5">
                  <c:v>1369.4396357936305</c:v>
                </c:pt>
                <c:pt idx="6">
                  <c:v>1307.5008622221042</c:v>
                </c:pt>
                <c:pt idx="7">
                  <c:v>1249.5805342732751</c:v>
                </c:pt>
                <c:pt idx="8">
                  <c:v>1234.5205799477146</c:v>
                </c:pt>
                <c:pt idx="9">
                  <c:v>1218.9008232692963</c:v>
                </c:pt>
                <c:pt idx="10">
                  <c:v>1203.2810665908823</c:v>
                </c:pt>
                <c:pt idx="11">
                  <c:v>1187.6613099124684</c:v>
                </c:pt>
                <c:pt idx="12">
                  <c:v>1172.0415532340498</c:v>
                </c:pt>
                <c:pt idx="13">
                  <c:v>1156.421796555635</c:v>
                </c:pt>
                <c:pt idx="14">
                  <c:v>1140.8020398772162</c:v>
                </c:pt>
                <c:pt idx="15">
                  <c:v>1125.1822831988025</c:v>
                </c:pt>
                <c:pt idx="16">
                  <c:v>1109.5625265203885</c:v>
                </c:pt>
                <c:pt idx="17">
                  <c:v>1093.9427698419699</c:v>
                </c:pt>
                <c:pt idx="18">
                  <c:v>1078.3230131635553</c:v>
                </c:pt>
                <c:pt idx="19">
                  <c:v>1062.7032564851365</c:v>
                </c:pt>
                <c:pt idx="20">
                  <c:v>1047.0834998067226</c:v>
                </c:pt>
                <c:pt idx="21">
                  <c:v>1031.4637431283088</c:v>
                </c:pt>
                <c:pt idx="22">
                  <c:v>1015.8439864498902</c:v>
                </c:pt>
                <c:pt idx="23">
                  <c:v>1000.2242297714754</c:v>
                </c:pt>
                <c:pt idx="24">
                  <c:v>984.60447309305675</c:v>
                </c:pt>
                <c:pt idx="25">
                  <c:v>968.984716414643</c:v>
                </c:pt>
                <c:pt idx="26">
                  <c:v>953.36495973622937</c:v>
                </c:pt>
                <c:pt idx="27">
                  <c:v>937.64474191724287</c:v>
                </c:pt>
              </c:numCache>
            </c:numRef>
          </c:val>
          <c:smooth val="0"/>
          <c:extLst>
            <c:ext xmlns:c16="http://schemas.microsoft.com/office/drawing/2014/chart" uri="{C3380CC4-5D6E-409C-BE32-E72D297353CC}">
              <c16:uniqueId val="{0000000D-5B6E-4DD5-B2FE-CBA6B4BF08B8}"/>
            </c:ext>
          </c:extLst>
        </c:ser>
        <c:ser>
          <c:idx val="14"/>
          <c:order val="14"/>
          <c:tx>
            <c:strRef>
              <c:f>'Capital Cost Curves'!$B$19</c:f>
              <c:strCache>
                <c:ptCount val="1"/>
                <c:pt idx="0">
                  <c:v>Battery, DER (Residential)</c:v>
                </c:pt>
              </c:strCache>
            </c:strRef>
          </c:tx>
          <c:spPr>
            <a:ln w="28575" cap="rnd">
              <a:solidFill>
                <a:schemeClr val="accent3">
                  <a:lumMod val="80000"/>
                  <a:lumOff val="20000"/>
                </a:schemeClr>
              </a:solidFill>
              <a:round/>
            </a:ln>
            <a:effectLst/>
          </c:spPr>
          <c:marker>
            <c:symbol val="none"/>
          </c:marker>
          <c:cat>
            <c:numRef>
              <c:f>'Capital Cost Curves'!$F$4:$AG$4</c:f>
              <c:numCache>
                <c:formatCode>General</c:formatCode>
                <c:ptCount val="28"/>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pt idx="21">
                  <c:v>2044</c:v>
                </c:pt>
                <c:pt idx="22">
                  <c:v>2045</c:v>
                </c:pt>
                <c:pt idx="23">
                  <c:v>2046</c:v>
                </c:pt>
                <c:pt idx="24">
                  <c:v>2047</c:v>
                </c:pt>
                <c:pt idx="25">
                  <c:v>2048</c:v>
                </c:pt>
                <c:pt idx="26">
                  <c:v>2049</c:v>
                </c:pt>
                <c:pt idx="27">
                  <c:v>2050</c:v>
                </c:pt>
              </c:numCache>
            </c:numRef>
          </c:cat>
          <c:val>
            <c:numRef>
              <c:f>'Capital Cost Curves'!$C$19:$AG$19</c:f>
              <c:numCache>
                <c:formatCode>_(* #,##0.00_);_(* \(#,##0.00\);_(* "-"??_);_(@_)</c:formatCode>
                <c:ptCount val="28"/>
                <c:pt idx="0">
                  <c:v>3922.5730125978253</c:v>
                </c:pt>
                <c:pt idx="1">
                  <c:v>3641.424193089128</c:v>
                </c:pt>
                <c:pt idx="2">
                  <c:v>3374.6374867063932</c:v>
                </c:pt>
                <c:pt idx="3">
                  <c:v>3238.1631211732542</c:v>
                </c:pt>
                <c:pt idx="4">
                  <c:v>3117.042354841833</c:v>
                </c:pt>
                <c:pt idx="5">
                  <c:v>3013.0519987539087</c:v>
                </c:pt>
                <c:pt idx="6">
                  <c:v>2913.5514503574818</c:v>
                </c:pt>
                <c:pt idx="7">
                  <c:v>2823.4878988190967</c:v>
                </c:pt>
                <c:pt idx="8">
                  <c:v>2788.9573149555104</c:v>
                </c:pt>
                <c:pt idx="9">
                  <c:v>2753.6641300340143</c:v>
                </c:pt>
                <c:pt idx="10">
                  <c:v>2718.3709451125169</c:v>
                </c:pt>
                <c:pt idx="11">
                  <c:v>2683.077760191024</c:v>
                </c:pt>
                <c:pt idx="12">
                  <c:v>2647.7845752695239</c:v>
                </c:pt>
                <c:pt idx="13">
                  <c:v>2612.4913903480328</c:v>
                </c:pt>
                <c:pt idx="14">
                  <c:v>2577.1982054265327</c:v>
                </c:pt>
                <c:pt idx="15">
                  <c:v>2541.905020505038</c:v>
                </c:pt>
                <c:pt idx="16">
                  <c:v>2506.6118355835392</c:v>
                </c:pt>
                <c:pt idx="17">
                  <c:v>2471.318650662045</c:v>
                </c:pt>
                <c:pt idx="18">
                  <c:v>2436.0254657405435</c:v>
                </c:pt>
                <c:pt idx="19">
                  <c:v>2400.732280819052</c:v>
                </c:pt>
                <c:pt idx="20">
                  <c:v>2365.4390958975514</c:v>
                </c:pt>
                <c:pt idx="21">
                  <c:v>2330.1459109760553</c:v>
                </c:pt>
                <c:pt idx="22">
                  <c:v>2294.852726054557</c:v>
                </c:pt>
                <c:pt idx="23">
                  <c:v>2259.5595411330628</c:v>
                </c:pt>
                <c:pt idx="24">
                  <c:v>2224.266356211564</c:v>
                </c:pt>
                <c:pt idx="25">
                  <c:v>2188.9731712900693</c:v>
                </c:pt>
                <c:pt idx="26">
                  <c:v>2153.6799863685746</c:v>
                </c:pt>
                <c:pt idx="27">
                  <c:v>2117.6159241143237</c:v>
                </c:pt>
              </c:numCache>
            </c:numRef>
          </c:val>
          <c:smooth val="0"/>
          <c:extLst>
            <c:ext xmlns:c16="http://schemas.microsoft.com/office/drawing/2014/chart" uri="{C3380CC4-5D6E-409C-BE32-E72D297353CC}">
              <c16:uniqueId val="{0000000E-5B6E-4DD5-B2FE-CBA6B4BF08B8}"/>
            </c:ext>
          </c:extLst>
        </c:ser>
        <c:ser>
          <c:idx val="15"/>
          <c:order val="15"/>
          <c:tx>
            <c:strRef>
              <c:f>'Capital Cost Curves'!$B$23</c:f>
              <c:strCache>
                <c:ptCount val="1"/>
                <c:pt idx="0">
                  <c:v>Frame Peaker</c:v>
                </c:pt>
              </c:strCache>
            </c:strRef>
          </c:tx>
          <c:spPr>
            <a:ln w="28575" cap="rnd">
              <a:solidFill>
                <a:schemeClr val="accent4">
                  <a:lumMod val="80000"/>
                  <a:lumOff val="20000"/>
                </a:schemeClr>
              </a:solidFill>
              <a:round/>
            </a:ln>
            <a:effectLst/>
          </c:spPr>
          <c:marker>
            <c:symbol val="none"/>
          </c:marker>
          <c:val>
            <c:numRef>
              <c:f>'Capital Cost Curves'!$F$23:$AG$23</c:f>
              <c:numCache>
                <c:formatCode>_(* #,##0.00_);_(* \(#,##0.00\);_(* "-"??_);_(@_)</c:formatCode>
                <c:ptCount val="28"/>
                <c:pt idx="0">
                  <c:v>943.71551884765506</c:v>
                </c:pt>
                <c:pt idx="1">
                  <c:v>921.88148370722092</c:v>
                </c:pt>
                <c:pt idx="2">
                  <c:v>904.89945637577216</c:v>
                </c:pt>
                <c:pt idx="3">
                  <c:v>895.19544075780141</c:v>
                </c:pt>
                <c:pt idx="4">
                  <c:v>883.06542123533791</c:v>
                </c:pt>
                <c:pt idx="5">
                  <c:v>875.7874095218599</c:v>
                </c:pt>
                <c:pt idx="6">
                  <c:v>868.50939780838166</c:v>
                </c:pt>
                <c:pt idx="7">
                  <c:v>863.6573899993964</c:v>
                </c:pt>
                <c:pt idx="8">
                  <c:v>857.59238023816465</c:v>
                </c:pt>
                <c:pt idx="9">
                  <c:v>852.74037242917927</c:v>
                </c:pt>
                <c:pt idx="10">
                  <c:v>847.8883646201939</c:v>
                </c:pt>
                <c:pt idx="11">
                  <c:v>844.24935876345489</c:v>
                </c:pt>
                <c:pt idx="12">
                  <c:v>839.39735095446952</c:v>
                </c:pt>
                <c:pt idx="13">
                  <c:v>834.54534314548414</c:v>
                </c:pt>
                <c:pt idx="14">
                  <c:v>829.69333533649865</c:v>
                </c:pt>
                <c:pt idx="15">
                  <c:v>826.05432947975964</c:v>
                </c:pt>
                <c:pt idx="16">
                  <c:v>821.20232167077438</c:v>
                </c:pt>
                <c:pt idx="17">
                  <c:v>816.35031386178889</c:v>
                </c:pt>
                <c:pt idx="18">
                  <c:v>811.49830605280363</c:v>
                </c:pt>
                <c:pt idx="19">
                  <c:v>807.85930019606462</c:v>
                </c:pt>
                <c:pt idx="20">
                  <c:v>803.00729238707913</c:v>
                </c:pt>
                <c:pt idx="21">
                  <c:v>798.15528457809376</c:v>
                </c:pt>
                <c:pt idx="22">
                  <c:v>793.30327676910838</c:v>
                </c:pt>
                <c:pt idx="23">
                  <c:v>789.66427091236937</c:v>
                </c:pt>
                <c:pt idx="24">
                  <c:v>784.81226310338411</c:v>
                </c:pt>
                <c:pt idx="25">
                  <c:v>781.17325724664511</c:v>
                </c:pt>
                <c:pt idx="26">
                  <c:v>779.96025529439873</c:v>
                </c:pt>
                <c:pt idx="27">
                  <c:v>777.53425138990599</c:v>
                </c:pt>
              </c:numCache>
            </c:numRef>
          </c:val>
          <c:smooth val="0"/>
          <c:extLst>
            <c:ext xmlns:c16="http://schemas.microsoft.com/office/drawing/2014/chart" uri="{C3380CC4-5D6E-409C-BE32-E72D297353CC}">
              <c16:uniqueId val="{0000000F-5B6E-4DD5-B2FE-CBA6B4BF08B8}"/>
            </c:ext>
          </c:extLst>
        </c:ser>
        <c:ser>
          <c:idx val="16"/>
          <c:order val="16"/>
          <c:tx>
            <c:strRef>
              <c:f>'Capital Cost Curves'!$B$24</c:f>
              <c:strCache>
                <c:ptCount val="1"/>
                <c:pt idx="0">
                  <c:v>CCCT</c:v>
                </c:pt>
              </c:strCache>
            </c:strRef>
          </c:tx>
          <c:spPr>
            <a:ln w="28575" cap="rnd">
              <a:solidFill>
                <a:schemeClr val="accent5">
                  <a:lumMod val="80000"/>
                  <a:lumOff val="20000"/>
                </a:schemeClr>
              </a:solidFill>
              <a:round/>
            </a:ln>
            <a:effectLst/>
          </c:spPr>
          <c:marker>
            <c:symbol val="none"/>
          </c:marker>
          <c:val>
            <c:numRef>
              <c:f>'Capital Cost Curves'!$F$24:$AG$24</c:f>
              <c:numCache>
                <c:formatCode>_(* #,##0.00_);_(* \(#,##0.00\);_(* "-"??_);_(@_)</c:formatCode>
                <c:ptCount val="28"/>
                <c:pt idx="0">
                  <c:v>987.08880069031079</c:v>
                </c:pt>
                <c:pt idx="1">
                  <c:v>973.5978375829261</c:v>
                </c:pt>
                <c:pt idx="2">
                  <c:v>964.60386217800306</c:v>
                </c:pt>
                <c:pt idx="3">
                  <c:v>957.85838062431071</c:v>
                </c:pt>
                <c:pt idx="4">
                  <c:v>949.9886521450029</c:v>
                </c:pt>
                <c:pt idx="5">
                  <c:v>944.36741751692591</c:v>
                </c:pt>
                <c:pt idx="6">
                  <c:v>938.74618288884903</c:v>
                </c:pt>
                <c:pt idx="7">
                  <c:v>935.37344211200286</c:v>
                </c:pt>
                <c:pt idx="8">
                  <c:v>929.75220748392587</c:v>
                </c:pt>
                <c:pt idx="9">
                  <c:v>926.3794667070797</c:v>
                </c:pt>
                <c:pt idx="10">
                  <c:v>921.88247900461829</c:v>
                </c:pt>
                <c:pt idx="11">
                  <c:v>918.509738227772</c:v>
                </c:pt>
                <c:pt idx="12">
                  <c:v>914.01275052531048</c:v>
                </c:pt>
                <c:pt idx="13">
                  <c:v>910.64000974846431</c:v>
                </c:pt>
                <c:pt idx="14">
                  <c:v>906.14302204600267</c:v>
                </c:pt>
                <c:pt idx="15">
                  <c:v>902.7702812691565</c:v>
                </c:pt>
                <c:pt idx="16">
                  <c:v>898.27329356669497</c:v>
                </c:pt>
                <c:pt idx="17">
                  <c:v>894.90055278984869</c:v>
                </c:pt>
                <c:pt idx="18">
                  <c:v>891.52781201300263</c:v>
                </c:pt>
                <c:pt idx="19">
                  <c:v>887.03082431054111</c:v>
                </c:pt>
                <c:pt idx="20">
                  <c:v>883.65808353369493</c:v>
                </c:pt>
                <c:pt idx="21">
                  <c:v>879.1610958312333</c:v>
                </c:pt>
                <c:pt idx="22">
                  <c:v>875.78835505438713</c:v>
                </c:pt>
                <c:pt idx="23">
                  <c:v>871.2913673519256</c:v>
                </c:pt>
                <c:pt idx="24">
                  <c:v>867.91862657507943</c:v>
                </c:pt>
                <c:pt idx="25">
                  <c:v>863.4216388726179</c:v>
                </c:pt>
                <c:pt idx="26">
                  <c:v>861.17314502138709</c:v>
                </c:pt>
                <c:pt idx="27">
                  <c:v>858.92465117015627</c:v>
                </c:pt>
              </c:numCache>
            </c:numRef>
          </c:val>
          <c:smooth val="0"/>
          <c:extLst>
            <c:ext xmlns:c16="http://schemas.microsoft.com/office/drawing/2014/chart" uri="{C3380CC4-5D6E-409C-BE32-E72D297353CC}">
              <c16:uniqueId val="{00000010-5B6E-4DD5-B2FE-CBA6B4BF08B8}"/>
            </c:ext>
          </c:extLst>
        </c:ser>
        <c:ser>
          <c:idx val="17"/>
          <c:order val="17"/>
          <c:tx>
            <c:strRef>
              <c:f>'Capital Cost Curves'!$B$25</c:f>
              <c:strCache>
                <c:ptCount val="1"/>
                <c:pt idx="0">
                  <c:v>Reciprocating Peaker</c:v>
                </c:pt>
              </c:strCache>
            </c:strRef>
          </c:tx>
          <c:spPr>
            <a:ln w="28575" cap="rnd">
              <a:solidFill>
                <a:schemeClr val="accent6">
                  <a:lumMod val="80000"/>
                  <a:lumOff val="20000"/>
                </a:schemeClr>
              </a:solidFill>
              <a:round/>
            </a:ln>
            <a:effectLst/>
          </c:spPr>
          <c:marker>
            <c:symbol val="none"/>
          </c:marker>
          <c:val>
            <c:numRef>
              <c:f>'Capital Cost Curves'!$F$25:$AG$25</c:f>
              <c:numCache>
                <c:formatCode>General</c:formatCode>
                <c:ptCount val="28"/>
                <c:pt idx="0" formatCode="0.00">
                  <c:v>2045.2460424148403</c:v>
                </c:pt>
                <c:pt idx="1">
                  <c:v>2017.6824514858074</c:v>
                </c:pt>
                <c:pt idx="2">
                  <c:v>2001.3624067105279</c:v>
                </c:pt>
                <c:pt idx="3" formatCode="0.00">
                  <c:v>1982.8688738528283</c:v>
                </c:pt>
                <c:pt idx="4">
                  <c:v>1958.4339334389911</c:v>
                </c:pt>
                <c:pt idx="5">
                  <c:v>1932.7305976191174</c:v>
                </c:pt>
                <c:pt idx="6" formatCode="0.00">
                  <c:v>1908.0153834986131</c:v>
                </c:pt>
                <c:pt idx="7">
                  <c:v>1889.1543640086456</c:v>
                </c:pt>
                <c:pt idx="8">
                  <c:v>1872.3998995052766</c:v>
                </c:pt>
                <c:pt idx="9" formatCode="0.00">
                  <c:v>1855.7150296371694</c:v>
                </c:pt>
                <c:pt idx="10">
                  <c:v>1839.7399081196165</c:v>
                </c:pt>
                <c:pt idx="11">
                  <c:v>1826.3146348456294</c:v>
                </c:pt>
                <c:pt idx="12" formatCode="0.00">
                  <c:v>1811.8199845166164</c:v>
                </c:pt>
                <c:pt idx="13">
                  <c:v>1799.7024045952205</c:v>
                </c:pt>
                <c:pt idx="14">
                  <c:v>1791.8774184122419</c:v>
                </c:pt>
                <c:pt idx="15" formatCode="0.00">
                  <c:v>1784.4688494416575</c:v>
                </c:pt>
                <c:pt idx="16">
                  <c:v>1777.0702962915559</c:v>
                </c:pt>
                <c:pt idx="17">
                  <c:v>1769.2043651852171</c:v>
                </c:pt>
                <c:pt idx="18" formatCode="0.00">
                  <c:v>1760.0334033041734</c:v>
                </c:pt>
                <c:pt idx="19">
                  <c:v>1750.5578285976994</c:v>
                </c:pt>
                <c:pt idx="20">
                  <c:v>1740.6259052796586</c:v>
                </c:pt>
                <c:pt idx="21" formatCode="0.00">
                  <c:v>1729.9754857342627</c:v>
                </c:pt>
                <c:pt idx="22">
                  <c:v>1719.3459825866028</c:v>
                </c:pt>
                <c:pt idx="23">
                  <c:v>1709.6764602653977</c:v>
                </c:pt>
                <c:pt idx="24" formatCode="0.00">
                  <c:v>1699.5917865985862</c:v>
                </c:pt>
                <c:pt idx="25">
                  <c:v>1690.4241207480468</c:v>
                </c:pt>
                <c:pt idx="26">
                  <c:v>1682.4880892827987</c:v>
                </c:pt>
                <c:pt idx="27" formatCode="0.00">
                  <c:v>1673.6950099260755</c:v>
                </c:pt>
              </c:numCache>
            </c:numRef>
          </c:val>
          <c:smooth val="0"/>
          <c:extLst>
            <c:ext xmlns:c16="http://schemas.microsoft.com/office/drawing/2014/chart" uri="{C3380CC4-5D6E-409C-BE32-E72D297353CC}">
              <c16:uniqueId val="{00000011-5B6E-4DD5-B2FE-CBA6B4BF08B8}"/>
            </c:ext>
          </c:extLst>
        </c:ser>
        <c:ser>
          <c:idx val="18"/>
          <c:order val="18"/>
          <c:tx>
            <c:strRef>
              <c:f>'Capital Cost Curves'!$B$26</c:f>
              <c:strCache>
                <c:ptCount val="1"/>
                <c:pt idx="0">
                  <c:v>Small Modular Nuclear</c:v>
                </c:pt>
              </c:strCache>
            </c:strRef>
          </c:tx>
          <c:spPr>
            <a:ln w="28575" cap="rnd">
              <a:solidFill>
                <a:schemeClr val="accent1">
                  <a:lumMod val="80000"/>
                </a:schemeClr>
              </a:solidFill>
              <a:round/>
            </a:ln>
            <a:effectLst/>
          </c:spPr>
          <c:marker>
            <c:symbol val="none"/>
          </c:marker>
          <c:val>
            <c:numRef>
              <c:f>'Capital Cost Curves'!$F$26:$AG$26</c:f>
              <c:numCache>
                <c:formatCode>0.00</c:formatCode>
                <c:ptCount val="28"/>
                <c:pt idx="0">
                  <c:v>10930.335336856853</c:v>
                </c:pt>
                <c:pt idx="1">
                  <c:v>10860.709006502622</c:v>
                </c:pt>
                <c:pt idx="2">
                  <c:v>10791.090586630118</c:v>
                </c:pt>
                <c:pt idx="3">
                  <c:v>10769.87123729926</c:v>
                </c:pt>
                <c:pt idx="4">
                  <c:v>10748.279120937505</c:v>
                </c:pt>
                <c:pt idx="5">
                  <c:v>10726.320005951786</c:v>
                </c:pt>
                <c:pt idx="6">
                  <c:v>10703.982179410061</c:v>
                </c:pt>
                <c:pt idx="7">
                  <c:v>10681.264685799628</c:v>
                </c:pt>
                <c:pt idx="8">
                  <c:v>10610.052132831048</c:v>
                </c:pt>
                <c:pt idx="9">
                  <c:v>10538.842648379556</c:v>
                </c:pt>
                <c:pt idx="10">
                  <c:v>10467.638987396824</c:v>
                </c:pt>
                <c:pt idx="11">
                  <c:v>10396.421742150109</c:v>
                </c:pt>
                <c:pt idx="12">
                  <c:v>10325.214710458307</c:v>
                </c:pt>
                <c:pt idx="13">
                  <c:v>10254.005213536853</c:v>
                </c:pt>
                <c:pt idx="14">
                  <c:v>10182.801554157419</c:v>
                </c:pt>
                <c:pt idx="15">
                  <c:v>10111.591678065246</c:v>
                </c:pt>
                <c:pt idx="16">
                  <c:v>10040.383486506757</c:v>
                </c:pt>
                <c:pt idx="17">
                  <c:v>9969.1777852147079</c:v>
                </c:pt>
                <c:pt idx="18">
                  <c:v>9897.961569522633</c:v>
                </c:pt>
                <c:pt idx="19">
                  <c:v>9826.7529660078126</c:v>
                </c:pt>
                <c:pt idx="20">
                  <c:v>9755.5439860259594</c:v>
                </c:pt>
                <c:pt idx="21">
                  <c:v>9684.3349614080562</c:v>
                </c:pt>
                <c:pt idx="22">
                  <c:v>9613.1348743850667</c:v>
                </c:pt>
                <c:pt idx="23">
                  <c:v>9541.9248560960077</c:v>
                </c:pt>
                <c:pt idx="24">
                  <c:v>9470.7162957288856</c:v>
                </c:pt>
                <c:pt idx="25">
                  <c:v>9399.5025121769158</c:v>
                </c:pt>
                <c:pt idx="26">
                  <c:v>9328.2939978253653</c:v>
                </c:pt>
                <c:pt idx="27">
                  <c:v>9257.0856485492041</c:v>
                </c:pt>
              </c:numCache>
            </c:numRef>
          </c:val>
          <c:smooth val="0"/>
          <c:extLst>
            <c:ext xmlns:c16="http://schemas.microsoft.com/office/drawing/2014/chart" uri="{C3380CC4-5D6E-409C-BE32-E72D297353CC}">
              <c16:uniqueId val="{00000012-5B6E-4DD5-B2FE-CBA6B4BF08B8}"/>
            </c:ext>
          </c:extLst>
        </c:ser>
        <c:dLbls>
          <c:showLegendKey val="0"/>
          <c:showVal val="0"/>
          <c:showCatName val="0"/>
          <c:showSerName val="0"/>
          <c:showPercent val="0"/>
          <c:showBubbleSize val="0"/>
        </c:dLbls>
        <c:smooth val="0"/>
        <c:axId val="618406664"/>
        <c:axId val="618463080"/>
      </c:lineChart>
      <c:catAx>
        <c:axId val="618406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63080"/>
        <c:crosses val="autoZero"/>
        <c:auto val="1"/>
        <c:lblAlgn val="ctr"/>
        <c:lblOffset val="100"/>
        <c:noMultiLvlLbl val="0"/>
      </c:catAx>
      <c:valAx>
        <c:axId val="61846308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0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'Capital Cost Comparisons'!$C$3</c:f>
              <c:strCache>
                <c:ptCount val="1"/>
                <c:pt idx="0">
                  <c:v>2021 IRP </c:v>
                </c:pt>
              </c:strCache>
            </c:strRef>
          </c:tx>
          <c:spPr>
            <a:solidFill>
              <a:srgbClr val="58C3B4"/>
            </a:solidFill>
            <a:ln>
              <a:no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Comparisons'!$C$4:$C$27</c:f>
              <c:numCache>
                <c:formatCode>"$"#,##0</c:formatCode>
                <c:ptCount val="24"/>
                <c:pt idx="0">
                  <c:v>5658.1000723585184</c:v>
                </c:pt>
                <c:pt idx="1">
                  <c:v>0</c:v>
                </c:pt>
                <c:pt idx="2">
                  <c:v>1867.6880602512365</c:v>
                </c:pt>
                <c:pt idx="3">
                  <c:v>1864.3260717003852</c:v>
                </c:pt>
                <c:pt idx="4">
                  <c:v>1864.3260717003852</c:v>
                </c:pt>
                <c:pt idx="5">
                  <c:v>1727.334360666423</c:v>
                </c:pt>
                <c:pt idx="6">
                  <c:v>1727.334360666423</c:v>
                </c:pt>
                <c:pt idx="7">
                  <c:v>3771.7946753864007</c:v>
                </c:pt>
                <c:pt idx="8">
                  <c:v>7396.172711324868</c:v>
                </c:pt>
                <c:pt idx="9">
                  <c:v>2790.6197427058523</c:v>
                </c:pt>
                <c:pt idx="10">
                  <c:v>2790.6197427058523</c:v>
                </c:pt>
                <c:pt idx="11">
                  <c:v>1148.5186051531791</c:v>
                </c:pt>
                <c:pt idx="12">
                  <c:v>2032.2210771780972</c:v>
                </c:pt>
                <c:pt idx="13">
                  <c:v>0</c:v>
                </c:pt>
                <c:pt idx="14">
                  <c:v>0</c:v>
                </c:pt>
                <c:pt idx="15">
                  <c:v>2714.5859988639741</c:v>
                </c:pt>
                <c:pt idx="16">
                  <c:v>2588.2676692376426</c:v>
                </c:pt>
                <c:pt idx="17">
                  <c:v>0</c:v>
                </c:pt>
                <c:pt idx="18">
                  <c:v>1002.6813171724959</c:v>
                </c:pt>
                <c:pt idx="19">
                  <c:v>1308.6115731861505</c:v>
                </c:pt>
                <c:pt idx="20">
                  <c:v>1768.5435617338949</c:v>
                </c:pt>
                <c:pt idx="21">
                  <c:v>0</c:v>
                </c:pt>
                <c:pt idx="22">
                  <c:v>2682.3087558668362</c:v>
                </c:pt>
                <c:pt idx="23">
                  <c:v>3713.8926487112894</c:v>
                </c:pt>
              </c:numCache>
            </c:numRef>
          </c:val>
          <c:extLst>
            <c:ext xmlns:c16="http://schemas.microsoft.com/office/drawing/2014/chart" uri="{C3380CC4-5D6E-409C-BE32-E72D297353CC}">
              <c16:uniqueId val="{00000000-F64D-41EC-B3F8-75366A23FAFA}"/>
            </c:ext>
          </c:extLst>
        </c:ser>
        <c:ser>
          <c:idx val="1"/>
          <c:order val="1"/>
          <c:tx>
            <c:strRef>
              <c:f>'Capital Cost Comparisons'!$D$3</c:f>
              <c:strCache>
                <c:ptCount val="1"/>
                <c:pt idx="0">
                  <c:v>2023 PR, 2021 ATB</c:v>
                </c:pt>
              </c:strCache>
            </c:strRef>
          </c:tx>
          <c:spPr>
            <a:solidFill>
              <a:srgbClr val="C3E7E3"/>
            </a:solidFill>
            <a:ln>
              <a:no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Comparisons'!$D$4:$D$27</c:f>
              <c:numCache>
                <c:formatCode>"$"#,##0</c:formatCode>
                <c:ptCount val="24"/>
                <c:pt idx="0">
                  <c:v>4807.7764799274364</c:v>
                </c:pt>
                <c:pt idx="1">
                  <c:v>1660.8193719929088</c:v>
                </c:pt>
                <c:pt idx="2">
                  <c:v>1427.5557609521395</c:v>
                </c:pt>
                <c:pt idx="3">
                  <c:v>1801.1283109648004</c:v>
                </c:pt>
                <c:pt idx="4">
                  <c:v>1696.8831539630282</c:v>
                </c:pt>
                <c:pt idx="5">
                  <c:v>1360.4149247675616</c:v>
                </c:pt>
                <c:pt idx="6">
                  <c:v>1624.5323407860496</c:v>
                </c:pt>
                <c:pt idx="7">
                  <c:v>2253.2786335714422</c:v>
                </c:pt>
                <c:pt idx="8">
                  <c:v>4948.7418244488335</c:v>
                </c:pt>
                <c:pt idx="9">
                  <c:v>0</c:v>
                </c:pt>
                <c:pt idx="10">
                  <c:v>0</c:v>
                </c:pt>
                <c:pt idx="11">
                  <c:v>787.26613199242126</c:v>
                </c:pt>
                <c:pt idx="12">
                  <c:v>1287.3477849714945</c:v>
                </c:pt>
                <c:pt idx="13">
                  <c:v>1790.7555229045499</c:v>
                </c:pt>
                <c:pt idx="14">
                  <c:v>3631.6262819813978</c:v>
                </c:pt>
                <c:pt idx="15">
                  <c:v>1285.4150668738312</c:v>
                </c:pt>
                <c:pt idx="16">
                  <c:v>1225.7472163960679</c:v>
                </c:pt>
                <c:pt idx="17">
                  <c:v>1572.5153891899349</c:v>
                </c:pt>
                <c:pt idx="18">
                  <c:v>1005.0058953948637</c:v>
                </c:pt>
                <c:pt idx="19">
                  <c:v>1079.1536971466483</c:v>
                </c:pt>
                <c:pt idx="20">
                  <c:v>0</c:v>
                </c:pt>
                <c:pt idx="21">
                  <c:v>0</c:v>
                </c:pt>
                <c:pt idx="22">
                  <c:v>0</c:v>
                </c:pt>
                <c:pt idx="23">
                  <c:v>0</c:v>
                </c:pt>
              </c:numCache>
            </c:numRef>
          </c:val>
          <c:extLst>
            <c:ext xmlns:c16="http://schemas.microsoft.com/office/drawing/2014/chart" uri="{C3380CC4-5D6E-409C-BE32-E72D297353CC}">
              <c16:uniqueId val="{00000001-F64D-41EC-B3F8-75366A23FAFA}"/>
            </c:ext>
          </c:extLst>
        </c:ser>
        <c:ser>
          <c:idx val="2"/>
          <c:order val="2"/>
          <c:tx>
            <c:strRef>
              <c:f>'Capital Cost Comparisons'!$E$3</c:f>
              <c:strCache>
                <c:ptCount val="1"/>
                <c:pt idx="0">
                  <c:v>2023 PR, 2022 ATB</c:v>
                </c:pt>
              </c:strCache>
            </c:strRef>
          </c:tx>
          <c:spPr>
            <a:solidFill>
              <a:srgbClr val="006671"/>
            </a:solidFill>
            <a:ln>
              <a:solidFill>
                <a:srgbClr val="006671"/>
              </a:solidFill>
            </a:ln>
            <a:effectLst/>
          </c:spPr>
          <c:invertIfNegative val="0"/>
          <c:cat>
            <c:strRef>
              <c:f>'Capital Cost Comparisons'!$B$4:$B$27</c:f>
              <c:strCache>
                <c:ptCount val="24"/>
                <c:pt idx="0">
                  <c:v>Offshore Wind</c:v>
                </c:pt>
                <c:pt idx="1">
                  <c:v>Wind, BC</c:v>
                </c:pt>
                <c:pt idx="2">
                  <c:v>Wind, WA</c:v>
                </c:pt>
                <c:pt idx="3">
                  <c:v>Wind, MT</c:v>
                </c:pt>
                <c:pt idx="4">
                  <c:v>Wind, ID/WY</c:v>
                </c:pt>
                <c:pt idx="5">
                  <c:v>Solar, WA</c:v>
                </c:pt>
                <c:pt idx="6">
                  <c:v>Solar, ID/WY</c:v>
                </c:pt>
                <c:pt idx="7">
                  <c:v>Solar, DER (Residential)</c:v>
                </c:pt>
                <c:pt idx="8">
                  <c:v>Biomass</c:v>
                </c:pt>
                <c:pt idx="9">
                  <c:v>PHES, WA/OR</c:v>
                </c:pt>
                <c:pt idx="10">
                  <c:v>PHES, MT</c:v>
                </c:pt>
                <c:pt idx="11">
                  <c:v>Battery, LI 2hr</c:v>
                </c:pt>
                <c:pt idx="12">
                  <c:v>Battery, LI 4hr</c:v>
                </c:pt>
                <c:pt idx="13">
                  <c:v>Battery, LI 6hr</c:v>
                </c:pt>
                <c:pt idx="14">
                  <c:v>Battery, DER (Residential)</c:v>
                </c:pt>
                <c:pt idx="15">
                  <c:v>Wind + Battery, WA</c:v>
                </c:pt>
                <c:pt idx="16">
                  <c:v>Solar + Battery, WA</c:v>
                </c:pt>
                <c:pt idx="17">
                  <c:v>Wind + Solar + Battery, WA</c:v>
                </c:pt>
                <c:pt idx="18">
                  <c:v>Frame Peaker</c:v>
                </c:pt>
                <c:pt idx="19">
                  <c:v>CCCT</c:v>
                </c:pt>
                <c:pt idx="20">
                  <c:v>Reciprocating Peaker</c:v>
                </c:pt>
                <c:pt idx="21">
                  <c:v>Small Modular Nuclear</c:v>
                </c:pt>
                <c:pt idx="22">
                  <c:v>Battery (4hr, Flow)</c:v>
                </c:pt>
                <c:pt idx="23">
                  <c:v>Battery (6hr, Flow)</c:v>
                </c:pt>
              </c:strCache>
            </c:strRef>
          </c:cat>
          <c:val>
            <c:numRef>
              <c:f>'Capital Cost Comparisons'!$E$4:$E$27</c:f>
              <c:numCache>
                <c:formatCode>"$"#,##0</c:formatCode>
                <c:ptCount val="24"/>
                <c:pt idx="0">
                  <c:v>4728.1641758045389</c:v>
                </c:pt>
                <c:pt idx="1">
                  <c:v>1730.3999999999999</c:v>
                </c:pt>
                <c:pt idx="2">
                  <c:v>1464.4</c:v>
                </c:pt>
                <c:pt idx="3">
                  <c:v>1890.3999999999999</c:v>
                </c:pt>
                <c:pt idx="4">
                  <c:v>1771.5249999999999</c:v>
                </c:pt>
                <c:pt idx="5">
                  <c:v>1229.7840499881536</c:v>
                </c:pt>
                <c:pt idx="6">
                  <c:v>1536.9090499881536</c:v>
                </c:pt>
                <c:pt idx="7">
                  <c:v>2286.9841372703927</c:v>
                </c:pt>
                <c:pt idx="8">
                  <c:v>4905.5465615733265</c:v>
                </c:pt>
                <c:pt idx="9">
                  <c:v>3910.0621861874979</c:v>
                </c:pt>
                <c:pt idx="10">
                  <c:v>3602.0621861874979</c:v>
                </c:pt>
                <c:pt idx="11">
                  <c:v>804.91024727931494</c:v>
                </c:pt>
                <c:pt idx="12">
                  <c:v>1310.4487704776809</c:v>
                </c:pt>
                <c:pt idx="13">
                  <c:v>1819.4037188698669</c:v>
                </c:pt>
                <c:pt idx="14">
                  <c:v>3922.5730125978253</c:v>
                </c:pt>
                <c:pt idx="15">
                  <c:v>1309.4353765834364</c:v>
                </c:pt>
                <c:pt idx="16">
                  <c:v>1145.4648175741224</c:v>
                </c:pt>
                <c:pt idx="17">
                  <c:v>1189.0802182116215</c:v>
                </c:pt>
                <c:pt idx="18">
                  <c:v>943.71551884765506</c:v>
                </c:pt>
                <c:pt idx="19">
                  <c:v>987.08880069031079</c:v>
                </c:pt>
                <c:pt idx="20">
                  <c:v>2045.2460424148403</c:v>
                </c:pt>
                <c:pt idx="21">
                  <c:v>10930.335336856853</c:v>
                </c:pt>
                <c:pt idx="22">
                  <c:v>0</c:v>
                </c:pt>
                <c:pt idx="23">
                  <c:v>0</c:v>
                </c:pt>
              </c:numCache>
            </c:numRef>
          </c:val>
          <c:extLst>
            <c:ext xmlns:c16="http://schemas.microsoft.com/office/drawing/2014/chart" uri="{C3380CC4-5D6E-409C-BE32-E72D297353CC}">
              <c16:uniqueId val="{00000002-F64D-41EC-B3F8-75366A23FAFA}"/>
            </c:ext>
          </c:extLst>
        </c:ser>
        <c:dLbls>
          <c:showLegendKey val="0"/>
          <c:showVal val="0"/>
          <c:showCatName val="0"/>
          <c:showSerName val="0"/>
          <c:showPercent val="0"/>
          <c:showBubbleSize val="0"/>
        </c:dLbls>
        <c:gapWidth val="219"/>
        <c:overlap val="-27"/>
        <c:axId val="657473432"/>
        <c:axId val="657475400"/>
      </c:barChart>
      <c:catAx>
        <c:axId val="657473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7475400"/>
        <c:crosses val="autoZero"/>
        <c:auto val="1"/>
        <c:lblAlgn val="ctr"/>
        <c:lblOffset val="100"/>
        <c:noMultiLvlLbl val="0"/>
      </c:catAx>
      <c:valAx>
        <c:axId val="657475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2020 $/kW</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57473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1228725</xdr:colOff>
      <xdr:row>32</xdr:row>
      <xdr:rowOff>95249</xdr:rowOff>
    </xdr:from>
    <xdr:to>
      <xdr:col>16</xdr:col>
      <xdr:colOff>295274</xdr:colOff>
      <xdr:row>76</xdr:row>
      <xdr:rowOff>171450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1885949</xdr:colOff>
      <xdr:row>70</xdr:row>
      <xdr:rowOff>19051</xdr:rowOff>
    </xdr:from>
    <xdr:to>
      <xdr:col>23</xdr:col>
      <xdr:colOff>161925</xdr:colOff>
      <xdr:row>105</xdr:row>
      <xdr:rowOff>142875</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21</xdr:col>
      <xdr:colOff>0</xdr:colOff>
      <xdr:row>35</xdr:row>
      <xdr:rowOff>171450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estfile01v01\reacq\ResourcePlanning\2023%20IRP\AURORA\AURORA_INPUT_2023IRP_GRCdata_20220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se0.sharepoint.com/Bob/Repower/Repower%20Analysis%20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estfile01v01\reacq\ResourcePlanning\2023%20IRP\Generic%20Resource%20Costs\2021%20NREL%20ATB\ATB_Cost_Adjustments_TTreview_PHS_addi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nsarru\My%20Documents\PriceEstFor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sefil3\Xception\%23HydThermCont\ContDB\_MoPriceCalc_Sum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sefil3\Xception\%23HydThermCont\ContDB\_MoPriceCalc_Spokan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23HydThermCont\ContDB\_MoPriceCalc_Spokan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11IRP%20-%20Post%20Analysis\Aurora\Model%20Runs\RFP%20Phase%20II\Rev12_Base_Oct2011Gasprice\XMP_DB_2010-02_2011RFP_PhaseII_Oct2011GasPrice_111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_Log"/>
      <sheetName val="To do"/>
      <sheetName val="Assumptions"/>
      <sheetName val="Aurora_Supplemental Parameters"/>
      <sheetName val="To Aurora_Resources"/>
      <sheetName val="Aurora_TSAnnual"/>
      <sheetName val="To Aurora_TS Monthly"/>
      <sheetName val="To Aurora_TS Weekly"/>
      <sheetName val="Aurora_Conditions"/>
      <sheetName val="Existing Contracts"/>
      <sheetName val="To Aurora _Ancillary Services"/>
      <sheetName val="GRC_2022_Ops&amp;DispInputs(C)"/>
      <sheetName val="21IRP Reliable Capacity"/>
      <sheetName val="Reliable Capacity"/>
      <sheetName val="New ELCC Sheet"/>
      <sheetName val="Aurora_New Resources"/>
      <sheetName val="Aurora_Portfolio Resources"/>
      <sheetName val="Aurora_Portfolio Contracts"/>
      <sheetName val="Aurora_Portfolio Info"/>
      <sheetName val="To Aurora_Fuel"/>
      <sheetName val="CETA"/>
      <sheetName val="To Aurora_DemandMo"/>
      <sheetName val="To Aurora_Storage"/>
      <sheetName val="To Aurora_Esc Demand"/>
      <sheetName val="To Aurora_General Info"/>
      <sheetName val="To Aurora_Hydro Vectors"/>
      <sheetName val="To Aurora_Emission Rate"/>
      <sheetName val="To Aurora_Constraint"/>
      <sheetName val="Ancillary Services"/>
      <sheetName val="Generic Fuel Adder"/>
      <sheetName val="Existing Thermal"/>
      <sheetName val="Existing Gas Transport &amp; TX"/>
      <sheetName val="Existing Fixed O&amp;M"/>
      <sheetName val="Colstrip Dispatch Costs"/>
      <sheetName val="Generics_Renewable"/>
      <sheetName val="Generics_Energy_Storage"/>
      <sheetName val="Generics_Hybrid"/>
      <sheetName val="Generics_Thermal"/>
      <sheetName val="Generics_New_Tech"/>
      <sheetName val="Generics_Operating_Life"/>
      <sheetName val="Generics_O&amp;M_Costs"/>
      <sheetName val="Generics_Cost_Curves"/>
      <sheetName val="Generics_Transmission"/>
      <sheetName val="CC_HR"/>
      <sheetName val="P_HR"/>
      <sheetName val="Saturation Curves"/>
      <sheetName val="Aero Peaker"/>
      <sheetName val="Gas Transport Costs"/>
      <sheetName val="PTC"/>
      <sheetName val="Chart1"/>
      <sheetName val="CCCT"/>
      <sheetName val="Frame Peaker"/>
      <sheetName val="Recip Peaker"/>
      <sheetName val="WA Wind"/>
      <sheetName val="WA Wind + Battery"/>
      <sheetName val="MT Wind + PHES"/>
      <sheetName val="Nuclear"/>
      <sheetName val="Electrolyzer"/>
      <sheetName val="WY_ID Wind"/>
      <sheetName val="MT Wind"/>
      <sheetName val="Offshore Wind"/>
      <sheetName val="Solar with ITC Levelized Costs"/>
      <sheetName val="Solar_No ITC"/>
      <sheetName val="Solar + Battery w ITC Lev Costs"/>
      <sheetName val="UtilitySolar ITC 2020-2023 30%"/>
      <sheetName val="UtilitySolar ITC 2024 26%"/>
      <sheetName val="UtilitySolar ITC 2025 22%"/>
      <sheetName val="UtilitySolar ITC  &gt;2025 10%"/>
      <sheetName val="WY_ID Solar ITC 2020-2023  30%"/>
      <sheetName val="WY_ID Solar ITC 2024 26%"/>
      <sheetName val="WY_ID Solar ITC 2025 22%"/>
      <sheetName val="WY_ID Solar ITC  &gt;2025 10%"/>
      <sheetName val="Rooftop Solar ITC  &gt;2025 10%"/>
      <sheetName val="Ground Solar ITC  &gt;2025 10%"/>
      <sheetName val="Battery ITC 2020-2023 30%"/>
      <sheetName val="Battery ITC 2024 26%"/>
      <sheetName val="Battery ITC 2025 22%"/>
      <sheetName val="Battery ITC  &gt;2025 10%"/>
      <sheetName val="Biomass"/>
      <sheetName val="2hr Li-Ion Battery"/>
      <sheetName val="4hr Li-Ion Battery"/>
      <sheetName val="6hr Li_Ion Battery"/>
      <sheetName val="6hr Flow Battery"/>
      <sheetName val="Pumped Storage Hydro"/>
      <sheetName val="Test Calc"/>
      <sheetName val="DSM"/>
      <sheetName val="Electron"/>
      <sheetName val="Oil Backup"/>
      <sheetName val="Decomissioning Costs"/>
      <sheetName val="Demand Response"/>
      <sheetName val="Mid C Capacity"/>
      <sheetName val="Mid-C Hydro Monthly"/>
      <sheetName val="Wells Extension"/>
      <sheetName val="Market emissions rate"/>
      <sheetName val="Flex cost savings"/>
      <sheetName val="SCC Adder_Base no CETA"/>
      <sheetName val="SCC Adder_Base"/>
      <sheetName val="SCC"/>
      <sheetName val="DER Potential"/>
      <sheetName val="Wells Monthly Pricing"/>
      <sheetName val="Fixed Costs Mid-C"/>
      <sheetName val="PPA $-MWh"/>
      <sheetName val="Schedule 91"/>
      <sheetName val="SPI Biomass"/>
      <sheetName val="Thermal Capital "/>
      <sheetName val="Generics_Tx_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shore Wind OR_WA"/>
      <sheetName val="Conolidation of Costs"/>
      <sheetName val="Assumptions"/>
      <sheetName val="Repower  Fixed Costs"/>
      <sheetName val="Current Operation"/>
      <sheetName val="Wild Horse Finanicals"/>
      <sheetName val="Hopkins Ridge  Financials"/>
      <sheetName val="LSR Financials"/>
      <sheetName val="Cost curves"/>
      <sheetName val="HPR"/>
      <sheetName val="Wild Horse"/>
      <sheetName val="LSR"/>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Cost Curves"/>
      <sheetName val="Offshore Wind"/>
      <sheetName val="Onshore Wind OR_WA"/>
      <sheetName val="Onshore Wind MT"/>
      <sheetName val="Onshore Wind ID_WY"/>
      <sheetName val="Solar_Utility_OR_WA"/>
      <sheetName val="Solar_Utility_MT"/>
      <sheetName val="Solar_Utility_ID_WY"/>
      <sheetName val="Biomass"/>
      <sheetName val="Solar_Residential"/>
      <sheetName val="Pumped Storage Hydro"/>
      <sheetName val="Battery_Utility"/>
      <sheetName val="Battery_Residential"/>
      <sheetName val="Hybrid"/>
      <sheetName val="Frame Peaker"/>
      <sheetName val="CCCT"/>
      <sheetName val="Recip Peaker"/>
      <sheetName val="Small Modular Nuclear"/>
      <sheetName val="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a_Kulshan"/>
      <sheetName val="March Point1"/>
      <sheetName val="March Point2"/>
      <sheetName val="GDP Forecast"/>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s Pricing"/>
      <sheetName val="Annual Price Calc"/>
      <sheetName val="InvoiceData"/>
      <sheetName val="Contract Summary"/>
      <sheetName val="MeterConvert"/>
      <sheetName val="QFSumas_A"/>
      <sheetName val="QFSumas_DAmt"/>
      <sheetName val="GDP"/>
      <sheetName val="April-07 Displacement"/>
      <sheetName val="2006 Hourly KWhr"/>
      <sheetName val="July 06 Disp-Toll"/>
      <sheetName val="Sheet2"/>
      <sheetName val="2006GDP"/>
      <sheetName val="2005 Hourly KWhr"/>
      <sheetName val="Sheet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Monthly Process"/>
      <sheetName val="QFSpokane_DAmt"/>
      <sheetName val="2010 Hourly KWhr"/>
      <sheetName val="MeterConvert"/>
      <sheetName val="QFSpokane_DRate"/>
      <sheetName val="Annual Price Calc"/>
      <sheetName val="Annual GDP"/>
      <sheetName val="QFSpokane_A"/>
      <sheetName val="QFSpokane_P"/>
      <sheetName val="Loss Billing Adjustment"/>
      <sheetName val="Monthly Generation"/>
      <sheetName val="Vs. Mkt Price"/>
      <sheetName val="MWH Graqph"/>
      <sheetName val="2008 Hourly KWhr"/>
      <sheetName val="2011 Hourly KWh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Monthly Process"/>
      <sheetName val="QFSpokane_DAmt"/>
      <sheetName val="2011 Hourly KWhr"/>
      <sheetName val="MeterConvert"/>
      <sheetName val="QFSpokane_DRate"/>
      <sheetName val="Annual Price Calc"/>
      <sheetName val="Annual GDP"/>
      <sheetName val="QFSpokane_A"/>
      <sheetName val="QFSpokane_P"/>
      <sheetName val="Loss Billing Adjustment"/>
      <sheetName val="Monthly Generation"/>
      <sheetName val="Vs. Mkt Price"/>
      <sheetName val="MWH Graqph"/>
      <sheetName val="EXT Offer 2012"/>
      <sheetName val="2010 Hourly KWhr"/>
      <sheetName val="2009 Hourly KWhr"/>
      <sheetName val="2008 Hourly KWhr"/>
      <sheetName val="2006 Hourly KWhr"/>
      <sheetName val="2006GDP"/>
      <sheetName val="Daily 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RORA_Input_Databases_Follow"/>
      <sheetName val="Annual_Vectors_11GRC_060111"/>
      <sheetName val="Mo_Vectors_11GRC_060111"/>
      <sheetName val="Weekly_Vectors_11GRC_060111"/>
      <sheetName val="Gas_Price_Data_Follow"/>
      <sheetName val="Gas Price Nominal Input"/>
      <sheetName val="Stanfield_Convert_Real"/>
      <sheetName val="Kingsgate_Convert_Real"/>
      <sheetName val="PGECityG_Convert_Real"/>
      <sheetName val="HH_Convert_Real"/>
      <sheetName val="Rockies_Convert_Real"/>
      <sheetName val="San_Juan_Convert_Real"/>
      <sheetName val="Topock_Convert_Real"/>
      <sheetName val="Klamath_Convert_Real "/>
      <sheetName val="Malin_Convert_Real"/>
      <sheetName val="AECO_Convert_Real"/>
      <sheetName val="Sumas_Convert_Real"/>
      <sheetName val="WNP3_Return_Convert_Real"/>
      <sheetName val="Encogen_Convert_Real"/>
      <sheetName val="Whitehorn_23_Convert_Real"/>
      <sheetName val="Fredonia_34_Convert_Real"/>
      <sheetName val="Fredonia_12_Convert_Real"/>
      <sheetName val="Fred_12_Convert_Real"/>
      <sheetName val="Sumas_Full_NWP_Con_Real"/>
      <sheetName val="Sumas_Cogen_Con_Real"/>
      <sheetName val="Frederickson_CC_Con_Real"/>
      <sheetName val="Mint_Farm_Con_Real "/>
      <sheetName val="Mint_Farm_ DFiring_C_Real"/>
      <sheetName val="Goldendale_Con_Real"/>
      <sheetName val="Goldendale DFiring_C_Real"/>
      <sheetName val="Sumas_Var_NWP_Con_Real"/>
      <sheetName val="Emission_Charges"/>
      <sheetName val="Coal_Price_Data"/>
      <sheetName val="Coal_Price_Data_IRP2009"/>
      <sheetName val="Contract_Data_Follow"/>
      <sheetName val="Baker_Replacement"/>
      <sheetName val="BC_Hydro_Point_Roberts"/>
      <sheetName val="CEAEA"/>
      <sheetName val="Nooksack_Hydro"/>
      <sheetName val="North_Wasco"/>
      <sheetName val="PG_E_Exchange_in"/>
      <sheetName val="PG_E_Exchange_out"/>
      <sheetName val="Qualco"/>
      <sheetName val="QF_Koma_Kulshan"/>
      <sheetName val="QF_Port_Townsend_Hydro"/>
      <sheetName val="QF_Spokane_MSW"/>
      <sheetName val="QF_Sygitowicz"/>
      <sheetName val="QF_Twin_Falls"/>
      <sheetName val="QF_Weeks_Falls"/>
      <sheetName val="Short Term Contracts"/>
      <sheetName val="Klondike III PPA"/>
      <sheetName val="WNP3_BPA_Exchange"/>
      <sheetName val="Priest_Rapids_Displacement_Prod"/>
      <sheetName val="Sch91"/>
      <sheetName val="Resource_Data_Follow"/>
      <sheetName val="Resource_Data"/>
      <sheetName val="NUG_Contract_Data"/>
      <sheetName val="Klamath"/>
      <sheetName val="WildHorse"/>
      <sheetName val="Hopkins"/>
      <sheetName val="KlondikeWind"/>
      <sheetName val="LSR1"/>
      <sheetName val="NewGenericResourceFOM"/>
      <sheetName val="RPS"/>
      <sheetName val="PTCs"/>
      <sheetName val="Regional Dema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zoomScale="120" zoomScaleNormal="120" workbookViewId="0">
      <selection activeCell="C8" sqref="C8:F8"/>
    </sheetView>
  </sheetViews>
  <sheetFormatPr defaultRowHeight="15"/>
  <cols>
    <col min="1" max="1" width="9.140625" style="100"/>
    <col min="2" max="2" width="20.28515625" style="100" customWidth="1"/>
    <col min="3" max="3" width="53.42578125" style="100" customWidth="1"/>
    <col min="4" max="4" width="80.28515625" style="100" customWidth="1"/>
    <col min="5" max="5" width="14.28515625" style="100" bestFit="1" customWidth="1"/>
    <col min="6" max="20" width="9.140625" style="100"/>
  </cols>
  <sheetData>
    <row r="1" spans="1:21" ht="87" customHeight="1">
      <c r="A1" s="220" t="s">
        <v>0</v>
      </c>
      <c r="B1" s="220"/>
      <c r="C1" s="220"/>
      <c r="D1" s="220"/>
      <c r="E1" s="220"/>
      <c r="F1" s="220"/>
      <c r="G1" s="220"/>
      <c r="H1" s="99"/>
      <c r="I1" s="99"/>
      <c r="J1" s="99"/>
      <c r="K1" s="99"/>
      <c r="L1" s="99"/>
      <c r="M1" s="99"/>
      <c r="N1" s="99"/>
      <c r="O1" s="99"/>
      <c r="P1" s="99"/>
      <c r="Q1" s="99"/>
      <c r="R1" s="99"/>
      <c r="S1" s="99"/>
      <c r="T1" s="99"/>
      <c r="U1" s="81"/>
    </row>
    <row r="3" spans="1:21">
      <c r="B3" s="104" t="s">
        <v>1</v>
      </c>
      <c r="C3" s="105"/>
      <c r="D3" s="105"/>
      <c r="E3" s="105"/>
      <c r="F3" s="105"/>
      <c r="G3" s="101"/>
      <c r="H3" s="101"/>
      <c r="I3" s="101"/>
      <c r="J3" s="101"/>
      <c r="K3" s="101"/>
      <c r="L3" s="101"/>
      <c r="M3" s="101"/>
      <c r="N3" s="101"/>
      <c r="O3" s="101"/>
      <c r="P3" s="101"/>
      <c r="Q3" s="101"/>
      <c r="R3" s="101"/>
      <c r="S3" s="101"/>
      <c r="T3" s="101"/>
    </row>
    <row r="4" spans="1:21" ht="63" customHeight="1">
      <c r="C4" s="219" t="s">
        <v>2</v>
      </c>
      <c r="D4" s="219"/>
      <c r="E4" s="219"/>
      <c r="F4" s="219"/>
      <c r="G4" s="102"/>
      <c r="H4" s="102"/>
      <c r="I4" s="102"/>
      <c r="J4" s="102"/>
      <c r="K4" s="102"/>
      <c r="L4" s="102"/>
      <c r="M4" s="102"/>
      <c r="N4" s="102"/>
      <c r="O4" s="102"/>
      <c r="P4" s="102"/>
      <c r="Q4" s="102"/>
      <c r="R4" s="102"/>
      <c r="S4" s="102"/>
      <c r="T4" s="102"/>
    </row>
    <row r="6" spans="1:21" ht="15" customHeight="1">
      <c r="B6" s="173" t="s">
        <v>3</v>
      </c>
      <c r="C6" s="107"/>
      <c r="D6" s="108"/>
      <c r="E6" s="107"/>
      <c r="F6" s="107"/>
      <c r="H6" s="99"/>
      <c r="I6" s="99"/>
      <c r="J6" s="99"/>
      <c r="K6" s="99"/>
      <c r="L6" s="99"/>
    </row>
    <row r="7" spans="1:21" ht="111" customHeight="1">
      <c r="B7" s="103" t="s">
        <v>4</v>
      </c>
      <c r="C7" s="219" t="s">
        <v>5</v>
      </c>
      <c r="D7" s="219"/>
      <c r="E7" s="219"/>
      <c r="F7" s="219"/>
      <c r="G7" s="102"/>
      <c r="H7" s="99"/>
      <c r="I7" s="99"/>
      <c r="J7" s="99"/>
      <c r="K7" s="99"/>
      <c r="L7" s="99"/>
      <c r="M7" s="102"/>
      <c r="N7" s="102"/>
      <c r="O7" s="102"/>
      <c r="P7" s="102"/>
      <c r="Q7" s="102"/>
      <c r="R7" s="102"/>
      <c r="S7" s="102"/>
      <c r="T7" s="102"/>
    </row>
    <row r="8" spans="1:21" ht="51.75" customHeight="1">
      <c r="B8" s="218" t="s">
        <v>6</v>
      </c>
      <c r="C8" s="219" t="s">
        <v>7</v>
      </c>
      <c r="D8" s="219"/>
      <c r="E8" s="219"/>
      <c r="F8" s="219"/>
      <c r="G8" s="102"/>
      <c r="H8" s="99"/>
      <c r="I8" s="99"/>
      <c r="J8" s="99"/>
      <c r="K8" s="99"/>
      <c r="L8" s="99"/>
      <c r="M8" s="102"/>
      <c r="N8" s="102"/>
      <c r="O8" s="102"/>
      <c r="P8" s="102"/>
      <c r="Q8" s="102"/>
      <c r="R8" s="102"/>
      <c r="S8" s="102"/>
      <c r="T8" s="102"/>
    </row>
    <row r="9" spans="1:21" ht="36" customHeight="1">
      <c r="B9" s="218" t="s">
        <v>8</v>
      </c>
      <c r="C9" s="219" t="s">
        <v>9</v>
      </c>
      <c r="D9" s="219"/>
      <c r="E9" s="219"/>
      <c r="F9" s="219"/>
    </row>
    <row r="10" spans="1:21">
      <c r="B10" s="106" t="s">
        <v>10</v>
      </c>
      <c r="C10" s="107"/>
      <c r="D10" s="107"/>
      <c r="E10" s="107"/>
      <c r="F10" s="107"/>
    </row>
    <row r="11" spans="1:21">
      <c r="C11" s="100" t="s">
        <v>11</v>
      </c>
    </row>
    <row r="12" spans="1:21">
      <c r="C12" s="100" t="s">
        <v>12</v>
      </c>
    </row>
    <row r="13" spans="1:21">
      <c r="B13" s="106" t="s">
        <v>13</v>
      </c>
      <c r="C13" s="106"/>
      <c r="D13" s="107"/>
      <c r="E13" s="107"/>
      <c r="F13" s="107"/>
    </row>
    <row r="14" spans="1:21" s="100" customFormat="1" ht="57" customHeight="1">
      <c r="B14" s="175"/>
      <c r="C14" s="219" t="s">
        <v>14</v>
      </c>
      <c r="D14" s="219"/>
      <c r="E14" s="219"/>
      <c r="F14" s="219"/>
    </row>
    <row r="15" spans="1:21" ht="42" customHeight="1">
      <c r="B15" s="103"/>
      <c r="C15" s="219" t="s">
        <v>15</v>
      </c>
      <c r="D15" s="219"/>
      <c r="E15" s="219"/>
      <c r="F15" s="219"/>
    </row>
    <row r="16" spans="1:21" ht="30.75" customHeight="1">
      <c r="B16" s="103"/>
      <c r="C16" s="219" t="s">
        <v>16</v>
      </c>
      <c r="D16" s="219"/>
      <c r="E16" s="219"/>
      <c r="F16" s="219"/>
    </row>
    <row r="17" spans="2:6" ht="40.5" customHeight="1">
      <c r="B17" s="103"/>
      <c r="C17" s="219" t="s">
        <v>17</v>
      </c>
      <c r="D17" s="219"/>
      <c r="E17" s="219"/>
      <c r="F17" s="219"/>
    </row>
    <row r="18" spans="2:6" ht="30.75" customHeight="1">
      <c r="B18" s="103"/>
      <c r="C18" s="219" t="s">
        <v>18</v>
      </c>
      <c r="D18" s="219"/>
      <c r="E18" s="219"/>
      <c r="F18" s="219"/>
    </row>
    <row r="19" spans="2:6" ht="41.25" customHeight="1">
      <c r="C19" s="219" t="s">
        <v>19</v>
      </c>
      <c r="D19" s="219"/>
      <c r="E19" s="219"/>
      <c r="F19" s="219"/>
    </row>
    <row r="20" spans="2:6" ht="41.25" customHeight="1">
      <c r="C20" s="219" t="s">
        <v>20</v>
      </c>
      <c r="D20" s="219"/>
      <c r="E20" s="219"/>
      <c r="F20" s="219"/>
    </row>
    <row r="21" spans="2:6" ht="30.75" customHeight="1">
      <c r="C21" s="219" t="s">
        <v>21</v>
      </c>
      <c r="D21" s="219"/>
      <c r="E21" s="219"/>
      <c r="F21" s="219"/>
    </row>
    <row r="22" spans="2:6" ht="30.75" customHeight="1">
      <c r="C22" s="219" t="s">
        <v>22</v>
      </c>
      <c r="D22" s="219"/>
      <c r="E22" s="219"/>
      <c r="F22" s="219"/>
    </row>
    <row r="23" spans="2:6" ht="30.75" customHeight="1">
      <c r="C23" s="219" t="s">
        <v>23</v>
      </c>
      <c r="D23" s="219"/>
      <c r="E23" s="219"/>
      <c r="F23" s="219"/>
    </row>
    <row r="24" spans="2:6" ht="30.75" customHeight="1">
      <c r="C24" s="219" t="s">
        <v>24</v>
      </c>
      <c r="D24" s="219"/>
      <c r="E24" s="219"/>
      <c r="F24" s="219"/>
    </row>
    <row r="25" spans="2:6" ht="41.25" customHeight="1">
      <c r="C25" s="219" t="s">
        <v>25</v>
      </c>
      <c r="D25" s="219"/>
      <c r="E25" s="219"/>
      <c r="F25" s="219"/>
    </row>
    <row r="26" spans="2:6" ht="30.75" customHeight="1">
      <c r="C26" s="219" t="s">
        <v>26</v>
      </c>
      <c r="D26" s="219"/>
      <c r="E26" s="219"/>
      <c r="F26" s="219"/>
    </row>
    <row r="27" spans="2:6" ht="35.25" customHeight="1">
      <c r="C27" s="219" t="s">
        <v>27</v>
      </c>
      <c r="D27" s="219"/>
      <c r="E27" s="219"/>
      <c r="F27" s="219"/>
    </row>
  </sheetData>
  <mergeCells count="19">
    <mergeCell ref="C24:F24"/>
    <mergeCell ref="C25:F25"/>
    <mergeCell ref="C26:F26"/>
    <mergeCell ref="C27:F27"/>
    <mergeCell ref="C21:F21"/>
    <mergeCell ref="C17:F17"/>
    <mergeCell ref="C20:F20"/>
    <mergeCell ref="C22:F22"/>
    <mergeCell ref="C23:F23"/>
    <mergeCell ref="A1:G1"/>
    <mergeCell ref="C4:F4"/>
    <mergeCell ref="C7:F7"/>
    <mergeCell ref="C19:F19"/>
    <mergeCell ref="C15:F15"/>
    <mergeCell ref="C16:F16"/>
    <mergeCell ref="C18:F18"/>
    <mergeCell ref="C14:F14"/>
    <mergeCell ref="C8:F8"/>
    <mergeCell ref="C9:F9"/>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5" width="11.85546875" customWidth="1"/>
  </cols>
  <sheetData>
    <row r="1" spans="1:8">
      <c r="A1" s="228" t="s">
        <v>192</v>
      </c>
      <c r="B1" s="229"/>
      <c r="C1" s="229"/>
      <c r="E1" s="229" t="s">
        <v>193</v>
      </c>
      <c r="F1" s="229"/>
    </row>
    <row r="2" spans="1:8" ht="75">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181">
        <v>0</v>
      </c>
      <c r="F9" s="83">
        <f>SUM(F6:F8)</f>
        <v>902.03064066852369</v>
      </c>
      <c r="G9" s="85">
        <f>SUM(G6:G8)</f>
        <v>902.03064066852369</v>
      </c>
    </row>
    <row r="10" spans="1:8">
      <c r="A10" s="10" t="s">
        <v>206</v>
      </c>
      <c r="B10" s="11"/>
      <c r="C10" s="7"/>
      <c r="D10" s="29"/>
      <c r="E10" s="41"/>
      <c r="F10" s="84">
        <f t="shared" ref="F10:F16" si="1">D10+E10</f>
        <v>0</v>
      </c>
      <c r="G10" s="86"/>
    </row>
    <row r="11" spans="1:8">
      <c r="A11" s="2" t="s">
        <v>230</v>
      </c>
      <c r="B11">
        <v>16</v>
      </c>
      <c r="C11" s="7">
        <f t="shared" ref="C11:C17" si="2">B11/$B$22</f>
        <v>1.1142061281337047E-2</v>
      </c>
      <c r="D11" s="29">
        <f t="shared" si="0"/>
        <v>14.578272980501394</v>
      </c>
      <c r="E11" s="41">
        <v>0</v>
      </c>
      <c r="F11" s="84">
        <f t="shared" si="1"/>
        <v>14.578272980501394</v>
      </c>
      <c r="G11" s="86">
        <f t="shared" ref="G11:G16" si="3">F11</f>
        <v>14.578272980501394</v>
      </c>
    </row>
    <row r="12" spans="1:8">
      <c r="A12" s="2" t="s">
        <v>208</v>
      </c>
      <c r="B12">
        <v>18</v>
      </c>
      <c r="C12" s="7">
        <f t="shared" si="2"/>
        <v>1.2534818941504178E-2</v>
      </c>
      <c r="D12" s="29">
        <f t="shared" si="0"/>
        <v>16.400557103064067</v>
      </c>
      <c r="E12" s="41">
        <v>0</v>
      </c>
      <c r="F12" s="84">
        <f t="shared" si="1"/>
        <v>16.400557103064067</v>
      </c>
      <c r="G12" s="86">
        <f t="shared" si="3"/>
        <v>16.400557103064067</v>
      </c>
    </row>
    <row r="13" spans="1:8">
      <c r="A13" s="2" t="s">
        <v>231</v>
      </c>
      <c r="B13">
        <v>59</v>
      </c>
      <c r="C13" s="7">
        <f t="shared" si="2"/>
        <v>4.1086350974930359E-2</v>
      </c>
      <c r="D13" s="29">
        <f t="shared" si="0"/>
        <v>53.757381615598888</v>
      </c>
      <c r="E13" s="41">
        <v>0</v>
      </c>
      <c r="F13" s="84">
        <f t="shared" si="1"/>
        <v>53.757381615598888</v>
      </c>
      <c r="G13" s="86">
        <f t="shared" si="3"/>
        <v>53.757381615598888</v>
      </c>
    </row>
    <row r="14" spans="1:8">
      <c r="A14" s="2" t="s">
        <v>232</v>
      </c>
      <c r="B14">
        <v>44</v>
      </c>
      <c r="C14" s="7">
        <f t="shared" si="2"/>
        <v>3.0640668523676879E-2</v>
      </c>
      <c r="D14" s="29">
        <f t="shared" si="0"/>
        <v>40.090250696378831</v>
      </c>
      <c r="E14" s="41">
        <v>0</v>
      </c>
      <c r="F14" s="84">
        <f t="shared" si="1"/>
        <v>40.090250696378831</v>
      </c>
      <c r="G14" s="86">
        <f t="shared" si="3"/>
        <v>40.090250696378831</v>
      </c>
    </row>
    <row r="15" spans="1:8">
      <c r="A15" s="2" t="s">
        <v>212</v>
      </c>
      <c r="B15">
        <v>44</v>
      </c>
      <c r="C15" s="7">
        <f t="shared" si="2"/>
        <v>3.0640668523676879E-2</v>
      </c>
      <c r="D15" s="29">
        <f t="shared" si="0"/>
        <v>40.090250696378831</v>
      </c>
      <c r="E15" s="41">
        <v>0</v>
      </c>
      <c r="F15" s="84">
        <f t="shared" si="1"/>
        <v>40.090250696378831</v>
      </c>
      <c r="G15" s="86">
        <f t="shared" si="3"/>
        <v>40.090250696378831</v>
      </c>
    </row>
    <row r="16" spans="1:8">
      <c r="A16" s="2" t="s">
        <v>211</v>
      </c>
      <c r="B16">
        <v>145</v>
      </c>
      <c r="C16" s="7">
        <f>B16/$B$22</f>
        <v>0.10097493036211699</v>
      </c>
      <c r="D16" s="29">
        <f t="shared" si="0"/>
        <v>132.11559888579387</v>
      </c>
      <c r="E16" s="41">
        <f>'Spur Line Assumptions'!H7</f>
        <v>421.99999999999994</v>
      </c>
      <c r="F16" s="84">
        <f t="shared" si="1"/>
        <v>554.11559888579382</v>
      </c>
      <c r="G16" s="86">
        <f t="shared" si="3"/>
        <v>554.11559888579382</v>
      </c>
    </row>
    <row r="17" spans="1:29">
      <c r="A17" s="12" t="s">
        <v>233</v>
      </c>
      <c r="B17" s="5">
        <v>326</v>
      </c>
      <c r="C17" s="48">
        <f t="shared" si="2"/>
        <v>0.22701949860724233</v>
      </c>
      <c r="D17" s="113">
        <f t="shared" si="0"/>
        <v>297.03231197771589</v>
      </c>
      <c r="E17" s="181">
        <v>0</v>
      </c>
      <c r="F17" s="83">
        <f t="shared" ref="F17" si="4">SUM(F11:F16)</f>
        <v>719.03231197771584</v>
      </c>
      <c r="G17" s="85">
        <f>SUM(G11:G16)</f>
        <v>719.03231197771584</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1730.3999999999999</v>
      </c>
      <c r="G22" s="85">
        <f>G9+G17+G21</f>
        <v>1730.3999999999999</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5">1-(D28/C28)</f>
        <v>4.0725421571746745E-2</v>
      </c>
      <c r="E29" s="14">
        <f t="shared" si="5"/>
        <v>4.1262709527435937E-2</v>
      </c>
      <c r="F29" s="14">
        <f t="shared" si="5"/>
        <v>4.3148036123376032E-2</v>
      </c>
      <c r="G29" s="14">
        <f t="shared" si="5"/>
        <v>4.5208226066648094E-2</v>
      </c>
      <c r="H29" s="14">
        <f t="shared" si="5"/>
        <v>4.7468801547095429E-2</v>
      </c>
      <c r="I29" s="14">
        <f t="shared" si="5"/>
        <v>4.9960505429455293E-2</v>
      </c>
      <c r="J29" s="14">
        <f t="shared" si="5"/>
        <v>9.9999999999998979E-3</v>
      </c>
      <c r="K29" s="14">
        <f t="shared" si="5"/>
        <v>1.0101010101010166E-2</v>
      </c>
      <c r="L29" s="14">
        <f t="shared" si="5"/>
        <v>1.0204081632652962E-2</v>
      </c>
      <c r="M29" s="14">
        <f t="shared" si="5"/>
        <v>1.0309278350515538E-2</v>
      </c>
      <c r="N29" s="14">
        <f t="shared" si="5"/>
        <v>1.041666666666663E-2</v>
      </c>
      <c r="O29" s="14">
        <f t="shared" si="5"/>
        <v>1.0526315789473606E-2</v>
      </c>
      <c r="P29" s="14">
        <f t="shared" si="5"/>
        <v>1.0638297872340496E-2</v>
      </c>
      <c r="Q29" s="14">
        <f t="shared" si="5"/>
        <v>1.0752688172043001E-2</v>
      </c>
      <c r="R29" s="14">
        <f t="shared" si="5"/>
        <v>1.0869565217391353E-2</v>
      </c>
      <c r="S29" s="14">
        <f t="shared" si="5"/>
        <v>1.0989010989011061E-2</v>
      </c>
      <c r="T29" s="14">
        <f t="shared" si="5"/>
        <v>1.1111111111111072E-2</v>
      </c>
      <c r="U29" s="14">
        <f t="shared" si="5"/>
        <v>1.1235955056179803E-2</v>
      </c>
      <c r="V29" s="14">
        <f t="shared" si="5"/>
        <v>1.1363636363636354E-2</v>
      </c>
      <c r="W29" s="14">
        <f t="shared" si="5"/>
        <v>1.1494252873563315E-2</v>
      </c>
      <c r="X29" s="14">
        <f t="shared" si="5"/>
        <v>1.1627906976744096E-2</v>
      </c>
      <c r="Y29" s="14">
        <f t="shared" si="5"/>
        <v>1.1764705882352899E-2</v>
      </c>
      <c r="Z29" s="14">
        <f t="shared" si="5"/>
        <v>1.1904761904761973E-2</v>
      </c>
      <c r="AA29" s="14">
        <f t="shared" si="5"/>
        <v>1.2048192771084265E-2</v>
      </c>
      <c r="AB29" s="14">
        <f t="shared" si="5"/>
        <v>1.2195121951219634E-2</v>
      </c>
      <c r="AC29" s="14">
        <f t="shared" si="5"/>
        <v>1.2345679012345623E-2</v>
      </c>
    </row>
    <row r="30" spans="1:29">
      <c r="A30" t="s">
        <v>224</v>
      </c>
      <c r="B30" s="8">
        <f>G22</f>
        <v>1730.3999999999999</v>
      </c>
      <c r="C30" s="8">
        <f>B30*(1-C29)</f>
        <v>1662.6863955976764</v>
      </c>
      <c r="D30" s="8">
        <f t="shared" ref="D30:AC30" si="6">C30*(1-D29)</f>
        <v>1594.972791195353</v>
      </c>
      <c r="E30" s="8">
        <f t="shared" si="6"/>
        <v>1529.1598922080955</v>
      </c>
      <c r="F30" s="8">
        <f t="shared" si="6"/>
        <v>1463.1796459406828</v>
      </c>
      <c r="G30" s="8">
        <f t="shared" si="6"/>
        <v>1397.0318897308782</v>
      </c>
      <c r="H30" s="8">
        <f t="shared" si="6"/>
        <v>1330.7164602022794</v>
      </c>
      <c r="I30" s="8">
        <f t="shared" si="6"/>
        <v>1264.233193267278</v>
      </c>
      <c r="J30" s="8">
        <f t="shared" si="6"/>
        <v>1251.5908613346053</v>
      </c>
      <c r="K30" s="8">
        <f t="shared" si="6"/>
        <v>1238.9485294019323</v>
      </c>
      <c r="L30" s="8">
        <f t="shared" si="6"/>
        <v>1226.3061974692596</v>
      </c>
      <c r="M30" s="8">
        <f t="shared" si="6"/>
        <v>1213.6638655365866</v>
      </c>
      <c r="N30" s="8">
        <f t="shared" si="6"/>
        <v>1201.0215336039139</v>
      </c>
      <c r="O30" s="8">
        <f t="shared" si="6"/>
        <v>1188.3792016712412</v>
      </c>
      <c r="P30" s="8">
        <f t="shared" si="6"/>
        <v>1175.7368697385682</v>
      </c>
      <c r="Q30" s="8">
        <f t="shared" si="6"/>
        <v>1163.0945378058955</v>
      </c>
      <c r="R30" s="8">
        <f t="shared" si="6"/>
        <v>1150.4522058732227</v>
      </c>
      <c r="S30" s="8">
        <f t="shared" si="6"/>
        <v>1137.8098739405498</v>
      </c>
      <c r="T30" s="8">
        <f t="shared" si="6"/>
        <v>1125.167542007877</v>
      </c>
      <c r="U30" s="8">
        <f t="shared" si="6"/>
        <v>1112.5252100752043</v>
      </c>
      <c r="V30" s="8">
        <f t="shared" si="6"/>
        <v>1099.8828781425316</v>
      </c>
      <c r="W30" s="8">
        <f t="shared" si="6"/>
        <v>1087.2405462098586</v>
      </c>
      <c r="X30" s="8">
        <f t="shared" si="6"/>
        <v>1074.5982142771859</v>
      </c>
      <c r="Y30" s="8">
        <f t="shared" si="6"/>
        <v>1061.9558823445132</v>
      </c>
      <c r="Z30" s="8">
        <f t="shared" si="6"/>
        <v>1049.3135504118402</v>
      </c>
      <c r="AA30" s="8">
        <f t="shared" si="6"/>
        <v>1036.6712184791675</v>
      </c>
      <c r="AB30" s="8">
        <f t="shared" si="6"/>
        <v>1024.0288865464945</v>
      </c>
      <c r="AC30" s="8">
        <f t="shared" si="6"/>
        <v>1011.3865546138218</v>
      </c>
    </row>
  </sheetData>
  <mergeCells count="3">
    <mergeCell ref="A1:C1"/>
    <mergeCell ref="A24:B25"/>
    <mergeCell ref="E1:F1"/>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5" width="11.85546875" customWidth="1"/>
  </cols>
  <sheetData>
    <row r="1" spans="1:8">
      <c r="A1" s="228" t="s">
        <v>192</v>
      </c>
      <c r="B1" s="229"/>
      <c r="C1" s="229"/>
      <c r="E1" s="229" t="s">
        <v>193</v>
      </c>
      <c r="F1" s="229"/>
    </row>
    <row r="2" spans="1:8" ht="71.45"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B16/$B$22</f>
        <v>0.10097493036211699</v>
      </c>
      <c r="D16" s="29">
        <f t="shared" si="0"/>
        <v>132.11559888579387</v>
      </c>
      <c r="E16" s="94">
        <f>'Spur Line Assumptions'!H8</f>
        <v>156</v>
      </c>
      <c r="F16" s="84">
        <f t="shared" si="2"/>
        <v>288.11559888579387</v>
      </c>
      <c r="G16" s="86">
        <f t="shared" si="3"/>
        <v>288.11559888579387</v>
      </c>
    </row>
    <row r="17" spans="1:29">
      <c r="A17" s="12" t="s">
        <v>233</v>
      </c>
      <c r="B17" s="5">
        <v>326</v>
      </c>
      <c r="C17" s="48">
        <f t="shared" si="1"/>
        <v>0.22701949860724233</v>
      </c>
      <c r="D17" s="113">
        <f t="shared" si="0"/>
        <v>297.03231197771589</v>
      </c>
      <c r="E17" s="51">
        <v>0</v>
      </c>
      <c r="F17" s="83">
        <f>SUM(F11:F16)</f>
        <v>453.03231197771589</v>
      </c>
      <c r="G17" s="85">
        <f>SUM(G11:G16)</f>
        <v>453.03231197771589</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1464.4</v>
      </c>
      <c r="G22" s="85">
        <f>G9+G17+G21</f>
        <v>1464.4</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1464.4</v>
      </c>
      <c r="C30" s="8">
        <f>B30*(1-C29)</f>
        <v>1407.0954448180985</v>
      </c>
      <c r="D30" s="8">
        <f t="shared" ref="D30:AC30" si="5">C30*(1-D29)</f>
        <v>1349.7908896361969</v>
      </c>
      <c r="E30" s="8">
        <f t="shared" si="5"/>
        <v>1294.0948602343592</v>
      </c>
      <c r="F30" s="8">
        <f t="shared" si="5"/>
        <v>1238.2572084578919</v>
      </c>
      <c r="G30" s="8">
        <f t="shared" si="5"/>
        <v>1182.2777966492708</v>
      </c>
      <c r="H30" s="8">
        <f t="shared" si="5"/>
        <v>1126.1564865465893</v>
      </c>
      <c r="I30" s="8">
        <f t="shared" si="5"/>
        <v>1069.8931392860623</v>
      </c>
      <c r="J30" s="8">
        <f t="shared" si="5"/>
        <v>1059.1942078932018</v>
      </c>
      <c r="K30" s="8">
        <f t="shared" si="5"/>
        <v>1048.4952765003411</v>
      </c>
      <c r="L30" s="8">
        <f t="shared" si="5"/>
        <v>1037.7963451074806</v>
      </c>
      <c r="M30" s="8">
        <f t="shared" si="5"/>
        <v>1027.09741371462</v>
      </c>
      <c r="N30" s="8">
        <f t="shared" si="5"/>
        <v>1016.3984823217594</v>
      </c>
      <c r="O30" s="8">
        <f t="shared" si="5"/>
        <v>1005.6995509288988</v>
      </c>
      <c r="P30" s="8">
        <f t="shared" si="5"/>
        <v>995.00061953603813</v>
      </c>
      <c r="Q30" s="8">
        <f t="shared" si="5"/>
        <v>984.30168814317756</v>
      </c>
      <c r="R30" s="8">
        <f t="shared" si="5"/>
        <v>973.60275675031687</v>
      </c>
      <c r="S30" s="8">
        <f t="shared" si="5"/>
        <v>962.90382535745618</v>
      </c>
      <c r="T30" s="8">
        <f t="shared" si="5"/>
        <v>952.20489396459561</v>
      </c>
      <c r="U30" s="8">
        <f t="shared" si="5"/>
        <v>941.50596257173493</v>
      </c>
      <c r="V30" s="8">
        <f t="shared" si="5"/>
        <v>930.80703117887435</v>
      </c>
      <c r="W30" s="8">
        <f t="shared" si="5"/>
        <v>920.10809978601367</v>
      </c>
      <c r="X30" s="8">
        <f t="shared" si="5"/>
        <v>909.4091683931531</v>
      </c>
      <c r="Y30" s="8">
        <f t="shared" si="5"/>
        <v>898.71023700029252</v>
      </c>
      <c r="Z30" s="8">
        <f t="shared" si="5"/>
        <v>888.01130560743184</v>
      </c>
      <c r="AA30" s="8">
        <f t="shared" si="5"/>
        <v>877.31237421457126</v>
      </c>
      <c r="AB30" s="8">
        <f t="shared" si="5"/>
        <v>866.61344282171058</v>
      </c>
      <c r="AC30" s="8">
        <f t="shared" si="5"/>
        <v>855.91451142885001</v>
      </c>
    </row>
  </sheetData>
  <mergeCells count="3">
    <mergeCell ref="A24:B25"/>
    <mergeCell ref="A1:C1"/>
    <mergeCell ref="E1:F1"/>
  </mergeCells>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2" max="14" width="11.85546875" customWidth="1"/>
    <col min="15" max="15" width="11.28515625" customWidth="1"/>
  </cols>
  <sheetData>
    <row r="1" spans="1:8">
      <c r="A1" s="228" t="s">
        <v>192</v>
      </c>
      <c r="B1" s="229"/>
      <c r="C1" s="229"/>
      <c r="E1" s="229" t="s">
        <v>193</v>
      </c>
      <c r="F1" s="229"/>
    </row>
    <row r="2" spans="1:8" ht="72"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1"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 t="shared" si="1"/>
        <v>0.10097493036211699</v>
      </c>
      <c r="D16" s="29">
        <f t="shared" si="0"/>
        <v>132.11559888579387</v>
      </c>
      <c r="E16" s="94">
        <f>'Spur Line Assumptions'!H9</f>
        <v>1163.9999999999998</v>
      </c>
      <c r="F16" s="84">
        <f t="shared" si="2"/>
        <v>1296.1155988857936</v>
      </c>
      <c r="G16" s="86">
        <f t="shared" si="3"/>
        <v>1296.1155988857936</v>
      </c>
    </row>
    <row r="17" spans="1:29">
      <c r="A17" s="12" t="s">
        <v>233</v>
      </c>
      <c r="B17" s="5">
        <v>326</v>
      </c>
      <c r="C17" s="48">
        <f t="shared" si="1"/>
        <v>0.22701949860724233</v>
      </c>
      <c r="D17" s="113">
        <f t="shared" si="0"/>
        <v>297.03231197771589</v>
      </c>
      <c r="E17" s="51">
        <v>0</v>
      </c>
      <c r="F17" s="83">
        <f>SUM(F11:F16)</f>
        <v>1461.0323119777156</v>
      </c>
      <c r="G17" s="85">
        <f>SUM(G11:G16)</f>
        <v>1461.0323119777156</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$B$28*C22</f>
        <v>1308.4000000000001</v>
      </c>
      <c r="E22" s="51">
        <v>0</v>
      </c>
      <c r="F22" s="83">
        <f>F9+F17+F21</f>
        <v>2472.3999999999996</v>
      </c>
      <c r="G22" s="85">
        <f>G9+G17+G21</f>
        <v>2472.3999999999996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2472.3999999999996</v>
      </c>
      <c r="C30" s="8">
        <f>B30*(1-C29)</f>
        <v>2375.6506267196573</v>
      </c>
      <c r="D30" s="8">
        <f t="shared" ref="D30:AC30" si="5">C30*(1-D29)</f>
        <v>2278.901253439315</v>
      </c>
      <c r="E30" s="8">
        <f t="shared" si="5"/>
        <v>2184.8676129769387</v>
      </c>
      <c r="F30" s="8">
        <f t="shared" si="5"/>
        <v>2090.5948662874152</v>
      </c>
      <c r="G30" s="8">
        <f t="shared" si="5"/>
        <v>1996.0827809585198</v>
      </c>
      <c r="H30" s="8">
        <f t="shared" si="5"/>
        <v>1901.3311235576255</v>
      </c>
      <c r="I30" s="8">
        <f t="shared" si="5"/>
        <v>1806.3396596359323</v>
      </c>
      <c r="J30" s="8">
        <f t="shared" si="5"/>
        <v>1788.2762630395732</v>
      </c>
      <c r="K30" s="8">
        <f t="shared" si="5"/>
        <v>1770.2128664432137</v>
      </c>
      <c r="L30" s="8">
        <f t="shared" si="5"/>
        <v>1752.1494698468546</v>
      </c>
      <c r="M30" s="8">
        <f t="shared" si="5"/>
        <v>1734.086073250495</v>
      </c>
      <c r="N30" s="8">
        <f t="shared" si="5"/>
        <v>1716.0226766541357</v>
      </c>
      <c r="O30" s="8">
        <f t="shared" si="5"/>
        <v>1697.9592800577766</v>
      </c>
      <c r="P30" s="8">
        <f t="shared" si="5"/>
        <v>1679.895883461417</v>
      </c>
      <c r="Q30" s="8">
        <f t="shared" si="5"/>
        <v>1661.8324868650577</v>
      </c>
      <c r="R30" s="8">
        <f t="shared" si="5"/>
        <v>1643.7690902686984</v>
      </c>
      <c r="S30" s="8">
        <f t="shared" si="5"/>
        <v>1625.7056936723388</v>
      </c>
      <c r="T30" s="8">
        <f t="shared" si="5"/>
        <v>1607.6422970759795</v>
      </c>
      <c r="U30" s="8">
        <f t="shared" si="5"/>
        <v>1589.5789004796202</v>
      </c>
      <c r="V30" s="8">
        <f t="shared" si="5"/>
        <v>1571.5155038832609</v>
      </c>
      <c r="W30" s="8">
        <f t="shared" si="5"/>
        <v>1553.4521072869013</v>
      </c>
      <c r="X30" s="8">
        <f t="shared" si="5"/>
        <v>1535.3887106905422</v>
      </c>
      <c r="Y30" s="8">
        <f t="shared" si="5"/>
        <v>1517.3253140941829</v>
      </c>
      <c r="Z30" s="8">
        <f t="shared" si="5"/>
        <v>1499.2619174978236</v>
      </c>
      <c r="AA30" s="8">
        <f t="shared" si="5"/>
        <v>1481.1985209014645</v>
      </c>
      <c r="AB30" s="8">
        <f t="shared" si="5"/>
        <v>1463.1351243051049</v>
      </c>
      <c r="AC30" s="8">
        <f t="shared" si="5"/>
        <v>1445.0717277087456</v>
      </c>
    </row>
  </sheetData>
  <mergeCells count="3">
    <mergeCell ref="A1:C1"/>
    <mergeCell ref="A24:B25"/>
    <mergeCell ref="E1:F1"/>
  </mergeCells>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0"/>
  <sheetViews>
    <sheetView workbookViewId="0">
      <selection sqref="A1:C1"/>
    </sheetView>
  </sheetViews>
  <sheetFormatPr defaultRowHeight="15"/>
  <cols>
    <col min="1" max="1" width="24.85546875" bestFit="1" customWidth="1"/>
    <col min="3" max="3" width="10.5703125" customWidth="1"/>
    <col min="4" max="4" width="11" bestFit="1" customWidth="1"/>
    <col min="5" max="5" width="10.28515625" bestFit="1" customWidth="1"/>
    <col min="6" max="6" width="12.42578125" customWidth="1"/>
    <col min="7" max="7" width="10.28515625" customWidth="1"/>
    <col min="8" max="8" width="12" bestFit="1" customWidth="1"/>
    <col min="9" max="9" width="11.7109375" customWidth="1"/>
    <col min="13" max="15" width="11.140625" customWidth="1"/>
  </cols>
  <sheetData>
    <row r="1" spans="1:8">
      <c r="A1" s="228" t="s">
        <v>192</v>
      </c>
      <c r="B1" s="229"/>
      <c r="C1" s="229"/>
      <c r="E1" s="229" t="s">
        <v>193</v>
      </c>
      <c r="F1" s="229"/>
    </row>
    <row r="2" spans="1:8" ht="73.150000000000006" customHeight="1">
      <c r="A2" s="1"/>
      <c r="B2" s="4" t="s">
        <v>194</v>
      </c>
      <c r="C2" s="6" t="s">
        <v>195</v>
      </c>
      <c r="D2" s="44" t="s">
        <v>196</v>
      </c>
      <c r="E2" s="46" t="s">
        <v>197</v>
      </c>
      <c r="F2" s="44" t="s">
        <v>198</v>
      </c>
      <c r="G2" s="17" t="s">
        <v>199</v>
      </c>
      <c r="H2" s="18"/>
    </row>
    <row r="3" spans="1:8">
      <c r="A3" t="s">
        <v>200</v>
      </c>
      <c r="B3">
        <v>200</v>
      </c>
      <c r="D3" s="34"/>
      <c r="E3" s="47"/>
      <c r="F3" s="34"/>
    </row>
    <row r="4" spans="1:8">
      <c r="A4" s="1" t="s">
        <v>201</v>
      </c>
      <c r="B4" s="4" t="s">
        <v>124</v>
      </c>
      <c r="C4" s="4" t="s">
        <v>202</v>
      </c>
      <c r="D4" s="45" t="s">
        <v>124</v>
      </c>
      <c r="E4" s="52" t="s">
        <v>203</v>
      </c>
      <c r="F4" s="45" t="s">
        <v>124</v>
      </c>
      <c r="G4" s="43" t="s">
        <v>124</v>
      </c>
    </row>
    <row r="5" spans="1:8">
      <c r="A5" s="3" t="s">
        <v>225</v>
      </c>
      <c r="B5" s="5"/>
      <c r="C5" s="5"/>
      <c r="D5" s="74"/>
      <c r="E5" s="61"/>
      <c r="F5" s="74"/>
      <c r="G5" s="5"/>
    </row>
    <row r="6" spans="1:8">
      <c r="A6" s="2" t="s">
        <v>226</v>
      </c>
      <c r="B6">
        <v>287</v>
      </c>
      <c r="C6" s="7">
        <f>B6/$B$22</f>
        <v>0.19986072423398329</v>
      </c>
      <c r="D6" s="29">
        <f>$B$28*C6</f>
        <v>261.49777158774378</v>
      </c>
      <c r="E6" s="41">
        <v>0</v>
      </c>
      <c r="F6" s="84">
        <f>D6+E6</f>
        <v>261.49777158774378</v>
      </c>
      <c r="G6" s="86">
        <f>F6</f>
        <v>261.49777158774378</v>
      </c>
    </row>
    <row r="7" spans="1:8">
      <c r="A7" s="2" t="s">
        <v>227</v>
      </c>
      <c r="B7">
        <v>488</v>
      </c>
      <c r="C7" s="7">
        <f>B7/$B$22</f>
        <v>0.33983286908077992</v>
      </c>
      <c r="D7" s="29">
        <f t="shared" ref="D7:D22" si="0">$B$28*C7</f>
        <v>444.63732590529247</v>
      </c>
      <c r="E7" s="41">
        <v>0</v>
      </c>
      <c r="F7" s="84">
        <f>D7+E7</f>
        <v>444.63732590529247</v>
      </c>
      <c r="G7" s="86">
        <f>F7</f>
        <v>444.63732590529247</v>
      </c>
    </row>
    <row r="8" spans="1:8">
      <c r="A8" s="2" t="s">
        <v>228</v>
      </c>
      <c r="B8">
        <v>215</v>
      </c>
      <c r="C8" s="7">
        <f>B8/$B$22</f>
        <v>0.14972144846796656</v>
      </c>
      <c r="D8" s="29">
        <f t="shared" si="0"/>
        <v>195.89554317548746</v>
      </c>
      <c r="E8" s="41">
        <v>0</v>
      </c>
      <c r="F8" s="84">
        <f>D8+E8</f>
        <v>195.89554317548746</v>
      </c>
      <c r="G8" s="86">
        <f>F8</f>
        <v>195.89554317548746</v>
      </c>
    </row>
    <row r="9" spans="1:8">
      <c r="A9" s="2" t="s">
        <v>229</v>
      </c>
      <c r="B9">
        <v>991</v>
      </c>
      <c r="C9" s="48">
        <f>B9/$B$22</f>
        <v>0.69011142061281339</v>
      </c>
      <c r="D9" s="113">
        <f t="shared" si="0"/>
        <v>902.94178272980514</v>
      </c>
      <c r="E9" s="51">
        <v>0</v>
      </c>
      <c r="F9" s="83">
        <f>SUM(F6:F8)</f>
        <v>902.03064066852369</v>
      </c>
      <c r="G9" s="85">
        <f>SUM(G6:G8)</f>
        <v>902.03064066852369</v>
      </c>
    </row>
    <row r="10" spans="1:8">
      <c r="A10" s="10" t="s">
        <v>206</v>
      </c>
      <c r="B10" s="11"/>
      <c r="C10" s="7"/>
      <c r="D10" s="29"/>
      <c r="E10" s="41"/>
      <c r="F10" s="84"/>
      <c r="G10" s="86"/>
    </row>
    <row r="11" spans="1:8">
      <c r="A11" s="2" t="s">
        <v>230</v>
      </c>
      <c r="B11">
        <v>16</v>
      </c>
      <c r="C11" s="7">
        <f t="shared" ref="C11:C17" si="1">B11/$B$22</f>
        <v>1.1142061281337047E-2</v>
      </c>
      <c r="D11" s="29">
        <f t="shared" si="0"/>
        <v>14.578272980501394</v>
      </c>
      <c r="E11" s="41">
        <v>0</v>
      </c>
      <c r="F11" s="84">
        <f t="shared" ref="F11:F16" si="2">D11+E11</f>
        <v>14.578272980501394</v>
      </c>
      <c r="G11" s="86">
        <f t="shared" ref="G11:G16" si="3">F11</f>
        <v>14.578272980501394</v>
      </c>
    </row>
    <row r="12" spans="1:8">
      <c r="A12" s="2" t="s">
        <v>208</v>
      </c>
      <c r="B12">
        <v>18</v>
      </c>
      <c r="C12" s="7">
        <f t="shared" si="1"/>
        <v>1.2534818941504178E-2</v>
      </c>
      <c r="D12" s="29">
        <f t="shared" si="0"/>
        <v>16.400557103064067</v>
      </c>
      <c r="E12" s="41">
        <v>0</v>
      </c>
      <c r="F12" s="84">
        <f t="shared" si="2"/>
        <v>16.400557103064067</v>
      </c>
      <c r="G12" s="86">
        <f t="shared" si="3"/>
        <v>16.400557103064067</v>
      </c>
    </row>
    <row r="13" spans="1:8">
      <c r="A13" s="2" t="s">
        <v>231</v>
      </c>
      <c r="B13">
        <v>59</v>
      </c>
      <c r="C13" s="7">
        <f t="shared" si="1"/>
        <v>4.1086350974930359E-2</v>
      </c>
      <c r="D13" s="29">
        <f t="shared" si="0"/>
        <v>53.757381615598888</v>
      </c>
      <c r="E13" s="41">
        <v>0</v>
      </c>
      <c r="F13" s="84">
        <f t="shared" si="2"/>
        <v>53.757381615598888</v>
      </c>
      <c r="G13" s="86">
        <f t="shared" si="3"/>
        <v>53.757381615598888</v>
      </c>
    </row>
    <row r="14" spans="1:8">
      <c r="A14" s="2" t="s">
        <v>232</v>
      </c>
      <c r="B14">
        <v>44</v>
      </c>
      <c r="C14" s="7">
        <f t="shared" si="1"/>
        <v>3.0640668523676879E-2</v>
      </c>
      <c r="D14" s="29">
        <f t="shared" si="0"/>
        <v>40.090250696378831</v>
      </c>
      <c r="E14" s="41">
        <v>0</v>
      </c>
      <c r="F14" s="84">
        <f t="shared" si="2"/>
        <v>40.090250696378831</v>
      </c>
      <c r="G14" s="86">
        <f t="shared" si="3"/>
        <v>40.090250696378831</v>
      </c>
    </row>
    <row r="15" spans="1:8">
      <c r="A15" s="2" t="s">
        <v>212</v>
      </c>
      <c r="B15">
        <v>44</v>
      </c>
      <c r="C15" s="7">
        <f t="shared" si="1"/>
        <v>3.0640668523676879E-2</v>
      </c>
      <c r="D15" s="29">
        <f t="shared" si="0"/>
        <v>40.090250696378831</v>
      </c>
      <c r="E15" s="41">
        <v>0</v>
      </c>
      <c r="F15" s="84">
        <f t="shared" si="2"/>
        <v>40.090250696378831</v>
      </c>
      <c r="G15" s="86">
        <f t="shared" si="3"/>
        <v>40.090250696378831</v>
      </c>
    </row>
    <row r="16" spans="1:8">
      <c r="A16" s="2" t="s">
        <v>211</v>
      </c>
      <c r="B16">
        <v>145</v>
      </c>
      <c r="C16" s="7">
        <f t="shared" si="1"/>
        <v>0.10097493036211699</v>
      </c>
      <c r="D16" s="29">
        <f t="shared" si="0"/>
        <v>132.11559888579387</v>
      </c>
      <c r="E16" s="94">
        <f>'Spur Line Assumptions'!H10</f>
        <v>463.125</v>
      </c>
      <c r="F16" s="84">
        <f t="shared" si="2"/>
        <v>595.24059888579382</v>
      </c>
      <c r="G16" s="86">
        <f t="shared" si="3"/>
        <v>595.24059888579382</v>
      </c>
    </row>
    <row r="17" spans="1:29">
      <c r="A17" s="12" t="s">
        <v>233</v>
      </c>
      <c r="B17" s="5">
        <v>326</v>
      </c>
      <c r="C17" s="48">
        <f t="shared" si="1"/>
        <v>0.22701949860724233</v>
      </c>
      <c r="D17" s="113">
        <f t="shared" si="0"/>
        <v>297.03231197771589</v>
      </c>
      <c r="E17" s="51">
        <v>0</v>
      </c>
      <c r="F17" s="83">
        <f>SUM(F11:F16)</f>
        <v>760.15731197771584</v>
      </c>
      <c r="G17" s="85">
        <f>SUM(G11:G16)</f>
        <v>760.15731197771584</v>
      </c>
    </row>
    <row r="18" spans="1:29">
      <c r="A18" s="1" t="s">
        <v>234</v>
      </c>
      <c r="C18" s="7"/>
      <c r="D18" s="29"/>
      <c r="E18" s="41"/>
      <c r="F18" s="84"/>
      <c r="G18" s="86"/>
    </row>
    <row r="19" spans="1:29">
      <c r="A19" s="2" t="s">
        <v>235</v>
      </c>
      <c r="B19">
        <v>34</v>
      </c>
      <c r="C19" s="7">
        <f>B19/$B$22</f>
        <v>2.3676880222841225E-2</v>
      </c>
      <c r="D19" s="29">
        <f t="shared" si="0"/>
        <v>30.978830083565462</v>
      </c>
      <c r="E19" s="41">
        <v>0</v>
      </c>
      <c r="F19" s="84">
        <f>D19+E19</f>
        <v>30.978830083565462</v>
      </c>
      <c r="G19" s="86">
        <f>F19</f>
        <v>30.978830083565462</v>
      </c>
    </row>
    <row r="20" spans="1:29">
      <c r="A20" s="2" t="s">
        <v>236</v>
      </c>
      <c r="B20">
        <v>86</v>
      </c>
      <c r="C20" s="7">
        <f>B20/$B$22</f>
        <v>5.9888579387186627E-2</v>
      </c>
      <c r="D20" s="29">
        <f t="shared" si="0"/>
        <v>78.358217270194984</v>
      </c>
      <c r="E20" s="41">
        <v>0</v>
      </c>
      <c r="F20" s="84">
        <f>D20+E20</f>
        <v>78.358217270194984</v>
      </c>
      <c r="G20" s="86">
        <f>F20</f>
        <v>78.358217270194984</v>
      </c>
    </row>
    <row r="21" spans="1:29">
      <c r="A21" s="2" t="s">
        <v>233</v>
      </c>
      <c r="B21">
        <v>120</v>
      </c>
      <c r="C21" s="7">
        <f>B21/$B$22</f>
        <v>8.3565459610027856E-2</v>
      </c>
      <c r="D21" s="29">
        <f t="shared" si="0"/>
        <v>109.33704735376045</v>
      </c>
      <c r="E21" s="41">
        <v>0</v>
      </c>
      <c r="F21" s="84">
        <f>D21+E21</f>
        <v>109.33704735376045</v>
      </c>
      <c r="G21" s="86">
        <f>F21</f>
        <v>109.33704735376045</v>
      </c>
    </row>
    <row r="22" spans="1:29">
      <c r="A22" s="3" t="s">
        <v>220</v>
      </c>
      <c r="B22" s="13">
        <v>1436</v>
      </c>
      <c r="C22" s="48">
        <f>B22/$B$22</f>
        <v>1</v>
      </c>
      <c r="D22" s="113">
        <f t="shared" si="0"/>
        <v>1308.4000000000001</v>
      </c>
      <c r="E22" s="51">
        <v>0</v>
      </c>
      <c r="F22" s="83">
        <f>F9+F17+F21</f>
        <v>1771.5249999999999</v>
      </c>
      <c r="G22" s="85">
        <f>G9+G17+G21</f>
        <v>1771.5249999999999</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237</v>
      </c>
      <c r="B28" s="8">
        <v>1308.4000000000001</v>
      </c>
      <c r="C28" s="8">
        <v>1257.2</v>
      </c>
      <c r="D28" s="8">
        <v>1206</v>
      </c>
      <c r="E28" s="8">
        <v>1156.2371723099122</v>
      </c>
      <c r="F28" s="8">
        <v>1106.347809031894</v>
      </c>
      <c r="G28" s="8">
        <v>1056.3317871728393</v>
      </c>
      <c r="H28" s="8">
        <v>1006.1889831996432</v>
      </c>
      <c r="I28" s="8">
        <v>955.91927304143928</v>
      </c>
      <c r="J28" s="8">
        <v>946.36008031102494</v>
      </c>
      <c r="K28" s="8">
        <v>936.80088758061049</v>
      </c>
      <c r="L28" s="8">
        <v>927.24169485019615</v>
      </c>
      <c r="M28" s="8">
        <v>917.6825021197817</v>
      </c>
      <c r="N28" s="8">
        <v>908.12330938936736</v>
      </c>
      <c r="O28" s="8">
        <v>898.56411665895303</v>
      </c>
      <c r="P28" s="8">
        <v>889.00492392853857</v>
      </c>
      <c r="Q28" s="8">
        <v>879.44573119812424</v>
      </c>
      <c r="R28" s="8">
        <v>869.88653846770978</v>
      </c>
      <c r="S28" s="8">
        <v>860.32734573729533</v>
      </c>
      <c r="T28" s="8">
        <v>850.76815300688099</v>
      </c>
      <c r="U28" s="8">
        <v>841.20896027646654</v>
      </c>
      <c r="V28" s="8">
        <v>831.6497675460522</v>
      </c>
      <c r="W28" s="8">
        <v>822.09057481563775</v>
      </c>
      <c r="X28" s="8">
        <v>812.53138208522341</v>
      </c>
      <c r="Y28" s="8">
        <v>802.97218935480907</v>
      </c>
      <c r="Z28" s="8">
        <v>793.41299662439462</v>
      </c>
      <c r="AA28" s="8">
        <v>783.85380389398028</v>
      </c>
      <c r="AB28" s="8">
        <v>774.29461116356583</v>
      </c>
      <c r="AC28" s="8">
        <v>764.73541843315149</v>
      </c>
    </row>
    <row r="29" spans="1:29">
      <c r="A29" t="s">
        <v>223</v>
      </c>
      <c r="B29" s="15" t="s">
        <v>71</v>
      </c>
      <c r="C29" s="14">
        <f>1-(C28/B28)</f>
        <v>3.9131763986548496E-2</v>
      </c>
      <c r="D29" s="14">
        <f t="shared" ref="D29:AC29" si="4">1-(D28/C28)</f>
        <v>4.0725421571746745E-2</v>
      </c>
      <c r="E29" s="14">
        <f t="shared" si="4"/>
        <v>4.1262709527435937E-2</v>
      </c>
      <c r="F29" s="14">
        <f t="shared" si="4"/>
        <v>4.3148036123376032E-2</v>
      </c>
      <c r="G29" s="14">
        <f t="shared" si="4"/>
        <v>4.5208226066648094E-2</v>
      </c>
      <c r="H29" s="14">
        <f t="shared" si="4"/>
        <v>4.7468801547095429E-2</v>
      </c>
      <c r="I29" s="14">
        <f t="shared" si="4"/>
        <v>4.9960505429455293E-2</v>
      </c>
      <c r="J29" s="14">
        <f t="shared" si="4"/>
        <v>9.9999999999998979E-3</v>
      </c>
      <c r="K29" s="14">
        <f t="shared" si="4"/>
        <v>1.0101010101010166E-2</v>
      </c>
      <c r="L29" s="14">
        <f t="shared" si="4"/>
        <v>1.0204081632652962E-2</v>
      </c>
      <c r="M29" s="14">
        <f t="shared" si="4"/>
        <v>1.0309278350515538E-2</v>
      </c>
      <c r="N29" s="14">
        <f t="shared" si="4"/>
        <v>1.041666666666663E-2</v>
      </c>
      <c r="O29" s="14">
        <f t="shared" si="4"/>
        <v>1.0526315789473606E-2</v>
      </c>
      <c r="P29" s="14">
        <f t="shared" si="4"/>
        <v>1.0638297872340496E-2</v>
      </c>
      <c r="Q29" s="14">
        <f t="shared" si="4"/>
        <v>1.0752688172043001E-2</v>
      </c>
      <c r="R29" s="14">
        <f t="shared" si="4"/>
        <v>1.0869565217391353E-2</v>
      </c>
      <c r="S29" s="14">
        <f t="shared" si="4"/>
        <v>1.0989010989011061E-2</v>
      </c>
      <c r="T29" s="14">
        <f t="shared" si="4"/>
        <v>1.1111111111111072E-2</v>
      </c>
      <c r="U29" s="14">
        <f t="shared" si="4"/>
        <v>1.1235955056179803E-2</v>
      </c>
      <c r="V29" s="14">
        <f t="shared" si="4"/>
        <v>1.1363636363636354E-2</v>
      </c>
      <c r="W29" s="14">
        <f t="shared" si="4"/>
        <v>1.1494252873563315E-2</v>
      </c>
      <c r="X29" s="14">
        <f t="shared" si="4"/>
        <v>1.1627906976744096E-2</v>
      </c>
      <c r="Y29" s="14">
        <f t="shared" si="4"/>
        <v>1.1764705882352899E-2</v>
      </c>
      <c r="Z29" s="14">
        <f t="shared" si="4"/>
        <v>1.1904761904761973E-2</v>
      </c>
      <c r="AA29" s="14">
        <f t="shared" si="4"/>
        <v>1.2048192771084265E-2</v>
      </c>
      <c r="AB29" s="14">
        <f t="shared" si="4"/>
        <v>1.2195121951219634E-2</v>
      </c>
      <c r="AC29" s="14">
        <f t="shared" si="4"/>
        <v>1.2345679012345623E-2</v>
      </c>
    </row>
    <row r="30" spans="1:29">
      <c r="A30" t="s">
        <v>224</v>
      </c>
      <c r="B30" s="8">
        <f>G22</f>
        <v>1771.5249999999999</v>
      </c>
      <c r="C30" s="8">
        <f>B30*(1-C29)</f>
        <v>1702.2021018037296</v>
      </c>
      <c r="D30" s="8">
        <f t="shared" ref="D30:AC30" si="5">C30*(1-D29)</f>
        <v>1632.8792036074594</v>
      </c>
      <c r="E30" s="8">
        <f t="shared" si="5"/>
        <v>1565.5021833356138</v>
      </c>
      <c r="F30" s="8">
        <f t="shared" si="5"/>
        <v>1497.9538385778246</v>
      </c>
      <c r="G30" s="8">
        <f t="shared" si="5"/>
        <v>1430.234002805995</v>
      </c>
      <c r="H30" s="8">
        <f t="shared" si="5"/>
        <v>1362.3425087608894</v>
      </c>
      <c r="I30" s="8">
        <f t="shared" si="5"/>
        <v>1294.2791884551632</v>
      </c>
      <c r="J30" s="8">
        <f t="shared" si="5"/>
        <v>1281.3363965706117</v>
      </c>
      <c r="K30" s="8">
        <f t="shared" si="5"/>
        <v>1268.3936046860599</v>
      </c>
      <c r="L30" s="8">
        <f t="shared" si="5"/>
        <v>1255.4508128015084</v>
      </c>
      <c r="M30" s="8">
        <f t="shared" si="5"/>
        <v>1242.5080209169566</v>
      </c>
      <c r="N30" s="8">
        <f t="shared" si="5"/>
        <v>1229.5652290324051</v>
      </c>
      <c r="O30" s="8">
        <f t="shared" si="5"/>
        <v>1216.6224371478536</v>
      </c>
      <c r="P30" s="8">
        <f t="shared" si="5"/>
        <v>1203.6796452633018</v>
      </c>
      <c r="Q30" s="8">
        <f t="shared" si="5"/>
        <v>1190.7368533787503</v>
      </c>
      <c r="R30" s="8">
        <f t="shared" si="5"/>
        <v>1177.7940614941986</v>
      </c>
      <c r="S30" s="8">
        <f t="shared" si="5"/>
        <v>1164.8512696096468</v>
      </c>
      <c r="T30" s="8">
        <f t="shared" si="5"/>
        <v>1151.9084777250953</v>
      </c>
      <c r="U30" s="8">
        <f t="shared" si="5"/>
        <v>1138.9656858405435</v>
      </c>
      <c r="V30" s="8">
        <f t="shared" si="5"/>
        <v>1126.022893955992</v>
      </c>
      <c r="W30" s="8">
        <f t="shared" si="5"/>
        <v>1113.0801020714403</v>
      </c>
      <c r="X30" s="8">
        <f t="shared" si="5"/>
        <v>1100.1373101868887</v>
      </c>
      <c r="Y30" s="8">
        <f t="shared" si="5"/>
        <v>1087.1945183023372</v>
      </c>
      <c r="Z30" s="8">
        <f t="shared" si="5"/>
        <v>1074.2517264177854</v>
      </c>
      <c r="AA30" s="8">
        <f t="shared" si="5"/>
        <v>1061.3089345332339</v>
      </c>
      <c r="AB30" s="8">
        <f t="shared" si="5"/>
        <v>1048.3661426486822</v>
      </c>
      <c r="AC30" s="8">
        <f t="shared" si="5"/>
        <v>1035.4233507641306</v>
      </c>
    </row>
  </sheetData>
  <mergeCells count="3">
    <mergeCell ref="A1:C1"/>
    <mergeCell ref="A24:B25"/>
    <mergeCell ref="E1:F1"/>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30"/>
  <sheetViews>
    <sheetView workbookViewId="0">
      <selection sqref="A1:C1"/>
    </sheetView>
  </sheetViews>
  <sheetFormatPr defaultRowHeight="1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12" width="9.5703125" bestFit="1" customWidth="1"/>
    <col min="13" max="15" width="10.5703125" customWidth="1"/>
    <col min="16" max="33" width="9.5703125" bestFit="1" customWidth="1"/>
  </cols>
  <sheetData>
    <row r="1" spans="1:11">
      <c r="A1" s="228" t="s">
        <v>192</v>
      </c>
      <c r="B1" s="229"/>
      <c r="C1" s="229"/>
      <c r="E1" s="229" t="s">
        <v>193</v>
      </c>
      <c r="F1" s="229"/>
    </row>
    <row r="2" spans="1:11" ht="75">
      <c r="A2" s="1"/>
      <c r="B2" s="4" t="s">
        <v>194</v>
      </c>
      <c r="C2" s="6" t="s">
        <v>195</v>
      </c>
      <c r="D2" s="44" t="s">
        <v>196</v>
      </c>
      <c r="E2" s="46" t="s">
        <v>197</v>
      </c>
      <c r="F2" s="44" t="s">
        <v>198</v>
      </c>
      <c r="G2" s="17" t="s">
        <v>199</v>
      </c>
    </row>
    <row r="3" spans="1:11">
      <c r="A3" t="s">
        <v>200</v>
      </c>
      <c r="B3">
        <v>134</v>
      </c>
      <c r="C3" t="s">
        <v>202</v>
      </c>
      <c r="D3" s="45" t="s">
        <v>124</v>
      </c>
      <c r="E3" s="47" t="s">
        <v>238</v>
      </c>
      <c r="F3" s="45" t="s">
        <v>124</v>
      </c>
      <c r="G3" s="43" t="s">
        <v>124</v>
      </c>
    </row>
    <row r="4" spans="1:11">
      <c r="A4" s="3" t="s">
        <v>239</v>
      </c>
      <c r="B4" s="5" t="s">
        <v>240</v>
      </c>
      <c r="C4" s="5"/>
      <c r="D4" s="74"/>
      <c r="E4" s="61"/>
      <c r="F4" s="74"/>
      <c r="G4" s="5"/>
    </row>
    <row r="5" spans="1:11">
      <c r="A5" s="1" t="s">
        <v>241</v>
      </c>
      <c r="B5" s="87">
        <v>41000000</v>
      </c>
      <c r="C5" s="62">
        <f t="shared" ref="C5:C13" si="0">B5/$B$22</f>
        <v>0.40594059405940597</v>
      </c>
      <c r="D5" s="84">
        <f>$B$28*C5</f>
        <v>435.89253514370591</v>
      </c>
      <c r="E5" s="96">
        <v>0</v>
      </c>
      <c r="F5" s="84">
        <f t="shared" ref="F5:F12" si="1">D5+E5</f>
        <v>435.89253514370591</v>
      </c>
      <c r="G5" s="86">
        <f>F5</f>
        <v>435.89253514370591</v>
      </c>
      <c r="K5" s="4"/>
    </row>
    <row r="6" spans="1:11">
      <c r="A6" s="1" t="s">
        <v>242</v>
      </c>
      <c r="B6" s="87">
        <v>5000000</v>
      </c>
      <c r="C6" s="62">
        <f t="shared" si="0"/>
        <v>4.9504950495049507E-2</v>
      </c>
      <c r="D6" s="84">
        <f t="shared" ref="D6:D22" si="2">$B$28*C6</f>
        <v>53.157626237037306</v>
      </c>
      <c r="E6" s="96">
        <v>0</v>
      </c>
      <c r="F6" s="84">
        <f t="shared" si="1"/>
        <v>53.157626237037306</v>
      </c>
      <c r="G6" s="86">
        <f t="shared" ref="G6:G12" si="3">F6</f>
        <v>53.157626237037306</v>
      </c>
    </row>
    <row r="7" spans="1:11">
      <c r="A7" s="1" t="s">
        <v>243</v>
      </c>
      <c r="B7" s="87">
        <v>12000000</v>
      </c>
      <c r="C7" s="62">
        <f t="shared" si="0"/>
        <v>0.11881188118811881</v>
      </c>
      <c r="D7" s="84">
        <f t="shared" si="2"/>
        <v>127.57830296888953</v>
      </c>
      <c r="E7" s="96">
        <v>0</v>
      </c>
      <c r="F7" s="84">
        <f t="shared" si="1"/>
        <v>127.57830296888953</v>
      </c>
      <c r="G7" s="86">
        <f t="shared" si="3"/>
        <v>127.57830296888953</v>
      </c>
    </row>
    <row r="8" spans="1:11">
      <c r="A8" s="1" t="s">
        <v>244</v>
      </c>
      <c r="B8" s="87">
        <v>7000000</v>
      </c>
      <c r="C8" s="62">
        <f t="shared" si="0"/>
        <v>6.9306930693069313E-2</v>
      </c>
      <c r="D8" s="84">
        <f t="shared" si="2"/>
        <v>74.42067673185224</v>
      </c>
      <c r="E8" s="96">
        <v>0</v>
      </c>
      <c r="F8" s="84">
        <f t="shared" si="1"/>
        <v>74.42067673185224</v>
      </c>
      <c r="G8" s="86">
        <f t="shared" si="3"/>
        <v>74.42067673185224</v>
      </c>
    </row>
    <row r="9" spans="1:11">
      <c r="A9" s="1" t="s">
        <v>245</v>
      </c>
      <c r="B9" s="30">
        <f>B7+B8</f>
        <v>19000000</v>
      </c>
      <c r="C9" s="62">
        <f t="shared" si="0"/>
        <v>0.18811881188118812</v>
      </c>
      <c r="D9" s="84">
        <f t="shared" si="2"/>
        <v>201.99897970074176</v>
      </c>
      <c r="E9" s="96">
        <v>0</v>
      </c>
      <c r="F9" s="84">
        <f t="shared" si="1"/>
        <v>201.99897970074176</v>
      </c>
      <c r="G9" s="86">
        <f t="shared" si="3"/>
        <v>201.99897970074176</v>
      </c>
    </row>
    <row r="10" spans="1:11">
      <c r="A10" s="1" t="s">
        <v>246</v>
      </c>
      <c r="B10" s="30">
        <v>11000000</v>
      </c>
      <c r="C10" s="62">
        <f t="shared" si="0"/>
        <v>0.10891089108910891</v>
      </c>
      <c r="D10" s="84">
        <f t="shared" si="2"/>
        <v>116.94677772148208</v>
      </c>
      <c r="E10" s="96">
        <v>0</v>
      </c>
      <c r="F10" s="84">
        <f t="shared" si="1"/>
        <v>116.94677772148208</v>
      </c>
      <c r="G10" s="86">
        <f t="shared" si="3"/>
        <v>116.94677772148208</v>
      </c>
    </row>
    <row r="11" spans="1:11">
      <c r="A11" s="1" t="s">
        <v>247</v>
      </c>
      <c r="B11" s="30">
        <v>6000000</v>
      </c>
      <c r="C11" s="62">
        <f t="shared" si="0"/>
        <v>5.9405940594059403E-2</v>
      </c>
      <c r="D11" s="84">
        <f t="shared" si="2"/>
        <v>63.789151484444766</v>
      </c>
      <c r="E11" s="96">
        <v>0</v>
      </c>
      <c r="F11" s="84">
        <f t="shared" si="1"/>
        <v>63.789151484444766</v>
      </c>
      <c r="G11" s="86">
        <f t="shared" si="3"/>
        <v>63.789151484444766</v>
      </c>
    </row>
    <row r="12" spans="1:11">
      <c r="A12" s="1" t="s">
        <v>248</v>
      </c>
      <c r="B12" s="30">
        <v>4000000</v>
      </c>
      <c r="C12" s="62">
        <f t="shared" si="0"/>
        <v>3.9603960396039604E-2</v>
      </c>
      <c r="D12" s="84">
        <f t="shared" si="2"/>
        <v>42.526100989629846</v>
      </c>
      <c r="E12" s="96">
        <v>0</v>
      </c>
      <c r="F12" s="84">
        <f t="shared" si="1"/>
        <v>42.526100989629846</v>
      </c>
      <c r="G12" s="86">
        <f t="shared" si="3"/>
        <v>42.526100989629846</v>
      </c>
    </row>
    <row r="13" spans="1:11">
      <c r="A13" s="1" t="s">
        <v>249</v>
      </c>
      <c r="B13" s="30">
        <f>SUM(B5:B8,B10:B12)</f>
        <v>86000000</v>
      </c>
      <c r="C13" s="62">
        <f t="shared" si="0"/>
        <v>0.85148514851485146</v>
      </c>
      <c r="D13" s="84">
        <f t="shared" si="2"/>
        <v>914.31117127704169</v>
      </c>
      <c r="E13" s="96">
        <v>0</v>
      </c>
      <c r="F13" s="84">
        <f>SUM(F5:F8,F10:F12)</f>
        <v>914.31117127704169</v>
      </c>
      <c r="G13" s="86">
        <f>SUM(G5:G8,G10:G12)</f>
        <v>914.31117127704169</v>
      </c>
    </row>
    <row r="14" spans="1:11">
      <c r="A14" s="1" t="s">
        <v>250</v>
      </c>
      <c r="B14" s="30"/>
      <c r="C14" s="62"/>
      <c r="D14" s="84"/>
      <c r="E14" s="96"/>
      <c r="F14" s="84"/>
      <c r="G14" s="86"/>
    </row>
    <row r="15" spans="1:11">
      <c r="A15" s="1" t="s">
        <v>251</v>
      </c>
      <c r="B15" s="30"/>
      <c r="C15" s="62"/>
      <c r="D15" s="84"/>
      <c r="E15" s="96"/>
      <c r="F15" s="84"/>
      <c r="G15" s="86"/>
    </row>
    <row r="16" spans="1:11">
      <c r="A16" s="1" t="s">
        <v>252</v>
      </c>
      <c r="B16" s="30">
        <v>3000000</v>
      </c>
      <c r="C16" s="62">
        <f t="shared" ref="C16:C22" si="4">B16/$B$22</f>
        <v>2.9702970297029702E-2</v>
      </c>
      <c r="D16" s="84">
        <f t="shared" si="2"/>
        <v>31.894575742222383</v>
      </c>
      <c r="E16" s="96">
        <v>0</v>
      </c>
      <c r="F16" s="84">
        <f>D16+E16</f>
        <v>31.894575742222383</v>
      </c>
      <c r="G16" s="86">
        <f>F16</f>
        <v>31.894575742222383</v>
      </c>
    </row>
    <row r="17" spans="1:29">
      <c r="A17" s="1" t="s">
        <v>253</v>
      </c>
      <c r="B17" s="30">
        <v>2000000</v>
      </c>
      <c r="C17" s="62">
        <f t="shared" si="4"/>
        <v>1.9801980198019802E-2</v>
      </c>
      <c r="D17" s="84">
        <f t="shared" si="2"/>
        <v>21.263050494814923</v>
      </c>
      <c r="E17" s="94">
        <f>'Spur Line Assumptions'!H11</f>
        <v>156</v>
      </c>
      <c r="F17" s="84">
        <f>D17+E17</f>
        <v>177.26305049481493</v>
      </c>
      <c r="G17" s="86">
        <f>F17</f>
        <v>177.26305049481493</v>
      </c>
    </row>
    <row r="18" spans="1:29">
      <c r="A18" s="1" t="s">
        <v>254</v>
      </c>
      <c r="B18" s="30">
        <v>2000000</v>
      </c>
      <c r="C18" s="62">
        <f t="shared" si="4"/>
        <v>1.9801980198019802E-2</v>
      </c>
      <c r="D18" s="84">
        <f t="shared" si="2"/>
        <v>21.263050494814923</v>
      </c>
      <c r="E18" s="96">
        <v>0</v>
      </c>
      <c r="F18" s="84">
        <f>D18+E18</f>
        <v>21.263050494814923</v>
      </c>
      <c r="G18" s="86">
        <f>F18</f>
        <v>21.263050494814923</v>
      </c>
    </row>
    <row r="19" spans="1:29">
      <c r="A19" s="1" t="s">
        <v>255</v>
      </c>
      <c r="B19" s="30">
        <v>3000000</v>
      </c>
      <c r="C19" s="62">
        <f t="shared" si="4"/>
        <v>2.9702970297029702E-2</v>
      </c>
      <c r="D19" s="84">
        <f t="shared" si="2"/>
        <v>31.894575742222383</v>
      </c>
      <c r="E19" s="96">
        <v>0</v>
      </c>
      <c r="F19" s="84">
        <f>D19+E19</f>
        <v>31.894575742222383</v>
      </c>
      <c r="G19" s="86">
        <f>F19</f>
        <v>31.894575742222383</v>
      </c>
    </row>
    <row r="20" spans="1:29">
      <c r="A20" s="1" t="s">
        <v>256</v>
      </c>
      <c r="B20" s="30">
        <v>5000000</v>
      </c>
      <c r="C20" s="48">
        <f t="shared" si="4"/>
        <v>4.9504950495049507E-2</v>
      </c>
      <c r="D20" s="83">
        <f t="shared" si="2"/>
        <v>53.157626237037306</v>
      </c>
      <c r="E20" s="97">
        <v>0</v>
      </c>
      <c r="F20" s="84">
        <f>D20+E20</f>
        <v>53.157626237037306</v>
      </c>
      <c r="G20" s="85">
        <f>F20</f>
        <v>53.157626237037306</v>
      </c>
    </row>
    <row r="21" spans="1:29">
      <c r="A21" s="21" t="s">
        <v>257</v>
      </c>
      <c r="B21" s="91">
        <f>SUM(B15:B20)</f>
        <v>15000000</v>
      </c>
      <c r="C21" s="67">
        <f t="shared" si="4"/>
        <v>0.14851485148514851</v>
      </c>
      <c r="D21" s="89">
        <f t="shared" si="2"/>
        <v>159.47287871111192</v>
      </c>
      <c r="E21" s="98">
        <v>0</v>
      </c>
      <c r="F21" s="89">
        <f>SUM(F15:F20)</f>
        <v>315.47287871111189</v>
      </c>
      <c r="G21" s="90">
        <f>SUM(G15:G20)</f>
        <v>315.47287871111189</v>
      </c>
    </row>
    <row r="22" spans="1:29">
      <c r="A22" s="3" t="s">
        <v>233</v>
      </c>
      <c r="B22" s="33">
        <f>SUM(B5:B8,B10:B12,B14:B20)</f>
        <v>101000000</v>
      </c>
      <c r="C22" s="67">
        <f t="shared" si="4"/>
        <v>1</v>
      </c>
      <c r="D22" s="89">
        <f t="shared" si="2"/>
        <v>1073.7840499881536</v>
      </c>
      <c r="E22" s="98">
        <v>0</v>
      </c>
      <c r="F22" s="89">
        <f>SUM(F5:F8,F10:F12,F14:F20)</f>
        <v>1229.7840499881536</v>
      </c>
      <c r="G22" s="90">
        <f>SUM(G5:G8,G10:G12,G14:G20)</f>
        <v>1229.7840499881536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258</v>
      </c>
      <c r="B28" s="8">
        <v>1073.7840499881536</v>
      </c>
      <c r="C28" s="8">
        <v>1027.7458022963965</v>
      </c>
      <c r="D28" s="8">
        <v>981.70755460463931</v>
      </c>
      <c r="E28" s="8">
        <v>936.38790476413044</v>
      </c>
      <c r="F28" s="8">
        <v>890.99688125358807</v>
      </c>
      <c r="G28" s="8">
        <v>845.53458811402959</v>
      </c>
      <c r="H28" s="8">
        <v>800.00112898487714</v>
      </c>
      <c r="I28" s="8">
        <v>754.39660710636997</v>
      </c>
      <c r="J28" s="8">
        <v>747.67428745081747</v>
      </c>
      <c r="K28" s="8">
        <v>740.95196779526509</v>
      </c>
      <c r="L28" s="8">
        <v>734.22964813971271</v>
      </c>
      <c r="M28" s="8">
        <v>727.50732848416033</v>
      </c>
      <c r="N28" s="8">
        <v>720.78500882860794</v>
      </c>
      <c r="O28" s="8">
        <v>714.06268917305556</v>
      </c>
      <c r="P28" s="8">
        <v>707.34036951750318</v>
      </c>
      <c r="Q28" s="8">
        <v>700.61804986195079</v>
      </c>
      <c r="R28" s="8">
        <v>693.8957302063983</v>
      </c>
      <c r="S28" s="8">
        <v>687.17341055084592</v>
      </c>
      <c r="T28" s="8">
        <v>680.45109089529353</v>
      </c>
      <c r="U28" s="8">
        <v>673.72877123974115</v>
      </c>
      <c r="V28" s="8">
        <v>667.00645158418877</v>
      </c>
      <c r="W28" s="8">
        <v>660.28413192863638</v>
      </c>
      <c r="X28" s="8">
        <v>653.561812273084</v>
      </c>
      <c r="Y28" s="8">
        <v>646.83949261753162</v>
      </c>
      <c r="Z28" s="8">
        <v>640.11717296197912</v>
      </c>
      <c r="AA28" s="8">
        <v>633.39485330642674</v>
      </c>
      <c r="AB28" s="8">
        <v>626.67253365087436</v>
      </c>
      <c r="AC28" s="8">
        <v>619.95021399532209</v>
      </c>
    </row>
    <row r="29" spans="1:29">
      <c r="A29" t="s">
        <v>223</v>
      </c>
      <c r="B29" s="15" t="s">
        <v>71</v>
      </c>
      <c r="C29" s="14">
        <f>1-(C28/B28)</f>
        <v>4.2874773277052247E-2</v>
      </c>
      <c r="D29" s="14">
        <f t="shared" ref="D29:AC29" si="5">1-(D28/C28)</f>
        <v>4.4795364368201973E-2</v>
      </c>
      <c r="E29" s="14">
        <f t="shared" si="5"/>
        <v>4.6164104195735134E-2</v>
      </c>
      <c r="F29" s="14">
        <f t="shared" si="5"/>
        <v>4.8474594000630589E-2</v>
      </c>
      <c r="G29" s="14">
        <f t="shared" si="5"/>
        <v>5.1024076622575021E-2</v>
      </c>
      <c r="H29" s="14">
        <f t="shared" si="5"/>
        <v>5.3851681254950323E-2</v>
      </c>
      <c r="I29" s="14">
        <f t="shared" si="5"/>
        <v>5.7005571900098251E-2</v>
      </c>
      <c r="J29" s="14">
        <f t="shared" si="5"/>
        <v>8.9108561626982663E-3</v>
      </c>
      <c r="K29" s="14">
        <f t="shared" si="5"/>
        <v>8.9909734337287883E-3</v>
      </c>
      <c r="L29" s="14">
        <f t="shared" si="5"/>
        <v>9.0725444397630195E-3</v>
      </c>
      <c r="M29" s="14">
        <f t="shared" si="5"/>
        <v>9.1556091102892312E-3</v>
      </c>
      <c r="N29" s="14">
        <f t="shared" si="5"/>
        <v>9.240208850622933E-3</v>
      </c>
      <c r="O29" s="14">
        <f t="shared" si="5"/>
        <v>9.3263866107277105E-3</v>
      </c>
      <c r="P29" s="14">
        <f t="shared" si="5"/>
        <v>9.4141869579229542E-3</v>
      </c>
      <c r="Q29" s="14">
        <f t="shared" si="5"/>
        <v>9.5036561537380493E-3</v>
      </c>
      <c r="R29" s="14">
        <f t="shared" si="5"/>
        <v>9.5948422351908036E-3</v>
      </c>
      <c r="S29" s="14">
        <f t="shared" si="5"/>
        <v>9.6877951007896534E-3</v>
      </c>
      <c r="T29" s="14">
        <f t="shared" si="5"/>
        <v>9.7825666015856072E-3</v>
      </c>
      <c r="U29" s="14">
        <f t="shared" si="5"/>
        <v>9.8792106376192068E-3</v>
      </c>
      <c r="V29" s="14">
        <f t="shared" si="5"/>
        <v>9.9777832601426475E-3</v>
      </c>
      <c r="W29" s="14">
        <f t="shared" si="5"/>
        <v>1.0078342780023175E-2</v>
      </c>
      <c r="X29" s="14">
        <f t="shared" si="5"/>
        <v>1.0180949882767965E-2</v>
      </c>
      <c r="Y29" s="14">
        <f t="shared" si="5"/>
        <v>1.0285667750648098E-2</v>
      </c>
      <c r="Z29" s="14">
        <f t="shared" si="5"/>
        <v>1.0392562192437671E-2</v>
      </c>
      <c r="AA29" s="14">
        <f t="shared" si="5"/>
        <v>1.0501701781326367E-2</v>
      </c>
      <c r="AB29" s="14">
        <f t="shared" si="5"/>
        <v>1.061315800161744E-2</v>
      </c>
      <c r="AC29" s="14">
        <f t="shared" si="5"/>
        <v>1.0727005404863266E-2</v>
      </c>
    </row>
    <row r="30" spans="1:29">
      <c r="A30" t="s">
        <v>224</v>
      </c>
      <c r="B30" s="8">
        <f>G22</f>
        <v>1229.7840499881536</v>
      </c>
      <c r="C30" s="8">
        <f>B30*(1-C29)</f>
        <v>1177.0573376651764</v>
      </c>
      <c r="D30" s="8">
        <f t="shared" ref="D30:AC30" si="6">C30*(1-D29)</f>
        <v>1124.330625342199</v>
      </c>
      <c r="E30" s="8">
        <f t="shared" si="6"/>
        <v>1072.4269092034458</v>
      </c>
      <c r="F30" s="8">
        <f t="shared" si="6"/>
        <v>1020.4414501844576</v>
      </c>
      <c r="G30" s="8">
        <f t="shared" si="6"/>
        <v>968.37436744139427</v>
      </c>
      <c r="H30" s="8">
        <f t="shared" si="6"/>
        <v>916.22577967047619</v>
      </c>
      <c r="I30" s="8">
        <f t="shared" si="6"/>
        <v>863.99580511074726</v>
      </c>
      <c r="J30" s="8">
        <f t="shared" si="6"/>
        <v>856.29686276623067</v>
      </c>
      <c r="K30" s="8">
        <f t="shared" si="6"/>
        <v>848.59792042171421</v>
      </c>
      <c r="L30" s="8">
        <f t="shared" si="6"/>
        <v>840.89897807719774</v>
      </c>
      <c r="M30" s="8">
        <f t="shared" si="6"/>
        <v>833.20003573268127</v>
      </c>
      <c r="N30" s="8">
        <f t="shared" si="6"/>
        <v>825.5010933881648</v>
      </c>
      <c r="O30" s="8">
        <f t="shared" si="6"/>
        <v>817.80215104364834</v>
      </c>
      <c r="P30" s="8">
        <f t="shared" si="6"/>
        <v>810.10320869913187</v>
      </c>
      <c r="Q30" s="8">
        <f t="shared" si="6"/>
        <v>802.4042663546154</v>
      </c>
      <c r="R30" s="8">
        <f t="shared" si="6"/>
        <v>794.70532401009882</v>
      </c>
      <c r="S30" s="8">
        <f t="shared" si="6"/>
        <v>787.00638166558235</v>
      </c>
      <c r="T30" s="8">
        <f t="shared" si="6"/>
        <v>779.30743932106589</v>
      </c>
      <c r="U30" s="8">
        <f t="shared" si="6"/>
        <v>771.60849697654942</v>
      </c>
      <c r="V30" s="8">
        <f t="shared" si="6"/>
        <v>763.90955463203295</v>
      </c>
      <c r="W30" s="8">
        <f t="shared" si="6"/>
        <v>756.21061228751648</v>
      </c>
      <c r="X30" s="8">
        <f t="shared" si="6"/>
        <v>748.51166994300002</v>
      </c>
      <c r="Y30" s="8">
        <f t="shared" si="6"/>
        <v>740.81272759848355</v>
      </c>
      <c r="Z30" s="8">
        <f t="shared" si="6"/>
        <v>733.11378525396697</v>
      </c>
      <c r="AA30" s="8">
        <f t="shared" si="6"/>
        <v>725.4148429094505</v>
      </c>
      <c r="AB30" s="8">
        <f t="shared" si="6"/>
        <v>717.71590056493403</v>
      </c>
      <c r="AC30" s="8">
        <f t="shared" si="6"/>
        <v>710.01695822041768</v>
      </c>
    </row>
  </sheetData>
  <mergeCells count="3">
    <mergeCell ref="A24:B25"/>
    <mergeCell ref="A1:C1"/>
    <mergeCell ref="E1:F1"/>
  </mergeCell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30"/>
  <sheetViews>
    <sheetView workbookViewId="0">
      <selection activeCell="D18" sqref="D18"/>
    </sheetView>
  </sheetViews>
  <sheetFormatPr defaultRowHeight="15"/>
  <cols>
    <col min="1" max="1" width="25.5703125"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12" width="9.5703125" bestFit="1" customWidth="1"/>
    <col min="13" max="15" width="12.28515625" customWidth="1"/>
    <col min="16" max="33" width="9.5703125" bestFit="1" customWidth="1"/>
  </cols>
  <sheetData>
    <row r="1" spans="1:11">
      <c r="A1" s="228" t="s">
        <v>192</v>
      </c>
      <c r="B1" s="229"/>
      <c r="C1" s="229"/>
      <c r="E1" s="229" t="s">
        <v>193</v>
      </c>
      <c r="F1" s="229"/>
    </row>
    <row r="2" spans="1:11" ht="75">
      <c r="A2" s="1"/>
      <c r="B2" s="4" t="s">
        <v>194</v>
      </c>
      <c r="C2" s="6" t="s">
        <v>195</v>
      </c>
      <c r="D2" s="44" t="s">
        <v>196</v>
      </c>
      <c r="E2" s="46" t="s">
        <v>197</v>
      </c>
      <c r="F2" s="44" t="s">
        <v>198</v>
      </c>
      <c r="G2" s="17" t="s">
        <v>199</v>
      </c>
    </row>
    <row r="3" spans="1:11">
      <c r="A3" t="s">
        <v>200</v>
      </c>
      <c r="B3">
        <v>134</v>
      </c>
      <c r="C3" t="s">
        <v>202</v>
      </c>
      <c r="D3" s="45" t="s">
        <v>124</v>
      </c>
      <c r="E3" s="47" t="s">
        <v>238</v>
      </c>
      <c r="F3" s="45" t="s">
        <v>124</v>
      </c>
      <c r="G3" s="43" t="s">
        <v>124</v>
      </c>
    </row>
    <row r="4" spans="1:11">
      <c r="A4" s="3" t="s">
        <v>239</v>
      </c>
      <c r="B4" s="5" t="s">
        <v>240</v>
      </c>
      <c r="C4" s="5"/>
      <c r="D4" s="74"/>
      <c r="E4" s="61"/>
      <c r="F4" s="74"/>
      <c r="G4" s="5"/>
    </row>
    <row r="5" spans="1:11">
      <c r="A5" s="1" t="s">
        <v>241</v>
      </c>
      <c r="B5" s="87">
        <v>41000000</v>
      </c>
      <c r="C5" s="62">
        <f t="shared" ref="C5:C13" si="0">B5/$B$22</f>
        <v>0.40594059405940597</v>
      </c>
      <c r="D5" s="84">
        <f>$B$28*C5</f>
        <v>435.89253514370591</v>
      </c>
      <c r="E5" s="96">
        <v>0</v>
      </c>
      <c r="F5" s="84">
        <f t="shared" ref="F5:F12" si="1">D5+E5</f>
        <v>435.89253514370591</v>
      </c>
      <c r="G5" s="86">
        <f>F5</f>
        <v>435.89253514370591</v>
      </c>
      <c r="K5" s="4"/>
    </row>
    <row r="6" spans="1:11">
      <c r="A6" s="1" t="s">
        <v>242</v>
      </c>
      <c r="B6" s="87">
        <v>5000000</v>
      </c>
      <c r="C6" s="62">
        <f t="shared" si="0"/>
        <v>4.9504950495049507E-2</v>
      </c>
      <c r="D6" s="84">
        <f t="shared" ref="D6:D22" si="2">$B$28*C6</f>
        <v>53.157626237037306</v>
      </c>
      <c r="E6" s="96">
        <v>0</v>
      </c>
      <c r="F6" s="84">
        <f t="shared" si="1"/>
        <v>53.157626237037306</v>
      </c>
      <c r="G6" s="86">
        <f t="shared" ref="G6:G12" si="3">F6</f>
        <v>53.157626237037306</v>
      </c>
    </row>
    <row r="7" spans="1:11">
      <c r="A7" s="1" t="s">
        <v>243</v>
      </c>
      <c r="B7" s="87">
        <v>12000000</v>
      </c>
      <c r="C7" s="62">
        <f t="shared" si="0"/>
        <v>0.11881188118811881</v>
      </c>
      <c r="D7" s="84">
        <f t="shared" si="2"/>
        <v>127.57830296888953</v>
      </c>
      <c r="E7" s="96">
        <v>0</v>
      </c>
      <c r="F7" s="84">
        <f t="shared" si="1"/>
        <v>127.57830296888953</v>
      </c>
      <c r="G7" s="86">
        <f t="shared" si="3"/>
        <v>127.57830296888953</v>
      </c>
    </row>
    <row r="8" spans="1:11">
      <c r="A8" s="1" t="s">
        <v>244</v>
      </c>
      <c r="B8" s="87">
        <v>7000000</v>
      </c>
      <c r="C8" s="62">
        <f t="shared" si="0"/>
        <v>6.9306930693069313E-2</v>
      </c>
      <c r="D8" s="84">
        <f t="shared" si="2"/>
        <v>74.42067673185224</v>
      </c>
      <c r="E8" s="96">
        <v>0</v>
      </c>
      <c r="F8" s="84">
        <f t="shared" si="1"/>
        <v>74.42067673185224</v>
      </c>
      <c r="G8" s="86">
        <f t="shared" si="3"/>
        <v>74.42067673185224</v>
      </c>
    </row>
    <row r="9" spans="1:11">
      <c r="A9" s="1" t="s">
        <v>245</v>
      </c>
      <c r="B9" s="30">
        <f>B7+B8</f>
        <v>19000000</v>
      </c>
      <c r="C9" s="62">
        <f t="shared" si="0"/>
        <v>0.18811881188118812</v>
      </c>
      <c r="D9" s="84">
        <f t="shared" si="2"/>
        <v>201.99897970074176</v>
      </c>
      <c r="E9" s="96">
        <v>0</v>
      </c>
      <c r="F9" s="84">
        <f t="shared" si="1"/>
        <v>201.99897970074176</v>
      </c>
      <c r="G9" s="86">
        <f t="shared" si="3"/>
        <v>201.99897970074176</v>
      </c>
    </row>
    <row r="10" spans="1:11">
      <c r="A10" s="1" t="s">
        <v>246</v>
      </c>
      <c r="B10" s="30">
        <v>11000000</v>
      </c>
      <c r="C10" s="62">
        <f t="shared" si="0"/>
        <v>0.10891089108910891</v>
      </c>
      <c r="D10" s="84">
        <f t="shared" si="2"/>
        <v>116.94677772148208</v>
      </c>
      <c r="E10" s="96">
        <v>0</v>
      </c>
      <c r="F10" s="84">
        <f t="shared" si="1"/>
        <v>116.94677772148208</v>
      </c>
      <c r="G10" s="86">
        <f t="shared" si="3"/>
        <v>116.94677772148208</v>
      </c>
    </row>
    <row r="11" spans="1:11">
      <c r="A11" s="1" t="s">
        <v>247</v>
      </c>
      <c r="B11" s="30">
        <v>6000000</v>
      </c>
      <c r="C11" s="62">
        <f t="shared" si="0"/>
        <v>5.9405940594059403E-2</v>
      </c>
      <c r="D11" s="84">
        <f t="shared" si="2"/>
        <v>63.789151484444766</v>
      </c>
      <c r="E11" s="96">
        <v>0</v>
      </c>
      <c r="F11" s="84">
        <f t="shared" si="1"/>
        <v>63.789151484444766</v>
      </c>
      <c r="G11" s="86">
        <f t="shared" si="3"/>
        <v>63.789151484444766</v>
      </c>
    </row>
    <row r="12" spans="1:11">
      <c r="A12" s="1" t="s">
        <v>248</v>
      </c>
      <c r="B12" s="30">
        <v>4000000</v>
      </c>
      <c r="C12" s="62">
        <f t="shared" si="0"/>
        <v>3.9603960396039604E-2</v>
      </c>
      <c r="D12" s="84">
        <f t="shared" si="2"/>
        <v>42.526100989629846</v>
      </c>
      <c r="E12" s="96">
        <v>0</v>
      </c>
      <c r="F12" s="84">
        <f t="shared" si="1"/>
        <v>42.526100989629846</v>
      </c>
      <c r="G12" s="86">
        <f t="shared" si="3"/>
        <v>42.526100989629846</v>
      </c>
    </row>
    <row r="13" spans="1:11">
      <c r="A13" s="1" t="s">
        <v>249</v>
      </c>
      <c r="B13" s="30">
        <f>SUM(B5:B8,B10:B12)</f>
        <v>86000000</v>
      </c>
      <c r="C13" s="62">
        <f t="shared" si="0"/>
        <v>0.85148514851485146</v>
      </c>
      <c r="D13" s="84">
        <f t="shared" si="2"/>
        <v>914.31117127704169</v>
      </c>
      <c r="E13" s="96">
        <v>0</v>
      </c>
      <c r="F13" s="84">
        <f>SUM(F5:F8,F10:F12)</f>
        <v>914.31117127704169</v>
      </c>
      <c r="G13" s="86">
        <f>SUM(G5:G8,G10:G12)</f>
        <v>914.31117127704169</v>
      </c>
    </row>
    <row r="14" spans="1:11">
      <c r="A14" s="1" t="s">
        <v>250</v>
      </c>
      <c r="B14" s="30"/>
      <c r="C14" s="62"/>
      <c r="D14" s="84"/>
      <c r="E14" s="96"/>
      <c r="F14" s="84"/>
      <c r="G14" s="86"/>
    </row>
    <row r="15" spans="1:11">
      <c r="A15" s="1" t="s">
        <v>251</v>
      </c>
      <c r="B15" s="30"/>
      <c r="C15" s="62"/>
      <c r="D15" s="84"/>
      <c r="E15" s="96"/>
      <c r="F15" s="84"/>
      <c r="G15" s="86"/>
    </row>
    <row r="16" spans="1:11">
      <c r="A16" s="1" t="s">
        <v>252</v>
      </c>
      <c r="B16" s="30">
        <v>3000000</v>
      </c>
      <c r="C16" s="62">
        <f t="shared" ref="C16:C22" si="4">B16/$B$22</f>
        <v>2.9702970297029702E-2</v>
      </c>
      <c r="D16" s="84">
        <f t="shared" si="2"/>
        <v>31.894575742222383</v>
      </c>
      <c r="E16" s="96">
        <v>0</v>
      </c>
      <c r="F16" s="84">
        <f>D16+E16</f>
        <v>31.894575742222383</v>
      </c>
      <c r="G16" s="86">
        <f>F16</f>
        <v>31.894575742222383</v>
      </c>
    </row>
    <row r="17" spans="1:29">
      <c r="A17" s="1" t="s">
        <v>253</v>
      </c>
      <c r="B17" s="30">
        <v>2000000</v>
      </c>
      <c r="C17" s="62">
        <f t="shared" si="4"/>
        <v>1.9801980198019802E-2</v>
      </c>
      <c r="D17" s="84">
        <f t="shared" si="2"/>
        <v>21.263050494814923</v>
      </c>
      <c r="E17" s="94">
        <f>'Spur Line Assumptions'!H12</f>
        <v>463.125</v>
      </c>
      <c r="F17" s="84">
        <f>D17+E17</f>
        <v>484.38805049481493</v>
      </c>
      <c r="G17" s="86">
        <f>F17</f>
        <v>484.38805049481493</v>
      </c>
    </row>
    <row r="18" spans="1:29">
      <c r="A18" s="1" t="s">
        <v>254</v>
      </c>
      <c r="B18" s="30">
        <v>2000000</v>
      </c>
      <c r="C18" s="62">
        <f t="shared" si="4"/>
        <v>1.9801980198019802E-2</v>
      </c>
      <c r="D18" s="84">
        <f t="shared" si="2"/>
        <v>21.263050494814923</v>
      </c>
      <c r="E18" s="96">
        <v>0</v>
      </c>
      <c r="F18" s="84">
        <f>D18+E18</f>
        <v>21.263050494814923</v>
      </c>
      <c r="G18" s="86">
        <f>F18</f>
        <v>21.263050494814923</v>
      </c>
    </row>
    <row r="19" spans="1:29">
      <c r="A19" s="1" t="s">
        <v>255</v>
      </c>
      <c r="B19" s="30">
        <v>3000000</v>
      </c>
      <c r="C19" s="62">
        <f t="shared" si="4"/>
        <v>2.9702970297029702E-2</v>
      </c>
      <c r="D19" s="84">
        <f t="shared" si="2"/>
        <v>31.894575742222383</v>
      </c>
      <c r="E19" s="96">
        <v>0</v>
      </c>
      <c r="F19" s="84">
        <f>D19+E19</f>
        <v>31.894575742222383</v>
      </c>
      <c r="G19" s="86">
        <f>F19</f>
        <v>31.894575742222383</v>
      </c>
    </row>
    <row r="20" spans="1:29">
      <c r="A20" s="1" t="s">
        <v>256</v>
      </c>
      <c r="B20" s="30">
        <v>5000000</v>
      </c>
      <c r="C20" s="48">
        <f t="shared" si="4"/>
        <v>4.9504950495049507E-2</v>
      </c>
      <c r="D20" s="83">
        <f t="shared" si="2"/>
        <v>53.157626237037306</v>
      </c>
      <c r="E20" s="97">
        <v>0</v>
      </c>
      <c r="F20" s="83">
        <f>D20+E20</f>
        <v>53.157626237037306</v>
      </c>
      <c r="G20" s="85">
        <f>F20</f>
        <v>53.157626237037306</v>
      </c>
    </row>
    <row r="21" spans="1:29">
      <c r="A21" s="21" t="s">
        <v>257</v>
      </c>
      <c r="B21" s="91">
        <f>SUM(B15:B20)</f>
        <v>15000000</v>
      </c>
      <c r="C21" s="67">
        <f t="shared" si="4"/>
        <v>0.14851485148514851</v>
      </c>
      <c r="D21" s="89">
        <f t="shared" si="2"/>
        <v>159.47287871111192</v>
      </c>
      <c r="E21" s="98">
        <v>0</v>
      </c>
      <c r="F21" s="89">
        <f>SUM(F15:F20)</f>
        <v>622.597878711112</v>
      </c>
      <c r="G21" s="90">
        <f>SUM(G15:G20)</f>
        <v>622.597878711112</v>
      </c>
    </row>
    <row r="22" spans="1:29">
      <c r="A22" s="3" t="s">
        <v>233</v>
      </c>
      <c r="B22" s="33">
        <f>SUM(B5:B8,B10:B12,B14:B20)</f>
        <v>101000000</v>
      </c>
      <c r="C22" s="67">
        <f t="shared" si="4"/>
        <v>1</v>
      </c>
      <c r="D22" s="89">
        <f t="shared" si="2"/>
        <v>1073.7840499881536</v>
      </c>
      <c r="E22" s="98">
        <v>0</v>
      </c>
      <c r="F22" s="89">
        <f>SUM(F5:F8,F10:F12,F14:F20)</f>
        <v>1536.9090499881536</v>
      </c>
      <c r="G22" s="90">
        <f>SUM(G5:G8,G10:G12,G14:G20)</f>
        <v>1536.9090499881536</v>
      </c>
    </row>
    <row r="24" spans="1:29" ht="14.45" customHeight="1">
      <c r="A24" s="227" t="s">
        <v>221</v>
      </c>
      <c r="B24" s="22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row>
    <row r="25" spans="1:29" ht="14.45" customHeight="1">
      <c r="A25" s="227"/>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7" spans="1:29">
      <c r="A27" t="s">
        <v>95</v>
      </c>
      <c r="B27">
        <v>2023</v>
      </c>
      <c r="C27">
        <v>2024</v>
      </c>
      <c r="D27">
        <v>2025</v>
      </c>
      <c r="E27">
        <v>2026</v>
      </c>
      <c r="F27">
        <v>2027</v>
      </c>
      <c r="G27">
        <v>2028</v>
      </c>
      <c r="H27">
        <v>2029</v>
      </c>
      <c r="I27">
        <v>2030</v>
      </c>
      <c r="J27">
        <v>2031</v>
      </c>
      <c r="K27">
        <v>2032</v>
      </c>
      <c r="L27">
        <v>2033</v>
      </c>
      <c r="M27">
        <v>2034</v>
      </c>
      <c r="N27">
        <v>2035</v>
      </c>
      <c r="O27">
        <v>2036</v>
      </c>
      <c r="P27">
        <v>2037</v>
      </c>
      <c r="Q27">
        <v>2038</v>
      </c>
      <c r="R27">
        <v>2039</v>
      </c>
      <c r="S27">
        <v>2040</v>
      </c>
      <c r="T27">
        <v>2041</v>
      </c>
      <c r="U27">
        <v>2042</v>
      </c>
      <c r="V27">
        <v>2043</v>
      </c>
      <c r="W27">
        <v>2044</v>
      </c>
      <c r="X27">
        <v>2045</v>
      </c>
      <c r="Y27">
        <v>2046</v>
      </c>
      <c r="Z27">
        <v>2047</v>
      </c>
      <c r="AA27">
        <v>2048</v>
      </c>
      <c r="AB27">
        <v>2049</v>
      </c>
      <c r="AC27">
        <v>2050</v>
      </c>
    </row>
    <row r="28" spans="1:29">
      <c r="A28" t="s">
        <v>258</v>
      </c>
      <c r="B28" s="8">
        <v>1073.7840499881536</v>
      </c>
      <c r="C28" s="8">
        <v>1027.7458022963965</v>
      </c>
      <c r="D28" s="8">
        <v>981.70755460463931</v>
      </c>
      <c r="E28" s="8">
        <v>936.38790476413044</v>
      </c>
      <c r="F28" s="8">
        <v>890.99688125358807</v>
      </c>
      <c r="G28" s="8">
        <v>845.53458811402959</v>
      </c>
      <c r="H28" s="8">
        <v>800.00112898487714</v>
      </c>
      <c r="I28" s="8">
        <v>754.39660710636997</v>
      </c>
      <c r="J28" s="8">
        <v>747.67428745081747</v>
      </c>
      <c r="K28" s="8">
        <v>740.95196779526509</v>
      </c>
      <c r="L28" s="8">
        <v>734.22964813971271</v>
      </c>
      <c r="M28" s="8">
        <v>727.50732848416033</v>
      </c>
      <c r="N28" s="8">
        <v>720.78500882860794</v>
      </c>
      <c r="O28" s="8">
        <v>714.06268917305556</v>
      </c>
      <c r="P28" s="8">
        <v>707.34036951750318</v>
      </c>
      <c r="Q28" s="8">
        <v>700.61804986195079</v>
      </c>
      <c r="R28" s="8">
        <v>693.8957302063983</v>
      </c>
      <c r="S28" s="8">
        <v>687.17341055084592</v>
      </c>
      <c r="T28" s="8">
        <v>680.45109089529353</v>
      </c>
      <c r="U28" s="8">
        <v>673.72877123974115</v>
      </c>
      <c r="V28" s="8">
        <v>667.00645158418877</v>
      </c>
      <c r="W28" s="8">
        <v>660.28413192863638</v>
      </c>
      <c r="X28" s="8">
        <v>653.561812273084</v>
      </c>
      <c r="Y28" s="8">
        <v>646.83949261753162</v>
      </c>
      <c r="Z28" s="8">
        <v>640.11717296197912</v>
      </c>
      <c r="AA28" s="8">
        <v>633.39485330642674</v>
      </c>
      <c r="AB28" s="8">
        <v>626.67253365087436</v>
      </c>
      <c r="AC28" s="8">
        <v>619.95021399532209</v>
      </c>
    </row>
    <row r="29" spans="1:29">
      <c r="A29" t="s">
        <v>223</v>
      </c>
      <c r="B29" s="15" t="s">
        <v>71</v>
      </c>
      <c r="C29" s="14">
        <f>1-(C28/B28)</f>
        <v>4.2874773277052247E-2</v>
      </c>
      <c r="D29" s="14">
        <f t="shared" ref="D29:AC29" si="5">1-(D28/C28)</f>
        <v>4.4795364368201973E-2</v>
      </c>
      <c r="E29" s="14">
        <f t="shared" si="5"/>
        <v>4.6164104195735134E-2</v>
      </c>
      <c r="F29" s="14">
        <f t="shared" si="5"/>
        <v>4.8474594000630589E-2</v>
      </c>
      <c r="G29" s="14">
        <f t="shared" si="5"/>
        <v>5.1024076622575021E-2</v>
      </c>
      <c r="H29" s="14">
        <f t="shared" si="5"/>
        <v>5.3851681254950323E-2</v>
      </c>
      <c r="I29" s="14">
        <f t="shared" si="5"/>
        <v>5.7005571900098251E-2</v>
      </c>
      <c r="J29" s="14">
        <f t="shared" si="5"/>
        <v>8.9108561626982663E-3</v>
      </c>
      <c r="K29" s="14">
        <f t="shared" si="5"/>
        <v>8.9909734337287883E-3</v>
      </c>
      <c r="L29" s="14">
        <f t="shared" si="5"/>
        <v>9.0725444397630195E-3</v>
      </c>
      <c r="M29" s="14">
        <f t="shared" si="5"/>
        <v>9.1556091102892312E-3</v>
      </c>
      <c r="N29" s="14">
        <f t="shared" si="5"/>
        <v>9.240208850622933E-3</v>
      </c>
      <c r="O29" s="14">
        <f t="shared" si="5"/>
        <v>9.3263866107277105E-3</v>
      </c>
      <c r="P29" s="14">
        <f t="shared" si="5"/>
        <v>9.4141869579229542E-3</v>
      </c>
      <c r="Q29" s="14">
        <f t="shared" si="5"/>
        <v>9.5036561537380493E-3</v>
      </c>
      <c r="R29" s="14">
        <f t="shared" si="5"/>
        <v>9.5948422351908036E-3</v>
      </c>
      <c r="S29" s="14">
        <f t="shared" si="5"/>
        <v>9.6877951007896534E-3</v>
      </c>
      <c r="T29" s="14">
        <f t="shared" si="5"/>
        <v>9.7825666015856072E-3</v>
      </c>
      <c r="U29" s="14">
        <f t="shared" si="5"/>
        <v>9.8792106376192068E-3</v>
      </c>
      <c r="V29" s="14">
        <f t="shared" si="5"/>
        <v>9.9777832601426475E-3</v>
      </c>
      <c r="W29" s="14">
        <f t="shared" si="5"/>
        <v>1.0078342780023175E-2</v>
      </c>
      <c r="X29" s="14">
        <f t="shared" si="5"/>
        <v>1.0180949882767965E-2</v>
      </c>
      <c r="Y29" s="14">
        <f t="shared" si="5"/>
        <v>1.0285667750648098E-2</v>
      </c>
      <c r="Z29" s="14">
        <f t="shared" si="5"/>
        <v>1.0392562192437671E-2</v>
      </c>
      <c r="AA29" s="14">
        <f t="shared" si="5"/>
        <v>1.0501701781326367E-2</v>
      </c>
      <c r="AB29" s="14">
        <f t="shared" si="5"/>
        <v>1.061315800161744E-2</v>
      </c>
      <c r="AC29" s="14">
        <f t="shared" si="5"/>
        <v>1.0727005404863266E-2</v>
      </c>
    </row>
    <row r="30" spans="1:29">
      <c r="A30" t="s">
        <v>224</v>
      </c>
      <c r="B30" s="8">
        <f>G22</f>
        <v>1536.9090499881536</v>
      </c>
      <c r="C30" s="8">
        <f>B30*(1-C29)</f>
        <v>1471.0144229224618</v>
      </c>
      <c r="D30" s="8">
        <f t="shared" ref="D30:AC30" si="6">C30*(1-D29)</f>
        <v>1405.1197958567698</v>
      </c>
      <c r="E30" s="8">
        <f t="shared" si="6"/>
        <v>1340.2536991933478</v>
      </c>
      <c r="F30" s="8">
        <f t="shared" si="6"/>
        <v>1275.285445267107</v>
      </c>
      <c r="G30" s="8">
        <f t="shared" si="6"/>
        <v>1210.2151829921434</v>
      </c>
      <c r="H30" s="8">
        <f t="shared" si="6"/>
        <v>1145.043060707749</v>
      </c>
      <c r="I30" s="8">
        <f t="shared" si="6"/>
        <v>1079.7692261818647</v>
      </c>
      <c r="J30" s="8">
        <f t="shared" si="6"/>
        <v>1070.14755791845</v>
      </c>
      <c r="K30" s="8">
        <f t="shared" si="6"/>
        <v>1060.5258896550356</v>
      </c>
      <c r="L30" s="8">
        <f t="shared" si="6"/>
        <v>1050.9042213916211</v>
      </c>
      <c r="M30" s="8">
        <f t="shared" si="6"/>
        <v>1041.2825531282067</v>
      </c>
      <c r="N30" s="8">
        <f t="shared" si="6"/>
        <v>1031.6608848647923</v>
      </c>
      <c r="O30" s="8">
        <f t="shared" si="6"/>
        <v>1022.0392166013778</v>
      </c>
      <c r="P30" s="8">
        <f t="shared" si="6"/>
        <v>1012.4175483379634</v>
      </c>
      <c r="Q30" s="8">
        <f t="shared" si="6"/>
        <v>1002.7958800745489</v>
      </c>
      <c r="R30" s="8">
        <f t="shared" si="6"/>
        <v>993.17421181113434</v>
      </c>
      <c r="S30" s="8">
        <f t="shared" si="6"/>
        <v>983.55254354771978</v>
      </c>
      <c r="T30" s="8">
        <f t="shared" si="6"/>
        <v>973.93087528430533</v>
      </c>
      <c r="U30" s="8">
        <f t="shared" si="6"/>
        <v>964.30920702089088</v>
      </c>
      <c r="V30" s="8">
        <f t="shared" si="6"/>
        <v>954.68753875747643</v>
      </c>
      <c r="W30" s="8">
        <f t="shared" si="6"/>
        <v>945.06587049406187</v>
      </c>
      <c r="X30" s="8">
        <f t="shared" si="6"/>
        <v>935.44420223064731</v>
      </c>
      <c r="Y30" s="8">
        <f t="shared" si="6"/>
        <v>925.82253396723274</v>
      </c>
      <c r="Z30" s="8">
        <f t="shared" si="6"/>
        <v>916.20086570381807</v>
      </c>
      <c r="AA30" s="8">
        <f t="shared" si="6"/>
        <v>906.5791974404035</v>
      </c>
      <c r="AB30" s="8">
        <f t="shared" si="6"/>
        <v>896.95752917698894</v>
      </c>
      <c r="AC30" s="8">
        <f t="shared" si="6"/>
        <v>887.33586091357461</v>
      </c>
    </row>
  </sheetData>
  <mergeCells count="3">
    <mergeCell ref="A1:C1"/>
    <mergeCell ref="E1:F1"/>
    <mergeCell ref="A24:B25"/>
  </mergeCells>
  <pageMargins left="0.7" right="0.7" top="0.75" bottom="0.75" header="0.3" footer="0.3"/>
  <pageSetup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25"/>
  <sheetViews>
    <sheetView workbookViewId="0">
      <selection sqref="A1:C1"/>
    </sheetView>
  </sheetViews>
  <sheetFormatPr defaultRowHeight="15"/>
  <cols>
    <col min="1" max="1" width="21.7109375" bestFit="1" customWidth="1"/>
    <col min="2" max="2" width="13.7109375" bestFit="1"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9">
      <c r="A1" s="228" t="s">
        <v>192</v>
      </c>
      <c r="B1" s="229"/>
      <c r="C1" s="229"/>
      <c r="E1" s="229"/>
      <c r="F1" s="229"/>
    </row>
    <row r="2" spans="1:9" ht="71.45" customHeight="1">
      <c r="A2" s="1"/>
      <c r="B2" s="4" t="s">
        <v>194</v>
      </c>
      <c r="C2" s="6" t="s">
        <v>195</v>
      </c>
      <c r="D2" s="44" t="s">
        <v>196</v>
      </c>
      <c r="E2" s="17" t="s">
        <v>199</v>
      </c>
    </row>
    <row r="3" spans="1:9">
      <c r="A3" t="s">
        <v>200</v>
      </c>
      <c r="B3">
        <v>134</v>
      </c>
      <c r="C3" t="s">
        <v>202</v>
      </c>
      <c r="D3" s="45" t="s">
        <v>124</v>
      </c>
      <c r="E3" s="43" t="s">
        <v>124</v>
      </c>
    </row>
    <row r="4" spans="1:9">
      <c r="A4" s="3" t="s">
        <v>239</v>
      </c>
      <c r="B4" s="5" t="s">
        <v>240</v>
      </c>
      <c r="C4" s="5"/>
      <c r="D4" s="74"/>
      <c r="E4" s="5"/>
    </row>
    <row r="5" spans="1:9">
      <c r="A5" s="1" t="s">
        <v>259</v>
      </c>
      <c r="B5" s="87">
        <v>2844</v>
      </c>
      <c r="C5" s="62">
        <f>B5/$B$17</f>
        <v>0.16660808435852373</v>
      </c>
      <c r="D5" s="84">
        <f t="shared" ref="D5:D13" si="0">$B$23*C5</f>
        <v>381.03004606895109</v>
      </c>
      <c r="E5" s="86">
        <f>D5</f>
        <v>381.03004606895109</v>
      </c>
      <c r="I5" s="4"/>
    </row>
    <row r="6" spans="1:9">
      <c r="A6" s="1" t="s">
        <v>260</v>
      </c>
      <c r="B6" s="87">
        <v>0</v>
      </c>
      <c r="C6" s="62">
        <f t="shared" ref="C6:C17" si="1">B6/$B$17</f>
        <v>0</v>
      </c>
      <c r="D6" s="84">
        <f t="shared" si="0"/>
        <v>0</v>
      </c>
      <c r="E6" s="86">
        <f t="shared" ref="E6:E16" si="2">D6</f>
        <v>0</v>
      </c>
    </row>
    <row r="7" spans="1:9">
      <c r="A7" s="1" t="s">
        <v>261</v>
      </c>
      <c r="B7" s="87">
        <v>1754</v>
      </c>
      <c r="C7" s="62">
        <f t="shared" si="1"/>
        <v>0.10275336848271822</v>
      </c>
      <c r="D7" s="84">
        <f t="shared" si="0"/>
        <v>234.99532377107604</v>
      </c>
      <c r="E7" s="86">
        <f t="shared" si="2"/>
        <v>234.99532377107604</v>
      </c>
    </row>
    <row r="8" spans="1:9">
      <c r="A8" s="1" t="s">
        <v>262</v>
      </c>
      <c r="B8" s="87">
        <v>0</v>
      </c>
      <c r="C8" s="62">
        <f t="shared" si="1"/>
        <v>0</v>
      </c>
      <c r="D8" s="84">
        <f t="shared" si="0"/>
        <v>0</v>
      </c>
      <c r="E8" s="86">
        <f t="shared" si="2"/>
        <v>0</v>
      </c>
    </row>
    <row r="9" spans="1:9">
      <c r="A9" s="1" t="s">
        <v>243</v>
      </c>
      <c r="B9" s="30">
        <v>589</v>
      </c>
      <c r="C9" s="62">
        <f t="shared" si="1"/>
        <v>3.4504979496192148E-2</v>
      </c>
      <c r="D9" s="84">
        <f t="shared" si="0"/>
        <v>78.91234076463158</v>
      </c>
      <c r="E9" s="86">
        <f t="shared" si="2"/>
        <v>78.91234076463158</v>
      </c>
    </row>
    <row r="10" spans="1:9">
      <c r="A10" s="1" t="s">
        <v>244</v>
      </c>
      <c r="B10" s="30">
        <v>1600</v>
      </c>
      <c r="C10" s="62">
        <f t="shared" si="1"/>
        <v>9.3731693028705335E-2</v>
      </c>
      <c r="D10" s="84">
        <f t="shared" si="0"/>
        <v>214.36289511614692</v>
      </c>
      <c r="E10" s="86">
        <f t="shared" si="2"/>
        <v>214.36289511614692</v>
      </c>
    </row>
    <row r="11" spans="1:9">
      <c r="A11" s="1" t="s">
        <v>263</v>
      </c>
      <c r="B11" s="30">
        <v>1825</v>
      </c>
      <c r="C11" s="62">
        <f t="shared" si="1"/>
        <v>0.10691271236086702</v>
      </c>
      <c r="D11" s="84">
        <f t="shared" si="0"/>
        <v>244.50767724185508</v>
      </c>
      <c r="E11" s="86">
        <f t="shared" si="2"/>
        <v>244.50767724185508</v>
      </c>
    </row>
    <row r="12" spans="1:9">
      <c r="A12" s="1" t="s">
        <v>248</v>
      </c>
      <c r="B12" s="30">
        <v>440</v>
      </c>
      <c r="C12" s="62">
        <f t="shared" si="1"/>
        <v>2.5776215582893967E-2</v>
      </c>
      <c r="D12" s="84">
        <f t="shared" si="0"/>
        <v>58.949796156940401</v>
      </c>
      <c r="E12" s="86">
        <f t="shared" si="2"/>
        <v>58.949796156940401</v>
      </c>
    </row>
    <row r="13" spans="1:9">
      <c r="A13" s="1" t="s">
        <v>264</v>
      </c>
      <c r="B13" s="30">
        <v>1309</v>
      </c>
      <c r="C13" s="62">
        <f t="shared" si="1"/>
        <v>7.6684241359109548E-2</v>
      </c>
      <c r="D13" s="84">
        <f t="shared" si="0"/>
        <v>175.37564356689768</v>
      </c>
      <c r="E13" s="86">
        <f t="shared" si="2"/>
        <v>175.37564356689768</v>
      </c>
    </row>
    <row r="14" spans="1:9">
      <c r="A14" t="s">
        <v>265</v>
      </c>
      <c r="B14" s="30">
        <v>1668</v>
      </c>
      <c r="C14" s="62">
        <f t="shared" si="1"/>
        <v>9.7715289982425305E-2</v>
      </c>
      <c r="D14" s="88">
        <f>$B$23*C14</f>
        <v>223.47331815858314</v>
      </c>
      <c r="E14" s="86">
        <f t="shared" si="2"/>
        <v>223.47331815858314</v>
      </c>
    </row>
    <row r="15" spans="1:9">
      <c r="A15" s="1" t="s">
        <v>266</v>
      </c>
      <c r="B15" s="30">
        <v>2996</v>
      </c>
      <c r="C15" s="62">
        <f t="shared" si="1"/>
        <v>0.17551259519625073</v>
      </c>
      <c r="D15" s="84">
        <f>$B$23*C15</f>
        <v>401.39452110498507</v>
      </c>
      <c r="E15" s="86">
        <f t="shared" si="2"/>
        <v>401.39452110498507</v>
      </c>
    </row>
    <row r="16" spans="1:9">
      <c r="A16" s="1" t="s">
        <v>267</v>
      </c>
      <c r="B16" s="30">
        <v>2045</v>
      </c>
      <c r="C16" s="62">
        <f t="shared" si="1"/>
        <v>0.119800820152314</v>
      </c>
      <c r="D16" s="84">
        <f>$B$23*C16</f>
        <v>273.98257532032522</v>
      </c>
      <c r="E16" s="86">
        <f t="shared" si="2"/>
        <v>273.98257532032522</v>
      </c>
    </row>
    <row r="17" spans="1:29">
      <c r="A17" s="3" t="s">
        <v>233</v>
      </c>
      <c r="B17" s="33">
        <v>17070</v>
      </c>
      <c r="C17" s="48">
        <f t="shared" si="1"/>
        <v>1</v>
      </c>
      <c r="D17" s="83">
        <f>$B$23*C17</f>
        <v>2286.9841372703922</v>
      </c>
      <c r="E17" s="85">
        <f>SUM(E5:E16)</f>
        <v>2286.9841372703927</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2286.9841372703922</v>
      </c>
      <c r="C23" s="8">
        <v>2105.4762059055884</v>
      </c>
      <c r="D23" s="8">
        <v>1923.9682745407847</v>
      </c>
      <c r="E23" s="8">
        <v>1742.4603431759811</v>
      </c>
      <c r="F23" s="8">
        <v>1560.9524118111774</v>
      </c>
      <c r="G23" s="8">
        <v>1379.4444804463737</v>
      </c>
      <c r="H23" s="8">
        <v>1197.9365490815701</v>
      </c>
      <c r="I23" s="8">
        <v>1016.4286177167666</v>
      </c>
      <c r="J23" s="8">
        <v>1005.1611528807429</v>
      </c>
      <c r="K23" s="8">
        <v>993.89368804471917</v>
      </c>
      <c r="L23" s="8">
        <v>982.62622320869548</v>
      </c>
      <c r="M23" s="8">
        <v>971.35875837267179</v>
      </c>
      <c r="N23" s="8">
        <v>960.0912935366481</v>
      </c>
      <c r="O23" s="8">
        <v>948.8238287006244</v>
      </c>
      <c r="P23" s="8">
        <v>937.55636386460071</v>
      </c>
      <c r="Q23" s="8">
        <v>926.28889902857702</v>
      </c>
      <c r="R23" s="8">
        <v>915.02143419255333</v>
      </c>
      <c r="S23" s="8">
        <v>903.75396935652964</v>
      </c>
      <c r="T23" s="8">
        <v>892.48650452050595</v>
      </c>
      <c r="U23" s="8">
        <v>881.21903968448225</v>
      </c>
      <c r="V23" s="8">
        <v>869.95157484845856</v>
      </c>
      <c r="W23" s="8">
        <v>858.68411001243487</v>
      </c>
      <c r="X23" s="8">
        <v>847.41664517641118</v>
      </c>
      <c r="Y23" s="8">
        <v>836.14918034038749</v>
      </c>
      <c r="Z23" s="8">
        <v>824.8817155043638</v>
      </c>
      <c r="AA23" s="8">
        <v>813.61425066834011</v>
      </c>
      <c r="AB23" s="8">
        <v>802.34678583231641</v>
      </c>
      <c r="AC23" s="8">
        <v>791.07932099629318</v>
      </c>
    </row>
    <row r="24" spans="1:29">
      <c r="A24" t="s">
        <v>223</v>
      </c>
      <c r="B24" s="15" t="s">
        <v>71</v>
      </c>
      <c r="C24" s="14">
        <f>1-(C23/B23)</f>
        <v>7.9365627599604083E-2</v>
      </c>
      <c r="D24" s="14">
        <f t="shared" ref="D24:AC24" si="3">1-(D23/C23)</f>
        <v>8.6207543384103524E-2</v>
      </c>
      <c r="E24" s="14">
        <f t="shared" si="3"/>
        <v>9.4340397275067489E-2</v>
      </c>
      <c r="F24" s="14">
        <f t="shared" si="3"/>
        <v>0.10416761108833572</v>
      </c>
      <c r="G24" s="14">
        <f t="shared" si="3"/>
        <v>0.11628024659265523</v>
      </c>
      <c r="H24" s="14">
        <f t="shared" si="3"/>
        <v>0.13158045426088449</v>
      </c>
      <c r="I24" s="14">
        <f t="shared" si="3"/>
        <v>0.1515171496386527</v>
      </c>
      <c r="J24" s="14">
        <f t="shared" si="3"/>
        <v>1.1085347893228459E-2</v>
      </c>
      <c r="K24" s="14">
        <f t="shared" si="3"/>
        <v>1.1209610323411057E-2</v>
      </c>
      <c r="L24" s="14">
        <f t="shared" si="3"/>
        <v>1.1336690202943256E-2</v>
      </c>
      <c r="M24" s="14">
        <f t="shared" si="3"/>
        <v>1.1466684452233089E-2</v>
      </c>
      <c r="N24" s="14">
        <f t="shared" si="3"/>
        <v>1.1599694488677037E-2</v>
      </c>
      <c r="O24" s="14">
        <f t="shared" si="3"/>
        <v>1.1735826490539503E-2</v>
      </c>
      <c r="P24" s="14">
        <f t="shared" si="3"/>
        <v>1.1875191679633579E-2</v>
      </c>
      <c r="Q24" s="14">
        <f t="shared" si="3"/>
        <v>1.2017906624386065E-2</v>
      </c>
      <c r="R24" s="14">
        <f t="shared" si="3"/>
        <v>1.2164093565020795E-2</v>
      </c>
      <c r="S24" s="14">
        <f t="shared" si="3"/>
        <v>1.2313880762767626E-2</v>
      </c>
      <c r="T24" s="14">
        <f t="shared" si="3"/>
        <v>1.24674028751941E-2</v>
      </c>
      <c r="U24" s="14">
        <f t="shared" si="3"/>
        <v>1.262480135996813E-2</v>
      </c>
      <c r="V24" s="14">
        <f t="shared" si="3"/>
        <v>1.2786224909595689E-2</v>
      </c>
      <c r="W24" s="14">
        <f t="shared" si="3"/>
        <v>1.2951829919942925E-2</v>
      </c>
      <c r="X24" s="14">
        <f t="shared" si="3"/>
        <v>1.3121780995645205E-2</v>
      </c>
      <c r="Y24" s="14">
        <f t="shared" si="3"/>
        <v>1.3296251495836575E-2</v>
      </c>
      <c r="Z24" s="14">
        <f t="shared" si="3"/>
        <v>1.3475424124002378E-2</v>
      </c>
      <c r="AA24" s="14">
        <f t="shared" si="3"/>
        <v>1.3659491566174853E-2</v>
      </c>
      <c r="AB24" s="14">
        <f t="shared" si="3"/>
        <v>1.3848657182157331E-2</v>
      </c>
      <c r="AC24" s="14">
        <f t="shared" si="3"/>
        <v>1.4043135754990166E-2</v>
      </c>
    </row>
    <row r="25" spans="1:29">
      <c r="A25" t="s">
        <v>224</v>
      </c>
      <c r="B25" s="8">
        <f>E17</f>
        <v>2286.9841372703927</v>
      </c>
      <c r="C25" s="8">
        <f>B25*(1-C24)</f>
        <v>2105.4762059055888</v>
      </c>
      <c r="D25" s="8">
        <f t="shared" ref="D25:AC25" si="4">C25*(1-D24)</f>
        <v>1923.9682745407852</v>
      </c>
      <c r="E25" s="8">
        <f t="shared" si="4"/>
        <v>1742.4603431759813</v>
      </c>
      <c r="F25" s="8">
        <f t="shared" si="4"/>
        <v>1560.9524118111776</v>
      </c>
      <c r="G25" s="8">
        <f t="shared" si="4"/>
        <v>1379.444480446374</v>
      </c>
      <c r="H25" s="8">
        <f t="shared" si="4"/>
        <v>1197.9365490815703</v>
      </c>
      <c r="I25" s="8">
        <f t="shared" si="4"/>
        <v>1016.4286177167668</v>
      </c>
      <c r="J25" s="8">
        <f t="shared" si="4"/>
        <v>1005.1611528807431</v>
      </c>
      <c r="K25" s="8">
        <f t="shared" si="4"/>
        <v>993.8936880447194</v>
      </c>
      <c r="L25" s="8">
        <f t="shared" si="4"/>
        <v>982.62622320869571</v>
      </c>
      <c r="M25" s="8">
        <f t="shared" si="4"/>
        <v>971.35875837267201</v>
      </c>
      <c r="N25" s="8">
        <f t="shared" si="4"/>
        <v>960.09129353664832</v>
      </c>
      <c r="O25" s="8">
        <f t="shared" si="4"/>
        <v>948.82382870062463</v>
      </c>
      <c r="P25" s="8">
        <f t="shared" si="4"/>
        <v>937.55636386460094</v>
      </c>
      <c r="Q25" s="8">
        <f t="shared" si="4"/>
        <v>926.28889902857725</v>
      </c>
      <c r="R25" s="8">
        <f t="shared" si="4"/>
        <v>915.02143419255356</v>
      </c>
      <c r="S25" s="8">
        <f t="shared" si="4"/>
        <v>903.75396935652986</v>
      </c>
      <c r="T25" s="8">
        <f t="shared" si="4"/>
        <v>892.48650452050617</v>
      </c>
      <c r="U25" s="8">
        <f t="shared" si="4"/>
        <v>881.21903968448248</v>
      </c>
      <c r="V25" s="8">
        <f t="shared" si="4"/>
        <v>869.95157484845879</v>
      </c>
      <c r="W25" s="8">
        <f t="shared" si="4"/>
        <v>858.6841100124351</v>
      </c>
      <c r="X25" s="8">
        <f t="shared" si="4"/>
        <v>847.41664517641141</v>
      </c>
      <c r="Y25" s="8">
        <f t="shared" si="4"/>
        <v>836.14918034038772</v>
      </c>
      <c r="Z25" s="8">
        <f t="shared" si="4"/>
        <v>824.88171550436402</v>
      </c>
      <c r="AA25" s="8">
        <f t="shared" si="4"/>
        <v>813.61425066834033</v>
      </c>
      <c r="AB25" s="8">
        <f t="shared" si="4"/>
        <v>802.34678583231664</v>
      </c>
      <c r="AC25" s="8">
        <f t="shared" si="4"/>
        <v>791.0793209962934</v>
      </c>
    </row>
  </sheetData>
  <mergeCells count="3">
    <mergeCell ref="A1:C1"/>
    <mergeCell ref="E1:F1"/>
    <mergeCell ref="A19:B20"/>
  </mergeCells>
  <pageMargins left="0.7" right="0.7" top="0.75" bottom="0.75" header="0.3" footer="0.3"/>
  <pageSetup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25"/>
  <sheetViews>
    <sheetView workbookViewId="0">
      <selection sqref="A1:C1"/>
    </sheetView>
  </sheetViews>
  <sheetFormatPr defaultRowHeight="15"/>
  <cols>
    <col min="1" max="1" width="25.28515625" bestFit="1" customWidth="1"/>
    <col min="2" max="2" width="15.140625" customWidth="1"/>
    <col min="3" max="3" width="9.85546875" customWidth="1"/>
    <col min="4" max="4" width="10.42578125" customWidth="1"/>
    <col min="5" max="5" width="10.28515625" customWidth="1"/>
    <col min="6" max="6" width="11" customWidth="1"/>
    <col min="7" max="7" width="10.7109375" customWidth="1"/>
    <col min="8" max="8" width="10.42578125" customWidth="1"/>
    <col min="9" max="10" width="10" customWidth="1"/>
    <col min="13" max="15" width="10.5703125" customWidth="1"/>
  </cols>
  <sheetData>
    <row r="1" spans="1:7">
      <c r="A1" s="228" t="s">
        <v>192</v>
      </c>
      <c r="B1" s="229"/>
      <c r="C1" s="229"/>
      <c r="E1" s="229" t="s">
        <v>193</v>
      </c>
      <c r="F1" s="229"/>
    </row>
    <row r="2" spans="1:7" ht="75">
      <c r="A2" s="1"/>
      <c r="B2" s="4" t="s">
        <v>194</v>
      </c>
      <c r="C2" s="6" t="s">
        <v>195</v>
      </c>
      <c r="D2" s="44" t="s">
        <v>196</v>
      </c>
      <c r="E2" s="46" t="s">
        <v>268</v>
      </c>
      <c r="F2" s="44" t="s">
        <v>198</v>
      </c>
      <c r="G2" s="17" t="s">
        <v>199</v>
      </c>
    </row>
    <row r="3" spans="1:7">
      <c r="A3" t="s">
        <v>200</v>
      </c>
      <c r="B3">
        <v>50</v>
      </c>
      <c r="D3" s="34"/>
      <c r="E3" s="47"/>
      <c r="F3" s="34"/>
    </row>
    <row r="4" spans="1:7">
      <c r="A4" s="5" t="s">
        <v>269</v>
      </c>
      <c r="B4" s="5" t="s">
        <v>270</v>
      </c>
      <c r="C4" s="9" t="s">
        <v>202</v>
      </c>
      <c r="D4" s="68" t="s">
        <v>124</v>
      </c>
      <c r="E4" s="71" t="s">
        <v>203</v>
      </c>
      <c r="F4" s="68" t="s">
        <v>124</v>
      </c>
      <c r="G4" s="69" t="s">
        <v>124</v>
      </c>
    </row>
    <row r="5" spans="1:7">
      <c r="A5" t="s">
        <v>271</v>
      </c>
      <c r="B5" s="23">
        <v>22266000</v>
      </c>
      <c r="C5" s="7">
        <f t="shared" ref="C5:C16" si="0">B5/$B$17</f>
        <v>0.10868939123982838</v>
      </c>
      <c r="D5" s="84">
        <f>$B$23*C5</f>
        <v>470.86561849853655</v>
      </c>
      <c r="E5" s="41">
        <v>0</v>
      </c>
      <c r="F5" s="84">
        <f>D5</f>
        <v>470.86561849853655</v>
      </c>
      <c r="G5" s="86">
        <f>F5</f>
        <v>470.86561849853655</v>
      </c>
    </row>
    <row r="6" spans="1:7">
      <c r="A6" t="s">
        <v>272</v>
      </c>
      <c r="B6" s="23">
        <v>88818000</v>
      </c>
      <c r="C6" s="7">
        <f t="shared" si="0"/>
        <v>0.43355673902537845</v>
      </c>
      <c r="D6" s="84">
        <f t="shared" ref="D6:D17" si="1">$B$23*C6</f>
        <v>1878.2602399983391</v>
      </c>
      <c r="E6" s="41">
        <v>0</v>
      </c>
      <c r="F6" s="84">
        <f t="shared" ref="F6:F9" si="2">D6</f>
        <v>1878.2602399983391</v>
      </c>
      <c r="G6" s="86">
        <f t="shared" ref="G6:G16" si="3">F6</f>
        <v>1878.2602399983391</v>
      </c>
    </row>
    <row r="7" spans="1:7">
      <c r="A7" t="s">
        <v>273</v>
      </c>
      <c r="B7" s="23">
        <v>26608000</v>
      </c>
      <c r="C7" s="7">
        <f t="shared" si="0"/>
        <v>0.12988445711440552</v>
      </c>
      <c r="D7" s="84">
        <f t="shared" si="1"/>
        <v>562.68716325379773</v>
      </c>
      <c r="E7" s="41">
        <v>0</v>
      </c>
      <c r="F7" s="84">
        <f t="shared" si="2"/>
        <v>562.68716325379773</v>
      </c>
      <c r="G7" s="86">
        <f t="shared" si="3"/>
        <v>562.68716325379773</v>
      </c>
    </row>
    <row r="8" spans="1:7">
      <c r="A8" t="s">
        <v>274</v>
      </c>
      <c r="B8" s="23">
        <v>15418000</v>
      </c>
      <c r="C8" s="7">
        <f t="shared" si="0"/>
        <v>7.5261521339067355E-2</v>
      </c>
      <c r="D8" s="84">
        <f t="shared" si="1"/>
        <v>326.04895832257415</v>
      </c>
      <c r="E8" s="41">
        <v>0</v>
      </c>
      <c r="F8" s="84">
        <f t="shared" si="2"/>
        <v>326.04895832257415</v>
      </c>
      <c r="G8" s="86">
        <f t="shared" si="3"/>
        <v>326.04895832257415</v>
      </c>
    </row>
    <row r="9" spans="1:7">
      <c r="A9" s="5" t="s">
        <v>275</v>
      </c>
      <c r="B9" s="33">
        <v>15311000</v>
      </c>
      <c r="C9" s="48">
        <f t="shared" si="0"/>
        <v>7.4739210871867967E-2</v>
      </c>
      <c r="D9" s="83">
        <f t="shared" si="1"/>
        <v>323.78619800732474</v>
      </c>
      <c r="E9" s="51">
        <v>0</v>
      </c>
      <c r="F9" s="83">
        <f t="shared" si="2"/>
        <v>323.78619800732474</v>
      </c>
      <c r="G9" s="85">
        <f t="shared" si="3"/>
        <v>323.78619800732474</v>
      </c>
    </row>
    <row r="10" spans="1:7">
      <c r="A10" t="s">
        <v>276</v>
      </c>
      <c r="B10" s="36">
        <f>SUM(B5:B9)</f>
        <v>168421000</v>
      </c>
      <c r="C10" s="7">
        <f t="shared" si="0"/>
        <v>0.82213131959054764</v>
      </c>
      <c r="D10" s="84">
        <f t="shared" si="1"/>
        <v>3561.6481780805721</v>
      </c>
      <c r="E10" s="41">
        <v>0</v>
      </c>
      <c r="F10" s="84">
        <f>SUM(F5:F9)</f>
        <v>3561.6481780805721</v>
      </c>
      <c r="G10" s="86">
        <f>SUM(G5:G9)</f>
        <v>3561.6481780805721</v>
      </c>
    </row>
    <row r="11" spans="1:7">
      <c r="A11" s="5" t="s">
        <v>277</v>
      </c>
      <c r="B11" s="33"/>
      <c r="C11" s="5"/>
      <c r="D11" s="83"/>
      <c r="E11" s="61"/>
      <c r="F11" s="83"/>
      <c r="G11" s="82"/>
    </row>
    <row r="12" spans="1:7">
      <c r="A12" t="s">
        <v>278</v>
      </c>
      <c r="B12" s="36">
        <v>11789000</v>
      </c>
      <c r="C12" s="7">
        <f t="shared" si="0"/>
        <v>5.7546898110407647E-2</v>
      </c>
      <c r="D12" s="84">
        <f t="shared" si="1"/>
        <v>249.30543323808709</v>
      </c>
      <c r="E12" s="41">
        <v>0</v>
      </c>
      <c r="F12" s="84">
        <f>D12+E12</f>
        <v>249.30543323808709</v>
      </c>
      <c r="G12" s="86">
        <f t="shared" si="3"/>
        <v>249.30543323808709</v>
      </c>
    </row>
    <row r="13" spans="1:7">
      <c r="A13" t="s">
        <v>250</v>
      </c>
      <c r="B13" s="36">
        <v>1500000</v>
      </c>
      <c r="C13" s="7">
        <f t="shared" si="0"/>
        <v>7.3221093532624881E-3</v>
      </c>
      <c r="D13" s="84">
        <f t="shared" si="1"/>
        <v>31.720938998823534</v>
      </c>
      <c r="E13" s="41">
        <v>0</v>
      </c>
      <c r="F13" s="84">
        <f>D13+E13</f>
        <v>31.720938998823534</v>
      </c>
      <c r="G13" s="86">
        <f t="shared" si="3"/>
        <v>31.720938998823534</v>
      </c>
    </row>
    <row r="14" spans="1:7">
      <c r="A14" t="s">
        <v>279</v>
      </c>
      <c r="B14" s="36">
        <v>1200000</v>
      </c>
      <c r="C14" s="7">
        <f t="shared" si="0"/>
        <v>5.8576874826099905E-3</v>
      </c>
      <c r="D14" s="84">
        <f t="shared" si="1"/>
        <v>25.376751199058827</v>
      </c>
      <c r="E14" s="116">
        <f>'Spur Line Assumptions'!H14</f>
        <v>573.33333333333337</v>
      </c>
      <c r="F14" s="84">
        <f>D14+E14</f>
        <v>598.71008453239222</v>
      </c>
      <c r="G14" s="86">
        <f t="shared" si="3"/>
        <v>598.71008453239222</v>
      </c>
    </row>
    <row r="15" spans="1:7">
      <c r="A15" s="5" t="s">
        <v>280</v>
      </c>
      <c r="B15" s="33">
        <f>SUM(B12:B14)</f>
        <v>14489000</v>
      </c>
      <c r="C15" s="48">
        <f t="shared" si="0"/>
        <v>7.072669494628013E-2</v>
      </c>
      <c r="D15" s="83">
        <f t="shared" si="1"/>
        <v>306.40312343596946</v>
      </c>
      <c r="E15" s="51">
        <v>0</v>
      </c>
      <c r="F15" s="83">
        <f>SUM(F12:F14)</f>
        <v>879.73645676930278</v>
      </c>
      <c r="G15" s="85">
        <f>SUM(G12:G14)</f>
        <v>879.73645676930278</v>
      </c>
    </row>
    <row r="16" spans="1:7">
      <c r="A16" s="5" t="s">
        <v>255</v>
      </c>
      <c r="B16" s="33">
        <v>21949000</v>
      </c>
      <c r="C16" s="67">
        <f t="shared" si="0"/>
        <v>0.10714198546317223</v>
      </c>
      <c r="D16" s="89">
        <f t="shared" si="1"/>
        <v>464.16192672345181</v>
      </c>
      <c r="E16" s="73">
        <v>0</v>
      </c>
      <c r="F16" s="89">
        <f>D16</f>
        <v>464.16192672345181</v>
      </c>
      <c r="G16" s="90">
        <f t="shared" si="3"/>
        <v>464.16192672345181</v>
      </c>
    </row>
    <row r="17" spans="1:29">
      <c r="A17" s="5" t="s">
        <v>220</v>
      </c>
      <c r="B17" s="33">
        <f>B10+B15+B16</f>
        <v>204859000</v>
      </c>
      <c r="C17" s="67">
        <f>B17/$B$17</f>
        <v>1</v>
      </c>
      <c r="D17" s="89">
        <f t="shared" si="1"/>
        <v>4332.2132282399934</v>
      </c>
      <c r="E17" s="73">
        <v>0</v>
      </c>
      <c r="F17" s="89">
        <f>F10+F15+F16</f>
        <v>4905.5465615733265</v>
      </c>
      <c r="G17" s="90">
        <f>G10+G15+G16</f>
        <v>4905.5465615733265</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281</v>
      </c>
      <c r="B23" s="8">
        <v>4332.2132282399934</v>
      </c>
      <c r="C23" s="8">
        <v>4304.5136584669035</v>
      </c>
      <c r="D23" s="8">
        <v>4276.2086370074821</v>
      </c>
      <c r="E23" s="8">
        <v>4258.3489285999976</v>
      </c>
      <c r="F23" s="8">
        <v>4240.3817525639051</v>
      </c>
      <c r="G23" s="8">
        <v>4222.3099174482222</v>
      </c>
      <c r="H23" s="8">
        <v>4204.1303924733184</v>
      </c>
      <c r="I23" s="8">
        <v>4185.8438263968492</v>
      </c>
      <c r="J23" s="8">
        <v>4157.8280890731303</v>
      </c>
      <c r="K23" s="8">
        <v>4129.8125183607854</v>
      </c>
      <c r="L23" s="8">
        <v>4101.7998511701189</v>
      </c>
      <c r="M23" s="8">
        <v>4073.7818888610846</v>
      </c>
      <c r="N23" s="8">
        <v>4045.7676234324272</v>
      </c>
      <c r="O23" s="8">
        <v>4017.7526382967721</v>
      </c>
      <c r="P23" s="8">
        <v>3989.7399885775626</v>
      </c>
      <c r="Q23" s="8">
        <v>3961.7249402736543</v>
      </c>
      <c r="R23" s="8">
        <v>3933.7104772183488</v>
      </c>
      <c r="S23" s="8">
        <v>3905.6966508737169</v>
      </c>
      <c r="T23" s="8">
        <v>3877.6789330066481</v>
      </c>
      <c r="U23" s="8">
        <v>3849.6641876106451</v>
      </c>
      <c r="V23" s="8">
        <v>3821.6493188199893</v>
      </c>
      <c r="W23" s="8">
        <v>3793.6352124558844</v>
      </c>
      <c r="X23" s="8">
        <v>3765.6236041294887</v>
      </c>
      <c r="Y23" s="8">
        <v>3737.6084841509801</v>
      </c>
      <c r="Z23" s="8">
        <v>3709.5933146942721</v>
      </c>
      <c r="AA23" s="8">
        <v>3681.5768114034067</v>
      </c>
      <c r="AB23" s="8">
        <v>3653.5622867226039</v>
      </c>
      <c r="AC23" s="8">
        <v>3625.5477288005723</v>
      </c>
    </row>
    <row r="24" spans="1:29">
      <c r="A24" t="s">
        <v>223</v>
      </c>
      <c r="B24" s="16" t="s">
        <v>71</v>
      </c>
      <c r="C24" s="14">
        <f>1-(C23/B23)</f>
        <v>6.3938611314252602E-3</v>
      </c>
      <c r="D24" s="14">
        <f t="shared" ref="D24:AC24" si="4">1-(D23/C23)</f>
        <v>6.5756607378271159E-3</v>
      </c>
      <c r="E24" s="14">
        <f t="shared" si="4"/>
        <v>4.1765287719878197E-3</v>
      </c>
      <c r="F24" s="14">
        <f t="shared" si="4"/>
        <v>4.2192822470279445E-3</v>
      </c>
      <c r="G24" s="14">
        <f t="shared" si="4"/>
        <v>4.261841544043965E-3</v>
      </c>
      <c r="H24" s="14">
        <f t="shared" si="4"/>
        <v>4.3055875410231703E-3</v>
      </c>
      <c r="I24" s="14">
        <f t="shared" si="4"/>
        <v>4.3496667251824439E-3</v>
      </c>
      <c r="J24" s="14">
        <f t="shared" si="4"/>
        <v>6.6929724293690596E-3</v>
      </c>
      <c r="K24" s="14">
        <f t="shared" si="4"/>
        <v>6.7380300753584477E-3</v>
      </c>
      <c r="L24" s="14">
        <f t="shared" si="4"/>
        <v>6.7830360497297404E-3</v>
      </c>
      <c r="M24" s="14">
        <f t="shared" si="4"/>
        <v>6.8306507693304264E-3</v>
      </c>
      <c r="N24" s="14">
        <f t="shared" si="4"/>
        <v>6.8767219730777596E-3</v>
      </c>
      <c r="O24" s="14">
        <f t="shared" si="4"/>
        <v>6.9245166166729266E-3</v>
      </c>
      <c r="P24" s="14">
        <f t="shared" si="4"/>
        <v>6.9722186110204865E-3</v>
      </c>
      <c r="Q24" s="14">
        <f t="shared" si="4"/>
        <v>7.0217729436289344E-3</v>
      </c>
      <c r="R24" s="14">
        <f t="shared" si="4"/>
        <v>7.071279171988798E-3</v>
      </c>
      <c r="S24" s="14">
        <f t="shared" si="4"/>
        <v>7.1214764042425438E-3</v>
      </c>
      <c r="T24" s="14">
        <f t="shared" si="4"/>
        <v>7.1735519605192755E-3</v>
      </c>
      <c r="U24" s="14">
        <f t="shared" si="4"/>
        <v>7.224617066034722E-3</v>
      </c>
      <c r="V24" s="14">
        <f t="shared" si="4"/>
        <v>7.2772240448442105E-3</v>
      </c>
      <c r="W24" s="14">
        <f t="shared" si="4"/>
        <v>7.3303707449418054E-3</v>
      </c>
      <c r="X24" s="14">
        <f t="shared" si="4"/>
        <v>7.3838434002361231E-3</v>
      </c>
      <c r="Y24" s="14">
        <f t="shared" si="4"/>
        <v>7.4397026691107593E-3</v>
      </c>
      <c r="Z24" s="14">
        <f t="shared" si="4"/>
        <v>7.4954799507502834E-3</v>
      </c>
      <c r="AA24" s="14">
        <f t="shared" si="4"/>
        <v>7.5524460268697746E-3</v>
      </c>
      <c r="AB24" s="14">
        <f t="shared" si="4"/>
        <v>7.6093820979179494E-3</v>
      </c>
      <c r="AC24" s="14">
        <f t="shared" si="4"/>
        <v>7.6677378743039704E-3</v>
      </c>
    </row>
    <row r="25" spans="1:29">
      <c r="A25" t="s">
        <v>282</v>
      </c>
      <c r="B25" s="95">
        <f>G17</f>
        <v>4905.5465615733265</v>
      </c>
      <c r="C25" s="8">
        <f>B25*(1-C24)</f>
        <v>4874.1811780848857</v>
      </c>
      <c r="D25" s="8">
        <f t="shared" ref="D25:AC25" si="5">C25*(1-D24)</f>
        <v>4842.1302162830971</v>
      </c>
      <c r="E25" s="8">
        <f t="shared" si="5"/>
        <v>4821.9069201170787</v>
      </c>
      <c r="F25" s="8">
        <f t="shared" si="5"/>
        <v>4801.5619338522074</v>
      </c>
      <c r="G25" s="8">
        <f t="shared" si="5"/>
        <v>4781.0984377262157</v>
      </c>
      <c r="H25" s="8">
        <f t="shared" si="5"/>
        <v>4760.5129998603361</v>
      </c>
      <c r="I25" s="8">
        <f t="shared" si="5"/>
        <v>4739.8063548700447</v>
      </c>
      <c r="J25" s="8">
        <f t="shared" si="5"/>
        <v>4708.082961616351</v>
      </c>
      <c r="K25" s="8">
        <f t="shared" si="5"/>
        <v>4676.3597570236971</v>
      </c>
      <c r="L25" s="8">
        <f t="shared" si="5"/>
        <v>4644.6398402102996</v>
      </c>
      <c r="M25" s="8">
        <f t="shared" si="5"/>
        <v>4612.9139275125044</v>
      </c>
      <c r="N25" s="8">
        <f t="shared" si="5"/>
        <v>4581.1922009472628</v>
      </c>
      <c r="O25" s="8">
        <f t="shared" si="5"/>
        <v>4549.4696594276311</v>
      </c>
      <c r="P25" s="8">
        <f t="shared" si="5"/>
        <v>4517.749762397897</v>
      </c>
      <c r="Q25" s="8">
        <f t="shared" si="5"/>
        <v>4486.027149350205</v>
      </c>
      <c r="R25" s="8">
        <f t="shared" si="5"/>
        <v>4454.3051990040285</v>
      </c>
      <c r="S25" s="8">
        <f t="shared" si="5"/>
        <v>4422.5839696320263</v>
      </c>
      <c r="T25" s="8">
        <f t="shared" si="5"/>
        <v>4390.8583337261116</v>
      </c>
      <c r="U25" s="8">
        <f t="shared" si="5"/>
        <v>4359.1360636737336</v>
      </c>
      <c r="V25" s="8">
        <f t="shared" si="5"/>
        <v>4327.4136538964194</v>
      </c>
      <c r="W25" s="8">
        <f t="shared" si="5"/>
        <v>4295.6921074466354</v>
      </c>
      <c r="X25" s="8">
        <f t="shared" si="5"/>
        <v>4263.9733896296193</v>
      </c>
      <c r="Y25" s="8">
        <f t="shared" si="5"/>
        <v>4232.2506954217743</v>
      </c>
      <c r="Z25" s="8">
        <f t="shared" si="5"/>
        <v>4200.5279451876913</v>
      </c>
      <c r="AA25" s="8">
        <f t="shared" si="5"/>
        <v>4168.8036845973029</v>
      </c>
      <c r="AB25" s="8">
        <f t="shared" si="5"/>
        <v>4137.0816644699935</v>
      </c>
      <c r="AC25" s="8">
        <f t="shared" si="5"/>
        <v>4105.3596067022481</v>
      </c>
    </row>
  </sheetData>
  <mergeCells count="3">
    <mergeCell ref="A19:B20"/>
    <mergeCell ref="A1:C1"/>
    <mergeCell ref="E1:F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5"/>
  <sheetViews>
    <sheetView workbookViewId="0">
      <selection sqref="A1:C1"/>
    </sheetView>
  </sheetViews>
  <sheetFormatPr defaultRowHeight="15"/>
  <cols>
    <col min="1" max="1" width="36.28515625" bestFit="1" customWidth="1"/>
    <col min="2" max="2" width="11.28515625" customWidth="1"/>
    <col min="3" max="3" width="11.42578125" customWidth="1"/>
    <col min="4" max="4" width="11.5703125" customWidth="1"/>
    <col min="5" max="5" width="13.7109375" customWidth="1"/>
    <col min="6" max="6" width="10.28515625" customWidth="1"/>
    <col min="7" max="7" width="11" customWidth="1"/>
    <col min="8" max="8" width="12.28515625" customWidth="1"/>
    <col min="10" max="11" width="11.5703125" bestFit="1" customWidth="1"/>
    <col min="12" max="12" width="12.7109375" customWidth="1"/>
  </cols>
  <sheetData>
    <row r="1" spans="1:7">
      <c r="A1" s="228" t="s">
        <v>192</v>
      </c>
      <c r="B1" s="229"/>
      <c r="C1" s="229"/>
      <c r="E1" s="229" t="s">
        <v>193</v>
      </c>
      <c r="F1" s="229"/>
    </row>
    <row r="2" spans="1:7" ht="58.15" customHeight="1">
      <c r="A2" s="1"/>
      <c r="B2" s="4" t="s">
        <v>194</v>
      </c>
      <c r="C2" s="25" t="s">
        <v>195</v>
      </c>
      <c r="D2" s="44" t="s">
        <v>196</v>
      </c>
      <c r="E2" s="54" t="s">
        <v>197</v>
      </c>
      <c r="F2" s="57" t="s">
        <v>198</v>
      </c>
      <c r="G2" s="26" t="s">
        <v>199</v>
      </c>
    </row>
    <row r="3" spans="1:7">
      <c r="A3" t="s">
        <v>283</v>
      </c>
      <c r="B3">
        <v>500</v>
      </c>
      <c r="D3" s="34"/>
      <c r="E3" s="47"/>
      <c r="F3" s="34"/>
    </row>
    <row r="4" spans="1:7">
      <c r="A4" t="s">
        <v>284</v>
      </c>
      <c r="B4">
        <v>10</v>
      </c>
      <c r="D4" s="34"/>
      <c r="E4" s="47"/>
      <c r="F4" s="34"/>
    </row>
    <row r="5" spans="1:7">
      <c r="A5" s="3" t="s">
        <v>269</v>
      </c>
      <c r="B5" s="9" t="s">
        <v>124</v>
      </c>
      <c r="C5" s="5" t="s">
        <v>202</v>
      </c>
      <c r="D5" s="68" t="s">
        <v>124</v>
      </c>
      <c r="E5" s="61" t="s">
        <v>203</v>
      </c>
      <c r="F5" s="68" t="s">
        <v>124</v>
      </c>
      <c r="G5" s="69" t="s">
        <v>124</v>
      </c>
    </row>
    <row r="6" spans="1:7">
      <c r="A6" s="1" t="s">
        <v>285</v>
      </c>
      <c r="B6" s="30">
        <v>1016</v>
      </c>
      <c r="C6" s="7">
        <f t="shared" ref="C6:C16" si="0">B6/$B$17</f>
        <v>0.3169058016219588</v>
      </c>
      <c r="D6" s="84">
        <f>$B$23*C6</f>
        <v>1078.7670558847467</v>
      </c>
      <c r="E6" s="41" t="s">
        <v>71</v>
      </c>
      <c r="F6" s="58">
        <f>D6</f>
        <v>1078.7670558847467</v>
      </c>
      <c r="G6" s="86">
        <f t="shared" ref="G6:G15" si="1">F6</f>
        <v>1078.7670558847467</v>
      </c>
    </row>
    <row r="7" spans="1:7">
      <c r="A7" s="1" t="s">
        <v>286</v>
      </c>
      <c r="B7" s="30">
        <v>163</v>
      </c>
      <c r="C7" s="7">
        <f t="shared" si="0"/>
        <v>5.0842170929507172E-2</v>
      </c>
      <c r="D7" s="84">
        <f t="shared" ref="D7:D17" si="2">$B$23*C7</f>
        <v>173.06991152481663</v>
      </c>
      <c r="E7" s="41" t="s">
        <v>71</v>
      </c>
      <c r="F7" s="58">
        <f>D7</f>
        <v>173.06991152481663</v>
      </c>
      <c r="G7" s="86">
        <f t="shared" si="1"/>
        <v>173.06991152481663</v>
      </c>
    </row>
    <row r="8" spans="1:7">
      <c r="A8" s="1" t="s">
        <v>287</v>
      </c>
      <c r="B8" s="30">
        <v>97</v>
      </c>
      <c r="C8" s="7">
        <f t="shared" si="0"/>
        <v>3.0255770430442919E-2</v>
      </c>
      <c r="D8" s="84">
        <f t="shared" si="2"/>
        <v>102.99252403624058</v>
      </c>
      <c r="E8" s="41" t="s">
        <v>71</v>
      </c>
      <c r="F8" s="58">
        <f>D8</f>
        <v>102.99252403624058</v>
      </c>
      <c r="G8" s="86">
        <f t="shared" si="1"/>
        <v>102.99252403624058</v>
      </c>
    </row>
    <row r="9" spans="1:7">
      <c r="A9" s="1" t="s">
        <v>288</v>
      </c>
      <c r="B9" s="30">
        <v>1010</v>
      </c>
      <c r="C9" s="7">
        <f t="shared" si="0"/>
        <v>0.31503431066749843</v>
      </c>
      <c r="D9" s="84">
        <f t="shared" si="2"/>
        <v>1072.396384294876</v>
      </c>
      <c r="E9" s="172">
        <f>'Spur Line Assumptions'!H15</f>
        <v>505.99999999999994</v>
      </c>
      <c r="F9" s="58">
        <f>D9+E9</f>
        <v>1578.396384294876</v>
      </c>
      <c r="G9" s="86">
        <f t="shared" si="1"/>
        <v>1578.396384294876</v>
      </c>
    </row>
    <row r="10" spans="1:7">
      <c r="A10" s="1" t="s">
        <v>289</v>
      </c>
      <c r="B10" s="31">
        <f>SUM(B6:B9)</f>
        <v>2286</v>
      </c>
      <c r="C10" s="7">
        <f t="shared" si="0"/>
        <v>0.71303805364940731</v>
      </c>
      <c r="D10" s="84">
        <f t="shared" si="2"/>
        <v>2427.2258757406798</v>
      </c>
      <c r="E10" s="41" t="s">
        <v>71</v>
      </c>
      <c r="F10" s="58">
        <f>SUM(F6:F9)</f>
        <v>2933.2258757406798</v>
      </c>
      <c r="G10" s="86">
        <f t="shared" si="1"/>
        <v>2933.2258757406798</v>
      </c>
    </row>
    <row r="11" spans="1:7">
      <c r="A11" s="1" t="s">
        <v>290</v>
      </c>
      <c r="B11" s="30">
        <v>472</v>
      </c>
      <c r="C11" s="7">
        <f t="shared" si="0"/>
        <v>0.1472239550842171</v>
      </c>
      <c r="D11" s="84">
        <f t="shared" si="2"/>
        <v>501.15949840315005</v>
      </c>
      <c r="E11" s="41" t="s">
        <v>71</v>
      </c>
      <c r="F11" s="58">
        <f>D11</f>
        <v>501.15949840315005</v>
      </c>
      <c r="G11" s="86">
        <f t="shared" si="1"/>
        <v>501.15949840315005</v>
      </c>
    </row>
    <row r="12" spans="1:7">
      <c r="A12" s="1" t="s">
        <v>291</v>
      </c>
      <c r="B12" s="30">
        <v>448</v>
      </c>
      <c r="C12" s="7">
        <f t="shared" si="0"/>
        <v>0.13973799126637554</v>
      </c>
      <c r="D12" s="84">
        <f t="shared" si="2"/>
        <v>475.67681204366778</v>
      </c>
      <c r="E12" s="41" t="s">
        <v>71</v>
      </c>
      <c r="F12" s="58">
        <f>D12</f>
        <v>475.67681204366778</v>
      </c>
      <c r="G12" s="86">
        <f t="shared" si="1"/>
        <v>475.67681204366778</v>
      </c>
    </row>
    <row r="13" spans="1:7">
      <c r="A13" s="24" t="s">
        <v>292</v>
      </c>
      <c r="B13" s="32">
        <v>103</v>
      </c>
      <c r="C13" s="7">
        <f t="shared" si="0"/>
        <v>3.2127261384903308E-2</v>
      </c>
      <c r="D13" s="84">
        <f t="shared" si="2"/>
        <v>109.36319562611114</v>
      </c>
      <c r="E13" s="41" t="s">
        <v>71</v>
      </c>
      <c r="F13" s="58">
        <f>D13</f>
        <v>109.36319562611114</v>
      </c>
      <c r="G13" s="86">
        <f t="shared" si="1"/>
        <v>109.36319562611114</v>
      </c>
    </row>
    <row r="14" spans="1:7">
      <c r="A14" s="24" t="s">
        <v>293</v>
      </c>
      <c r="B14" s="32">
        <v>103</v>
      </c>
      <c r="C14" s="7">
        <f t="shared" si="0"/>
        <v>3.2127261384903308E-2</v>
      </c>
      <c r="D14" s="84">
        <f t="shared" si="2"/>
        <v>109.36319562611114</v>
      </c>
      <c r="E14" s="41" t="s">
        <v>71</v>
      </c>
      <c r="F14" s="58">
        <f>D14</f>
        <v>109.36319562611114</v>
      </c>
      <c r="G14" s="86">
        <f t="shared" si="1"/>
        <v>109.36319562611114</v>
      </c>
    </row>
    <row r="15" spans="1:7">
      <c r="A15" s="24" t="s">
        <v>218</v>
      </c>
      <c r="B15" s="32">
        <v>308</v>
      </c>
      <c r="C15" s="7">
        <f t="shared" si="0"/>
        <v>9.606986899563319E-2</v>
      </c>
      <c r="D15" s="84">
        <f t="shared" si="2"/>
        <v>327.02780828002165</v>
      </c>
      <c r="E15" s="41" t="s">
        <v>71</v>
      </c>
      <c r="F15" s="58">
        <f>D15</f>
        <v>327.02780828002165</v>
      </c>
      <c r="G15" s="86">
        <f t="shared" si="1"/>
        <v>327.02780828002165</v>
      </c>
    </row>
    <row r="16" spans="1:7">
      <c r="A16" s="3" t="s">
        <v>294</v>
      </c>
      <c r="B16" s="33">
        <f>B11+B12</f>
        <v>920</v>
      </c>
      <c r="C16" s="48">
        <f t="shared" si="0"/>
        <v>0.28696194635059263</v>
      </c>
      <c r="D16" s="83">
        <f t="shared" si="2"/>
        <v>976.83631044681783</v>
      </c>
      <c r="E16" s="51" t="s">
        <v>71</v>
      </c>
      <c r="F16" s="92">
        <f>F11+F12</f>
        <v>976.83631044681783</v>
      </c>
      <c r="G16" s="85">
        <f>F16</f>
        <v>976.83631044681783</v>
      </c>
    </row>
    <row r="17" spans="1:29">
      <c r="A17" s="3" t="s">
        <v>295</v>
      </c>
      <c r="B17" s="33">
        <f>B10+B16</f>
        <v>3206</v>
      </c>
      <c r="C17" s="48">
        <f>B17/$B$17</f>
        <v>1</v>
      </c>
      <c r="D17" s="89">
        <f t="shared" si="2"/>
        <v>3404.0621861874979</v>
      </c>
      <c r="E17" s="51" t="s">
        <v>71</v>
      </c>
      <c r="F17" s="92">
        <f>F10+F16</f>
        <v>3910.0621861874979</v>
      </c>
      <c r="G17" s="85">
        <f>F17</f>
        <v>3910.0621861874979</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3404.0621861874979</v>
      </c>
      <c r="C23" s="8">
        <v>3404.0621861874979</v>
      </c>
      <c r="D23" s="8">
        <v>3404.0621861874979</v>
      </c>
      <c r="E23" s="8">
        <v>3408.2856956076548</v>
      </c>
      <c r="F23" s="8">
        <v>3412.5120001687992</v>
      </c>
      <c r="G23" s="8">
        <v>3416.7411085911654</v>
      </c>
      <c r="H23" s="8">
        <v>3420.9730295665418</v>
      </c>
      <c r="I23" s="8">
        <v>3425.2077717584516</v>
      </c>
      <c r="J23" s="8">
        <v>3425.2077717584516</v>
      </c>
      <c r="K23" s="8">
        <v>3425.2077717584516</v>
      </c>
      <c r="L23" s="8">
        <v>3425.2077717584516</v>
      </c>
      <c r="M23" s="8">
        <v>3425.2077717584516</v>
      </c>
      <c r="N23" s="8">
        <v>3425.2077717584516</v>
      </c>
      <c r="O23" s="8">
        <v>3425.2077717584516</v>
      </c>
      <c r="P23" s="8">
        <v>3425.2077717584516</v>
      </c>
      <c r="Q23" s="8">
        <v>3425.2077717584516</v>
      </c>
      <c r="R23" s="8">
        <v>3425.2077717584516</v>
      </c>
      <c r="S23" s="8">
        <v>3425.2077717584516</v>
      </c>
      <c r="T23" s="8">
        <v>3425.2077717584516</v>
      </c>
      <c r="U23" s="8">
        <v>3425.2077717584516</v>
      </c>
      <c r="V23" s="8">
        <v>3425.2077717584516</v>
      </c>
      <c r="W23" s="8">
        <v>3425.2077717584516</v>
      </c>
      <c r="X23" s="8">
        <v>3425.2077717584516</v>
      </c>
      <c r="Y23" s="8">
        <v>3425.2077717584516</v>
      </c>
      <c r="Z23" s="8">
        <v>3425.2077717584516</v>
      </c>
      <c r="AA23" s="8">
        <v>3425.2077717584516</v>
      </c>
      <c r="AB23" s="8">
        <v>3425.2077717584516</v>
      </c>
      <c r="AC23" s="8">
        <v>3425.2077717584516</v>
      </c>
    </row>
    <row r="24" spans="1:29">
      <c r="A24" t="s">
        <v>223</v>
      </c>
      <c r="B24" s="15" t="s">
        <v>71</v>
      </c>
      <c r="C24" s="14">
        <f>1-(C23/B23)</f>
        <v>0</v>
      </c>
      <c r="D24" s="14">
        <f t="shared" ref="D24:AC24" si="3">1-(D23/C23)</f>
        <v>0</v>
      </c>
      <c r="E24" s="14">
        <f t="shared" si="3"/>
        <v>-1.2407262820564036E-3</v>
      </c>
      <c r="F24" s="14">
        <f t="shared" si="3"/>
        <v>-1.2400088896864503E-3</v>
      </c>
      <c r="G24" s="14">
        <f t="shared" si="3"/>
        <v>-1.2392948133683745E-3</v>
      </c>
      <c r="H24" s="14">
        <f t="shared" si="3"/>
        <v>-1.238584031062695E-3</v>
      </c>
      <c r="I24" s="14">
        <f t="shared" si="3"/>
        <v>-1.2378765208933551E-3</v>
      </c>
      <c r="J24" s="14">
        <f t="shared" si="3"/>
        <v>0</v>
      </c>
      <c r="K24" s="14">
        <f t="shared" si="3"/>
        <v>0</v>
      </c>
      <c r="L24" s="14">
        <f t="shared" si="3"/>
        <v>0</v>
      </c>
      <c r="M24" s="14">
        <f t="shared" si="3"/>
        <v>0</v>
      </c>
      <c r="N24" s="14">
        <f t="shared" si="3"/>
        <v>0</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0</v>
      </c>
      <c r="AB24" s="14">
        <f t="shared" si="3"/>
        <v>0</v>
      </c>
      <c r="AC24" s="14">
        <f t="shared" si="3"/>
        <v>0</v>
      </c>
    </row>
    <row r="25" spans="1:29">
      <c r="A25" t="s">
        <v>224</v>
      </c>
      <c r="B25" s="95">
        <f>G17</f>
        <v>3910.0621861874979</v>
      </c>
      <c r="C25" s="8">
        <f>B25-B25*C24</f>
        <v>3910.0621861874979</v>
      </c>
      <c r="D25" s="8">
        <f>C25-C25*D24</f>
        <v>3910.0621861874979</v>
      </c>
      <c r="E25" s="8">
        <f t="shared" ref="E25" si="4">D25-D25*E24</f>
        <v>3914.9135031063756</v>
      </c>
      <c r="F25" s="8">
        <f t="shared" ref="F25" si="5">E25-E25*F24</f>
        <v>3919.7680306525813</v>
      </c>
      <c r="G25" s="8">
        <f t="shared" ref="G25" si="6">F25-F25*G24</f>
        <v>3924.625778842576</v>
      </c>
      <c r="H25" s="8">
        <f t="shared" ref="H25" si="7">G25-G25*H24</f>
        <v>3929.4867576601473</v>
      </c>
      <c r="I25" s="8">
        <f t="shared" ref="I25" si="8">H25-H25*I24</f>
        <v>3934.3509770566161</v>
      </c>
      <c r="J25" s="8">
        <f t="shared" ref="J25" si="9">I25-I25*J24</f>
        <v>3934.3509770566161</v>
      </c>
      <c r="K25" s="8">
        <f t="shared" ref="K25" si="10">J25-J25*K24</f>
        <v>3934.3509770566161</v>
      </c>
      <c r="L25" s="8">
        <f t="shared" ref="L25" si="11">K25-K25*L24</f>
        <v>3934.3509770566161</v>
      </c>
      <c r="M25" s="8">
        <f t="shared" ref="M25" si="12">L25-L25*M24</f>
        <v>3934.3509770566161</v>
      </c>
      <c r="N25" s="8">
        <f t="shared" ref="N25" si="13">M25-M25*N24</f>
        <v>3934.3509770566161</v>
      </c>
      <c r="O25" s="8">
        <f t="shared" ref="O25" si="14">N25-N25*O24</f>
        <v>3934.3509770566161</v>
      </c>
      <c r="P25" s="8">
        <f t="shared" ref="P25" si="15">O25-O25*P24</f>
        <v>3934.3509770566161</v>
      </c>
      <c r="Q25" s="8">
        <f t="shared" ref="Q25" si="16">P25-P25*Q24</f>
        <v>3934.3509770566161</v>
      </c>
      <c r="R25" s="8">
        <f t="shared" ref="R25" si="17">Q25-Q25*R24</f>
        <v>3934.3509770566161</v>
      </c>
      <c r="S25" s="8">
        <f t="shared" ref="S25" si="18">R25-R25*S24</f>
        <v>3934.3509770566161</v>
      </c>
      <c r="T25" s="8">
        <f t="shared" ref="T25" si="19">S25-S25*T24</f>
        <v>3934.3509770566161</v>
      </c>
      <c r="U25" s="8">
        <f t="shared" ref="U25" si="20">T25-T25*U24</f>
        <v>3934.3509770566161</v>
      </c>
      <c r="V25" s="8">
        <f t="shared" ref="V25" si="21">U25-U25*V24</f>
        <v>3934.3509770566161</v>
      </c>
      <c r="W25" s="8">
        <f t="shared" ref="W25" si="22">V25-V25*W24</f>
        <v>3934.3509770566161</v>
      </c>
      <c r="X25" s="8">
        <f t="shared" ref="X25" si="23">W25-W25*X24</f>
        <v>3934.3509770566161</v>
      </c>
      <c r="Y25" s="8">
        <f t="shared" ref="Y25" si="24">X25-X25*Y24</f>
        <v>3934.3509770566161</v>
      </c>
      <c r="Z25" s="8">
        <f t="shared" ref="Z25" si="25">Y25-Y25*Z24</f>
        <v>3934.3509770566161</v>
      </c>
      <c r="AA25" s="8">
        <f t="shared" ref="AA25" si="26">Z25-Z25*AA24</f>
        <v>3934.3509770566161</v>
      </c>
      <c r="AB25" s="8">
        <f t="shared" ref="AB25" si="27">AA25-AA25*AB24</f>
        <v>3934.3509770566161</v>
      </c>
      <c r="AC25" s="8">
        <f t="shared" ref="AC25" si="28">AB25-AB25*AC24</f>
        <v>3934.3509770566161</v>
      </c>
    </row>
  </sheetData>
  <mergeCells count="3">
    <mergeCell ref="A19:B20"/>
    <mergeCell ref="A1:C1"/>
    <mergeCell ref="E1:F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25"/>
  <sheetViews>
    <sheetView workbookViewId="0">
      <selection sqref="A1:C1"/>
    </sheetView>
  </sheetViews>
  <sheetFormatPr defaultRowHeight="15"/>
  <cols>
    <col min="1" max="1" width="36.28515625" bestFit="1" customWidth="1"/>
    <col min="2" max="2" width="9.140625" bestFit="1" customWidth="1"/>
    <col min="3" max="3" width="11.42578125" customWidth="1"/>
    <col min="4" max="4" width="11.5703125" customWidth="1"/>
    <col min="5" max="5" width="13.7109375" customWidth="1"/>
    <col min="6" max="6" width="10.28515625" customWidth="1"/>
    <col min="7" max="7" width="11" customWidth="1"/>
    <col min="8" max="8" width="12.28515625" customWidth="1"/>
    <col min="10" max="11" width="11.5703125" bestFit="1" customWidth="1"/>
    <col min="12" max="12" width="12.7109375" customWidth="1"/>
  </cols>
  <sheetData>
    <row r="1" spans="1:7">
      <c r="A1" s="228" t="s">
        <v>192</v>
      </c>
      <c r="B1" s="229"/>
      <c r="C1" s="229"/>
      <c r="E1" s="229" t="s">
        <v>193</v>
      </c>
      <c r="F1" s="229"/>
    </row>
    <row r="2" spans="1:7" ht="58.15" customHeight="1">
      <c r="A2" s="1"/>
      <c r="B2" s="4" t="s">
        <v>194</v>
      </c>
      <c r="C2" s="25" t="s">
        <v>195</v>
      </c>
      <c r="D2" s="44" t="s">
        <v>196</v>
      </c>
      <c r="E2" s="54" t="s">
        <v>197</v>
      </c>
      <c r="F2" s="57" t="s">
        <v>198</v>
      </c>
      <c r="G2" s="26" t="s">
        <v>199</v>
      </c>
    </row>
    <row r="3" spans="1:7">
      <c r="A3" t="s">
        <v>283</v>
      </c>
      <c r="B3">
        <v>500</v>
      </c>
      <c r="D3" s="34"/>
      <c r="E3" s="47"/>
      <c r="F3" s="34"/>
    </row>
    <row r="4" spans="1:7">
      <c r="A4" t="s">
        <v>284</v>
      </c>
      <c r="B4">
        <v>10</v>
      </c>
      <c r="D4" s="34"/>
      <c r="E4" s="47"/>
      <c r="F4" s="34"/>
    </row>
    <row r="5" spans="1:7">
      <c r="A5" s="3" t="s">
        <v>269</v>
      </c>
      <c r="B5" s="9" t="s">
        <v>124</v>
      </c>
      <c r="C5" s="5" t="s">
        <v>202</v>
      </c>
      <c r="D5" s="68" t="s">
        <v>124</v>
      </c>
      <c r="E5" s="61" t="s">
        <v>203</v>
      </c>
      <c r="F5" s="68" t="s">
        <v>124</v>
      </c>
      <c r="G5" s="69" t="s">
        <v>124</v>
      </c>
    </row>
    <row r="6" spans="1:7">
      <c r="A6" s="1" t="s">
        <v>285</v>
      </c>
      <c r="B6" s="30">
        <v>1016</v>
      </c>
      <c r="C6" s="7">
        <f t="shared" ref="C6:C16" si="0">B6/$B$17</f>
        <v>0.3169058016219588</v>
      </c>
      <c r="D6" s="84">
        <f>$B$23*C6</f>
        <v>1078.7670558847467</v>
      </c>
      <c r="E6" s="41" t="s">
        <v>71</v>
      </c>
      <c r="F6" s="58">
        <f>D6</f>
        <v>1078.7670558847467</v>
      </c>
      <c r="G6" s="86">
        <f t="shared" ref="G6:G15" si="1">F6</f>
        <v>1078.7670558847467</v>
      </c>
    </row>
    <row r="7" spans="1:7">
      <c r="A7" s="1" t="s">
        <v>286</v>
      </c>
      <c r="B7" s="30">
        <v>163</v>
      </c>
      <c r="C7" s="7">
        <f t="shared" si="0"/>
        <v>5.0842170929507172E-2</v>
      </c>
      <c r="D7" s="84">
        <f t="shared" ref="D7:D17" si="2">$B$23*C7</f>
        <v>173.06991152481663</v>
      </c>
      <c r="E7" s="41" t="s">
        <v>71</v>
      </c>
      <c r="F7" s="58">
        <f>D7</f>
        <v>173.06991152481663</v>
      </c>
      <c r="G7" s="86">
        <f t="shared" si="1"/>
        <v>173.06991152481663</v>
      </c>
    </row>
    <row r="8" spans="1:7">
      <c r="A8" s="1" t="s">
        <v>287</v>
      </c>
      <c r="B8" s="30">
        <v>97</v>
      </c>
      <c r="C8" s="7">
        <f t="shared" si="0"/>
        <v>3.0255770430442919E-2</v>
      </c>
      <c r="D8" s="84">
        <f t="shared" si="2"/>
        <v>102.99252403624058</v>
      </c>
      <c r="E8" s="41" t="s">
        <v>71</v>
      </c>
      <c r="F8" s="58">
        <f>D8</f>
        <v>102.99252403624058</v>
      </c>
      <c r="G8" s="86">
        <f t="shared" si="1"/>
        <v>102.99252403624058</v>
      </c>
    </row>
    <row r="9" spans="1:7">
      <c r="A9" s="1" t="s">
        <v>288</v>
      </c>
      <c r="B9" s="30">
        <v>1010</v>
      </c>
      <c r="C9" s="7">
        <f t="shared" si="0"/>
        <v>0.31503431066749843</v>
      </c>
      <c r="D9" s="84">
        <f t="shared" si="2"/>
        <v>1072.396384294876</v>
      </c>
      <c r="E9" s="172">
        <f>'Spur Line Assumptions'!H16</f>
        <v>197.99999999999997</v>
      </c>
      <c r="F9" s="58">
        <f>D9+E9</f>
        <v>1270.396384294876</v>
      </c>
      <c r="G9" s="86">
        <f t="shared" si="1"/>
        <v>1270.396384294876</v>
      </c>
    </row>
    <row r="10" spans="1:7">
      <c r="A10" s="1" t="s">
        <v>289</v>
      </c>
      <c r="B10" s="31">
        <f>SUM(B6:B9)</f>
        <v>2286</v>
      </c>
      <c r="C10" s="7">
        <f t="shared" si="0"/>
        <v>0.71303805364940731</v>
      </c>
      <c r="D10" s="84">
        <f t="shared" si="2"/>
        <v>2427.2258757406798</v>
      </c>
      <c r="E10" s="41" t="s">
        <v>71</v>
      </c>
      <c r="F10" s="58">
        <f>SUM(F6:F9)</f>
        <v>2625.2258757406798</v>
      </c>
      <c r="G10" s="86">
        <f t="shared" si="1"/>
        <v>2625.2258757406798</v>
      </c>
    </row>
    <row r="11" spans="1:7">
      <c r="A11" s="1" t="s">
        <v>290</v>
      </c>
      <c r="B11" s="30">
        <v>472</v>
      </c>
      <c r="C11" s="7">
        <f t="shared" si="0"/>
        <v>0.1472239550842171</v>
      </c>
      <c r="D11" s="84">
        <f t="shared" si="2"/>
        <v>501.15949840315005</v>
      </c>
      <c r="E11" s="41" t="s">
        <v>71</v>
      </c>
      <c r="F11" s="58">
        <f>D11</f>
        <v>501.15949840315005</v>
      </c>
      <c r="G11" s="86">
        <f t="shared" si="1"/>
        <v>501.15949840315005</v>
      </c>
    </row>
    <row r="12" spans="1:7">
      <c r="A12" s="1" t="s">
        <v>291</v>
      </c>
      <c r="B12" s="30">
        <v>448</v>
      </c>
      <c r="C12" s="7">
        <f t="shared" si="0"/>
        <v>0.13973799126637554</v>
      </c>
      <c r="D12" s="84">
        <f t="shared" si="2"/>
        <v>475.67681204366778</v>
      </c>
      <c r="E12" s="41" t="s">
        <v>71</v>
      </c>
      <c r="F12" s="58">
        <f>D12</f>
        <v>475.67681204366778</v>
      </c>
      <c r="G12" s="86">
        <f t="shared" si="1"/>
        <v>475.67681204366778</v>
      </c>
    </row>
    <row r="13" spans="1:7">
      <c r="A13" s="24" t="s">
        <v>292</v>
      </c>
      <c r="B13" s="32">
        <v>103</v>
      </c>
      <c r="C13" s="7">
        <f t="shared" si="0"/>
        <v>3.2127261384903308E-2</v>
      </c>
      <c r="D13" s="84">
        <f t="shared" si="2"/>
        <v>109.36319562611114</v>
      </c>
      <c r="E13" s="41" t="s">
        <v>71</v>
      </c>
      <c r="F13" s="58">
        <f>D13</f>
        <v>109.36319562611114</v>
      </c>
      <c r="G13" s="86">
        <f t="shared" si="1"/>
        <v>109.36319562611114</v>
      </c>
    </row>
    <row r="14" spans="1:7">
      <c r="A14" s="24" t="s">
        <v>293</v>
      </c>
      <c r="B14" s="32">
        <v>103</v>
      </c>
      <c r="C14" s="7">
        <f t="shared" si="0"/>
        <v>3.2127261384903308E-2</v>
      </c>
      <c r="D14" s="84">
        <f t="shared" si="2"/>
        <v>109.36319562611114</v>
      </c>
      <c r="E14" s="41" t="s">
        <v>71</v>
      </c>
      <c r="F14" s="58">
        <f>D14</f>
        <v>109.36319562611114</v>
      </c>
      <c r="G14" s="86">
        <f t="shared" si="1"/>
        <v>109.36319562611114</v>
      </c>
    </row>
    <row r="15" spans="1:7">
      <c r="A15" s="24" t="s">
        <v>218</v>
      </c>
      <c r="B15" s="32">
        <v>308</v>
      </c>
      <c r="C15" s="7">
        <f t="shared" si="0"/>
        <v>9.606986899563319E-2</v>
      </c>
      <c r="D15" s="84">
        <f t="shared" si="2"/>
        <v>327.02780828002165</v>
      </c>
      <c r="E15" s="41" t="s">
        <v>71</v>
      </c>
      <c r="F15" s="58">
        <f>D15</f>
        <v>327.02780828002165</v>
      </c>
      <c r="G15" s="86">
        <f t="shared" si="1"/>
        <v>327.02780828002165</v>
      </c>
    </row>
    <row r="16" spans="1:7">
      <c r="A16" s="3" t="s">
        <v>294</v>
      </c>
      <c r="B16" s="33">
        <f>B11+B12</f>
        <v>920</v>
      </c>
      <c r="C16" s="48">
        <f t="shared" si="0"/>
        <v>0.28696194635059263</v>
      </c>
      <c r="D16" s="83">
        <f t="shared" si="2"/>
        <v>976.83631044681783</v>
      </c>
      <c r="E16" s="51" t="s">
        <v>71</v>
      </c>
      <c r="F16" s="92">
        <f>F11+F12</f>
        <v>976.83631044681783</v>
      </c>
      <c r="G16" s="85">
        <f>F16</f>
        <v>976.83631044681783</v>
      </c>
    </row>
    <row r="17" spans="1:29">
      <c r="A17" s="3" t="s">
        <v>295</v>
      </c>
      <c r="B17" s="33">
        <f>B10+B16</f>
        <v>3206</v>
      </c>
      <c r="C17" s="48">
        <f>B17/$B$17</f>
        <v>1</v>
      </c>
      <c r="D17" s="89">
        <f t="shared" si="2"/>
        <v>3404.0621861874979</v>
      </c>
      <c r="E17" s="51" t="s">
        <v>71</v>
      </c>
      <c r="F17" s="92">
        <f>F10+F16</f>
        <v>3602.0621861874979</v>
      </c>
      <c r="G17" s="85">
        <f>F17</f>
        <v>3602.0621861874979</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258</v>
      </c>
      <c r="B23" s="8">
        <v>3404.0621861874979</v>
      </c>
      <c r="C23" s="8">
        <v>3404.0621861874979</v>
      </c>
      <c r="D23" s="8">
        <v>3404.0621861874979</v>
      </c>
      <c r="E23" s="8">
        <v>3408.2856956076548</v>
      </c>
      <c r="F23" s="8">
        <v>3412.5120001687992</v>
      </c>
      <c r="G23" s="8">
        <v>3416.7411085911654</v>
      </c>
      <c r="H23" s="8">
        <v>3420.9730295665418</v>
      </c>
      <c r="I23" s="8">
        <v>3425.2077717584516</v>
      </c>
      <c r="J23" s="8">
        <v>3425.2077717584516</v>
      </c>
      <c r="K23" s="8">
        <v>3425.2077717584516</v>
      </c>
      <c r="L23" s="8">
        <v>3425.2077717584516</v>
      </c>
      <c r="M23" s="8">
        <v>3425.2077717584516</v>
      </c>
      <c r="N23" s="8">
        <v>3425.2077717584516</v>
      </c>
      <c r="O23" s="8">
        <v>3425.2077717584516</v>
      </c>
      <c r="P23" s="8">
        <v>3425.2077717584516</v>
      </c>
      <c r="Q23" s="8">
        <v>3425.2077717584516</v>
      </c>
      <c r="R23" s="8">
        <v>3425.2077717584516</v>
      </c>
      <c r="S23" s="8">
        <v>3425.2077717584516</v>
      </c>
      <c r="T23" s="8">
        <v>3425.2077717584516</v>
      </c>
      <c r="U23" s="8">
        <v>3425.2077717584516</v>
      </c>
      <c r="V23" s="8">
        <v>3425.2077717584516</v>
      </c>
      <c r="W23" s="8">
        <v>3425.2077717584516</v>
      </c>
      <c r="X23" s="8">
        <v>3425.2077717584516</v>
      </c>
      <c r="Y23" s="8">
        <v>3425.2077717584516</v>
      </c>
      <c r="Z23" s="8">
        <v>3425.2077717584516</v>
      </c>
      <c r="AA23" s="8">
        <v>3425.2077717584516</v>
      </c>
      <c r="AB23" s="8">
        <v>3425.2077717584516</v>
      </c>
      <c r="AC23" s="8">
        <v>3425.2077717584516</v>
      </c>
    </row>
    <row r="24" spans="1:29">
      <c r="A24" t="s">
        <v>223</v>
      </c>
      <c r="B24" s="15" t="s">
        <v>71</v>
      </c>
      <c r="C24" s="14">
        <f>1-(C23/B23)</f>
        <v>0</v>
      </c>
      <c r="D24" s="14">
        <f t="shared" ref="D24:AC24" si="3">1-(D23/C23)</f>
        <v>0</v>
      </c>
      <c r="E24" s="14">
        <f t="shared" si="3"/>
        <v>-1.2407262820564036E-3</v>
      </c>
      <c r="F24" s="14">
        <f t="shared" si="3"/>
        <v>-1.2400088896864503E-3</v>
      </c>
      <c r="G24" s="14">
        <f t="shared" si="3"/>
        <v>-1.2392948133683745E-3</v>
      </c>
      <c r="H24" s="14">
        <f t="shared" si="3"/>
        <v>-1.238584031062695E-3</v>
      </c>
      <c r="I24" s="14">
        <f t="shared" si="3"/>
        <v>-1.2378765208933551E-3</v>
      </c>
      <c r="J24" s="14">
        <f t="shared" si="3"/>
        <v>0</v>
      </c>
      <c r="K24" s="14">
        <f t="shared" si="3"/>
        <v>0</v>
      </c>
      <c r="L24" s="14">
        <f t="shared" si="3"/>
        <v>0</v>
      </c>
      <c r="M24" s="14">
        <f t="shared" si="3"/>
        <v>0</v>
      </c>
      <c r="N24" s="14">
        <f t="shared" si="3"/>
        <v>0</v>
      </c>
      <c r="O24" s="14">
        <f t="shared" si="3"/>
        <v>0</v>
      </c>
      <c r="P24" s="14">
        <f t="shared" si="3"/>
        <v>0</v>
      </c>
      <c r="Q24" s="14">
        <f t="shared" si="3"/>
        <v>0</v>
      </c>
      <c r="R24" s="14">
        <f t="shared" si="3"/>
        <v>0</v>
      </c>
      <c r="S24" s="14">
        <f t="shared" si="3"/>
        <v>0</v>
      </c>
      <c r="T24" s="14">
        <f t="shared" si="3"/>
        <v>0</v>
      </c>
      <c r="U24" s="14">
        <f t="shared" si="3"/>
        <v>0</v>
      </c>
      <c r="V24" s="14">
        <f t="shared" si="3"/>
        <v>0</v>
      </c>
      <c r="W24" s="14">
        <f t="shared" si="3"/>
        <v>0</v>
      </c>
      <c r="X24" s="14">
        <f t="shared" si="3"/>
        <v>0</v>
      </c>
      <c r="Y24" s="14">
        <f t="shared" si="3"/>
        <v>0</v>
      </c>
      <c r="Z24" s="14">
        <f t="shared" si="3"/>
        <v>0</v>
      </c>
      <c r="AA24" s="14">
        <f t="shared" si="3"/>
        <v>0</v>
      </c>
      <c r="AB24" s="14">
        <f t="shared" si="3"/>
        <v>0</v>
      </c>
      <c r="AC24" s="14">
        <f t="shared" si="3"/>
        <v>0</v>
      </c>
    </row>
    <row r="25" spans="1:29">
      <c r="A25" t="s">
        <v>224</v>
      </c>
      <c r="B25" s="95">
        <f>G17</f>
        <v>3602.0621861874979</v>
      </c>
      <c r="C25" s="8">
        <f>B25-B25*C24</f>
        <v>3602.0621861874979</v>
      </c>
      <c r="D25" s="8">
        <f>C25-C25*D24</f>
        <v>3602.0621861874979</v>
      </c>
      <c r="E25" s="8">
        <f t="shared" ref="E25:AC25" si="4">D25-D25*E24</f>
        <v>3606.5313594115023</v>
      </c>
      <c r="F25" s="8">
        <f t="shared" si="4"/>
        <v>3611.0034903581054</v>
      </c>
      <c r="G25" s="8">
        <f t="shared" si="4"/>
        <v>3615.4785882547612</v>
      </c>
      <c r="H25" s="8">
        <f t="shared" si="4"/>
        <v>3619.9566622988227</v>
      </c>
      <c r="I25" s="8">
        <f t="shared" si="4"/>
        <v>3624.4377216577341</v>
      </c>
      <c r="J25" s="8">
        <f t="shared" si="4"/>
        <v>3624.4377216577341</v>
      </c>
      <c r="K25" s="8">
        <f t="shared" si="4"/>
        <v>3624.4377216577341</v>
      </c>
      <c r="L25" s="8">
        <f t="shared" si="4"/>
        <v>3624.4377216577341</v>
      </c>
      <c r="M25" s="8">
        <f t="shared" si="4"/>
        <v>3624.4377216577341</v>
      </c>
      <c r="N25" s="8">
        <f t="shared" si="4"/>
        <v>3624.4377216577341</v>
      </c>
      <c r="O25" s="8">
        <f t="shared" si="4"/>
        <v>3624.4377216577341</v>
      </c>
      <c r="P25" s="8">
        <f t="shared" si="4"/>
        <v>3624.4377216577341</v>
      </c>
      <c r="Q25" s="8">
        <f t="shared" si="4"/>
        <v>3624.4377216577341</v>
      </c>
      <c r="R25" s="8">
        <f t="shared" si="4"/>
        <v>3624.4377216577341</v>
      </c>
      <c r="S25" s="8">
        <f t="shared" si="4"/>
        <v>3624.4377216577341</v>
      </c>
      <c r="T25" s="8">
        <f t="shared" si="4"/>
        <v>3624.4377216577341</v>
      </c>
      <c r="U25" s="8">
        <f t="shared" si="4"/>
        <v>3624.4377216577341</v>
      </c>
      <c r="V25" s="8">
        <f t="shared" si="4"/>
        <v>3624.4377216577341</v>
      </c>
      <c r="W25" s="8">
        <f t="shared" si="4"/>
        <v>3624.4377216577341</v>
      </c>
      <c r="X25" s="8">
        <f t="shared" si="4"/>
        <v>3624.4377216577341</v>
      </c>
      <c r="Y25" s="8">
        <f t="shared" si="4"/>
        <v>3624.4377216577341</v>
      </c>
      <c r="Z25" s="8">
        <f t="shared" si="4"/>
        <v>3624.4377216577341</v>
      </c>
      <c r="AA25" s="8">
        <f t="shared" si="4"/>
        <v>3624.4377216577341</v>
      </c>
      <c r="AB25" s="8">
        <f t="shared" si="4"/>
        <v>3624.4377216577341</v>
      </c>
      <c r="AC25" s="8">
        <f t="shared" si="4"/>
        <v>3624.4377216577341</v>
      </c>
    </row>
  </sheetData>
  <mergeCells count="3">
    <mergeCell ref="A1:C1"/>
    <mergeCell ref="E1:F1"/>
    <mergeCell ref="A19:B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workbookViewId="0"/>
  </sheetViews>
  <sheetFormatPr defaultRowHeight="15"/>
  <cols>
    <col min="1" max="1" width="27.28515625" bestFit="1" customWidth="1"/>
    <col min="2" max="2" width="29.140625" bestFit="1" customWidth="1"/>
  </cols>
  <sheetData>
    <row r="1" spans="1:2" ht="21">
      <c r="A1" s="145" t="s">
        <v>28</v>
      </c>
    </row>
    <row r="3" spans="1:2">
      <c r="A3" s="18" t="s">
        <v>29</v>
      </c>
    </row>
    <row r="4" spans="1:2" ht="17.25">
      <c r="A4" s="138" t="s">
        <v>30</v>
      </c>
      <c r="B4" s="138" t="s">
        <v>31</v>
      </c>
    </row>
    <row r="5" spans="1:2">
      <c r="A5" s="124" t="s">
        <v>32</v>
      </c>
      <c r="B5" s="137">
        <v>30</v>
      </c>
    </row>
    <row r="6" spans="1:2">
      <c r="A6" s="124" t="s">
        <v>33</v>
      </c>
      <c r="B6" s="137">
        <v>30</v>
      </c>
    </row>
    <row r="7" spans="1:2">
      <c r="A7" s="124" t="s">
        <v>34</v>
      </c>
      <c r="B7" s="137">
        <v>30</v>
      </c>
    </row>
    <row r="8" spans="1:2">
      <c r="A8" s="124" t="s">
        <v>35</v>
      </c>
      <c r="B8" s="137">
        <v>30</v>
      </c>
    </row>
    <row r="9" spans="1:2">
      <c r="A9" s="124" t="s">
        <v>36</v>
      </c>
      <c r="B9" s="137">
        <v>30</v>
      </c>
    </row>
    <row r="10" spans="1:2">
      <c r="A10" s="124" t="s">
        <v>37</v>
      </c>
      <c r="B10" s="137">
        <v>30</v>
      </c>
    </row>
    <row r="11" spans="1:2">
      <c r="A11" s="124" t="s">
        <v>38</v>
      </c>
      <c r="B11" s="137">
        <v>30</v>
      </c>
    </row>
    <row r="12" spans="1:2">
      <c r="A12" s="124" t="s">
        <v>39</v>
      </c>
      <c r="B12" s="137">
        <v>30</v>
      </c>
    </row>
    <row r="13" spans="1:2">
      <c r="A13" s="124" t="s">
        <v>40</v>
      </c>
      <c r="B13" s="137">
        <v>30</v>
      </c>
    </row>
    <row r="14" spans="1:2" ht="17.25">
      <c r="A14" s="124" t="s">
        <v>41</v>
      </c>
      <c r="B14" s="137">
        <v>40</v>
      </c>
    </row>
    <row r="15" spans="1:2" ht="17.25">
      <c r="A15" s="124" t="s">
        <v>42</v>
      </c>
      <c r="B15" s="137">
        <v>40</v>
      </c>
    </row>
    <row r="16" spans="1:2">
      <c r="A16" s="124" t="s">
        <v>43</v>
      </c>
      <c r="B16" s="137">
        <v>30</v>
      </c>
    </row>
    <row r="17" spans="1:2">
      <c r="A17" s="124" t="s">
        <v>44</v>
      </c>
      <c r="B17" s="137">
        <v>30</v>
      </c>
    </row>
    <row r="18" spans="1:2">
      <c r="A18" s="124" t="s">
        <v>45</v>
      </c>
      <c r="B18" s="137">
        <v>30</v>
      </c>
    </row>
    <row r="19" spans="1:2">
      <c r="A19" s="124" t="s">
        <v>46</v>
      </c>
      <c r="B19" s="137">
        <v>30</v>
      </c>
    </row>
    <row r="20" spans="1:2">
      <c r="A20" s="124" t="s">
        <v>47</v>
      </c>
      <c r="B20" s="137">
        <v>30</v>
      </c>
    </row>
    <row r="21" spans="1:2">
      <c r="A21" s="124" t="s">
        <v>48</v>
      </c>
      <c r="B21" s="137">
        <v>30</v>
      </c>
    </row>
    <row r="22" spans="1:2">
      <c r="A22" s="124" t="s">
        <v>49</v>
      </c>
      <c r="B22" s="137">
        <v>30</v>
      </c>
    </row>
    <row r="23" spans="1:2">
      <c r="A23" s="124" t="s">
        <v>50</v>
      </c>
      <c r="B23" s="137">
        <v>30</v>
      </c>
    </row>
    <row r="24" spans="1:2">
      <c r="A24" s="124" t="s">
        <v>51</v>
      </c>
      <c r="B24" s="137">
        <v>30</v>
      </c>
    </row>
    <row r="25" spans="1:2">
      <c r="A25" s="124" t="s">
        <v>52</v>
      </c>
      <c r="B25" s="137">
        <v>30</v>
      </c>
    </row>
    <row r="26" spans="1:2">
      <c r="A26" s="124" t="s">
        <v>53</v>
      </c>
      <c r="B26" s="137">
        <v>30</v>
      </c>
    </row>
    <row r="27" spans="1:2">
      <c r="A27" s="139" t="s">
        <v>54</v>
      </c>
    </row>
    <row r="28" spans="1:2">
      <c r="A28" s="133" t="s">
        <v>55</v>
      </c>
    </row>
    <row r="29" spans="1:2">
      <c r="A29" s="140" t="s">
        <v>56</v>
      </c>
    </row>
    <row r="30" spans="1:2">
      <c r="A30" s="140"/>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F39"/>
  <sheetViews>
    <sheetView workbookViewId="0">
      <selection activeCell="J9" sqref="J9"/>
    </sheetView>
  </sheetViews>
  <sheetFormatPr defaultRowHeight="15"/>
  <cols>
    <col min="1" max="1" width="28.140625" bestFit="1" customWidth="1"/>
    <col min="2" max="2" width="11" bestFit="1" customWidth="1"/>
    <col min="3" max="4" width="10.42578125" customWidth="1"/>
    <col min="5" max="5" width="11" customWidth="1"/>
    <col min="6" max="6" width="10.42578125" customWidth="1"/>
    <col min="7" max="7" width="11.28515625" customWidth="1"/>
    <col min="8" max="9" width="10.7109375" customWidth="1"/>
    <col min="10" max="10" width="24.85546875" customWidth="1"/>
    <col min="11" max="11" width="14.28515625" customWidth="1"/>
    <col min="12" max="12" width="12.7109375" customWidth="1"/>
    <col min="13" max="13" width="10" customWidth="1"/>
    <col min="14" max="16" width="10.7109375" customWidth="1"/>
    <col min="17" max="18" width="12.28515625" bestFit="1" customWidth="1"/>
    <col min="19" max="19" width="12.28515625" customWidth="1"/>
    <col min="20" max="20" width="12.28515625" bestFit="1" customWidth="1"/>
    <col min="21" max="21" width="23.5703125" customWidth="1"/>
    <col min="22" max="23" width="12.28515625" bestFit="1" customWidth="1"/>
    <col min="24" max="24" width="10.5703125" bestFit="1" customWidth="1"/>
    <col min="25" max="25" width="11.42578125" customWidth="1"/>
    <col min="26" max="26" width="13" customWidth="1"/>
    <col min="27" max="27" width="13.7109375" customWidth="1"/>
    <col min="28" max="28" width="12.28515625" bestFit="1" customWidth="1"/>
    <col min="29" max="29" width="13.28515625" customWidth="1"/>
    <col min="30" max="30" width="11.28515625" customWidth="1"/>
    <col min="31" max="31" width="12.28515625" bestFit="1" customWidth="1"/>
    <col min="32" max="32" width="23" customWidth="1"/>
    <col min="33" max="37" width="10.5703125" bestFit="1" customWidth="1"/>
    <col min="38" max="38" width="11.28515625" customWidth="1"/>
    <col min="39" max="40" width="10.5703125" bestFit="1" customWidth="1"/>
    <col min="42" max="42" width="27.7109375" customWidth="1"/>
  </cols>
  <sheetData>
    <row r="1" spans="1:32">
      <c r="A1" s="228" t="s">
        <v>296</v>
      </c>
      <c r="B1" s="229"/>
      <c r="C1" s="229"/>
      <c r="D1" s="4"/>
      <c r="E1" s="229" t="s">
        <v>193</v>
      </c>
      <c r="F1" s="229"/>
      <c r="G1" s="229"/>
      <c r="H1" s="229"/>
      <c r="K1" s="1" t="s">
        <v>297</v>
      </c>
      <c r="P1" s="229" t="s">
        <v>193</v>
      </c>
      <c r="Q1" s="229"/>
      <c r="R1" s="229"/>
      <c r="S1" s="229"/>
      <c r="V1" s="1" t="s">
        <v>298</v>
      </c>
      <c r="AA1" s="229" t="s">
        <v>193</v>
      </c>
      <c r="AB1" s="229"/>
      <c r="AC1" s="229"/>
      <c r="AD1" s="229"/>
    </row>
    <row r="2" spans="1:32" ht="90">
      <c r="A2" s="1"/>
      <c r="B2" s="4" t="s">
        <v>194</v>
      </c>
      <c r="C2" s="6" t="s">
        <v>195</v>
      </c>
      <c r="D2" s="44" t="s">
        <v>196</v>
      </c>
      <c r="E2" s="46" t="s">
        <v>299</v>
      </c>
      <c r="F2" s="44" t="s">
        <v>198</v>
      </c>
      <c r="G2" s="46" t="s">
        <v>300</v>
      </c>
      <c r="H2" s="44" t="s">
        <v>301</v>
      </c>
      <c r="I2" s="17" t="s">
        <v>199</v>
      </c>
      <c r="J2" s="18" t="s">
        <v>54</v>
      </c>
      <c r="K2" s="228"/>
      <c r="L2" s="229"/>
      <c r="M2" s="4" t="s">
        <v>194</v>
      </c>
      <c r="N2" s="6" t="s">
        <v>195</v>
      </c>
      <c r="O2" s="44" t="s">
        <v>196</v>
      </c>
      <c r="P2" s="46" t="s">
        <v>299</v>
      </c>
      <c r="Q2" s="44" t="s">
        <v>198</v>
      </c>
      <c r="R2" s="46" t="s">
        <v>300</v>
      </c>
      <c r="S2" s="44" t="s">
        <v>301</v>
      </c>
      <c r="T2" s="17" t="s">
        <v>199</v>
      </c>
      <c r="U2" s="18" t="s">
        <v>54</v>
      </c>
      <c r="V2" s="228"/>
      <c r="W2" s="229"/>
      <c r="X2" s="4" t="s">
        <v>194</v>
      </c>
      <c r="Y2" s="6" t="s">
        <v>195</v>
      </c>
      <c r="Z2" s="44" t="s">
        <v>196</v>
      </c>
      <c r="AA2" s="46" t="s">
        <v>299</v>
      </c>
      <c r="AB2" s="44" t="s">
        <v>198</v>
      </c>
      <c r="AC2" s="46" t="s">
        <v>300</v>
      </c>
      <c r="AD2" s="44" t="s">
        <v>301</v>
      </c>
      <c r="AE2" s="17" t="s">
        <v>199</v>
      </c>
      <c r="AF2" s="18" t="s">
        <v>54</v>
      </c>
    </row>
    <row r="3" spans="1:32">
      <c r="A3" t="s">
        <v>200</v>
      </c>
      <c r="B3">
        <v>60</v>
      </c>
      <c r="D3" s="34"/>
      <c r="E3" s="47"/>
      <c r="F3" s="34"/>
      <c r="G3" s="47"/>
      <c r="H3" s="34"/>
      <c r="K3" s="232" t="s">
        <v>200</v>
      </c>
      <c r="L3" s="233"/>
      <c r="M3">
        <v>60</v>
      </c>
      <c r="O3" s="34"/>
      <c r="P3" s="47"/>
      <c r="Q3" s="34"/>
      <c r="R3" s="47"/>
      <c r="S3" s="34"/>
      <c r="V3" s="232" t="s">
        <v>200</v>
      </c>
      <c r="W3" s="233"/>
      <c r="X3">
        <v>60</v>
      </c>
      <c r="Z3" s="34"/>
      <c r="AA3" s="47"/>
      <c r="AB3" s="34"/>
      <c r="AC3" s="47"/>
      <c r="AD3" s="34"/>
    </row>
    <row r="4" spans="1:32">
      <c r="A4" t="s">
        <v>302</v>
      </c>
      <c r="B4">
        <v>2</v>
      </c>
      <c r="D4" s="34"/>
      <c r="E4" s="47"/>
      <c r="F4" s="34"/>
      <c r="G4" s="47"/>
      <c r="H4" s="34"/>
      <c r="K4" s="232" t="s">
        <v>302</v>
      </c>
      <c r="L4" s="233"/>
      <c r="M4">
        <v>4</v>
      </c>
      <c r="O4" s="34"/>
      <c r="P4" s="47"/>
      <c r="Q4" s="34"/>
      <c r="R4" s="47"/>
      <c r="S4" s="34"/>
      <c r="V4" s="232" t="s">
        <v>302</v>
      </c>
      <c r="W4" s="233"/>
      <c r="X4">
        <v>6</v>
      </c>
      <c r="Z4" s="34"/>
      <c r="AA4" s="47"/>
      <c r="AB4" s="34"/>
      <c r="AC4" s="47"/>
      <c r="AD4" s="34"/>
    </row>
    <row r="5" spans="1:32">
      <c r="A5" t="s">
        <v>303</v>
      </c>
      <c r="D5" s="34"/>
      <c r="E5" s="47"/>
      <c r="F5" s="34"/>
      <c r="G5" s="47"/>
      <c r="H5" s="34"/>
      <c r="K5" s="232" t="s">
        <v>303</v>
      </c>
      <c r="L5" s="233"/>
      <c r="O5" s="34"/>
      <c r="P5" s="47"/>
      <c r="Q5" s="34"/>
      <c r="R5" s="47"/>
      <c r="S5" s="34"/>
      <c r="V5" s="232" t="s">
        <v>303</v>
      </c>
      <c r="W5" s="233"/>
      <c r="Z5" s="34"/>
      <c r="AA5" s="47"/>
      <c r="AB5" s="34"/>
      <c r="AC5" s="47"/>
      <c r="AD5" s="34"/>
    </row>
    <row r="6" spans="1:32">
      <c r="A6" t="s">
        <v>304</v>
      </c>
      <c r="D6" s="34"/>
      <c r="E6" s="47"/>
      <c r="F6" s="34"/>
      <c r="G6" s="47"/>
      <c r="H6" s="34"/>
      <c r="K6" s="232" t="s">
        <v>304</v>
      </c>
      <c r="L6" s="233"/>
      <c r="O6" s="34"/>
      <c r="P6" s="47"/>
      <c r="Q6" s="34"/>
      <c r="R6" s="47"/>
      <c r="S6" s="34"/>
      <c r="V6" s="232" t="s">
        <v>304</v>
      </c>
      <c r="W6" s="233"/>
      <c r="Z6" s="34"/>
      <c r="AA6" s="47"/>
      <c r="AB6" s="34"/>
      <c r="AC6" s="47"/>
      <c r="AD6" s="34"/>
    </row>
    <row r="7" spans="1:32">
      <c r="A7" s="3" t="s">
        <v>305</v>
      </c>
      <c r="B7" s="9" t="s">
        <v>124</v>
      </c>
      <c r="C7" s="5" t="s">
        <v>202</v>
      </c>
      <c r="D7" s="68" t="s">
        <v>124</v>
      </c>
      <c r="E7" s="71" t="s">
        <v>306</v>
      </c>
      <c r="F7" s="68" t="s">
        <v>124</v>
      </c>
      <c r="G7" s="71" t="s">
        <v>203</v>
      </c>
      <c r="H7" s="68" t="s">
        <v>124</v>
      </c>
      <c r="I7" s="69" t="s">
        <v>124</v>
      </c>
      <c r="K7" s="230" t="s">
        <v>305</v>
      </c>
      <c r="L7" s="231"/>
      <c r="M7" s="9" t="s">
        <v>124</v>
      </c>
      <c r="N7" s="9" t="s">
        <v>202</v>
      </c>
      <c r="O7" s="68" t="s">
        <v>124</v>
      </c>
      <c r="P7" s="71" t="s">
        <v>306</v>
      </c>
      <c r="Q7" s="68" t="s">
        <v>124</v>
      </c>
      <c r="R7" s="71" t="s">
        <v>203</v>
      </c>
      <c r="S7" s="68" t="s">
        <v>124</v>
      </c>
      <c r="T7" s="69" t="s">
        <v>124</v>
      </c>
      <c r="V7" s="230" t="s">
        <v>305</v>
      </c>
      <c r="W7" s="231"/>
      <c r="X7" s="9" t="s">
        <v>124</v>
      </c>
      <c r="Y7" s="9" t="s">
        <v>202</v>
      </c>
      <c r="Z7" s="68" t="s">
        <v>124</v>
      </c>
      <c r="AA7" s="71" t="s">
        <v>306</v>
      </c>
      <c r="AB7" s="68" t="s">
        <v>124</v>
      </c>
      <c r="AC7" s="71" t="s">
        <v>203</v>
      </c>
      <c r="AD7" s="68" t="s">
        <v>124</v>
      </c>
      <c r="AE7" s="69" t="s">
        <v>124</v>
      </c>
    </row>
    <row r="8" spans="1:32">
      <c r="A8" s="1" t="s">
        <v>307</v>
      </c>
      <c r="B8">
        <v>336</v>
      </c>
      <c r="C8" s="7">
        <f>B8/$B$16</f>
        <v>0.39298245614035088</v>
      </c>
      <c r="D8" s="84">
        <f>$B$23*C8</f>
        <v>293.17932217819606</v>
      </c>
      <c r="E8" s="201"/>
      <c r="F8" s="35">
        <f>D8*(1+E8)</f>
        <v>293.17932217819606</v>
      </c>
      <c r="G8" s="42">
        <v>0</v>
      </c>
      <c r="H8" s="35">
        <f>F8+G8</f>
        <v>293.17932217819606</v>
      </c>
      <c r="I8" s="19">
        <f>H8</f>
        <v>293.17932217819606</v>
      </c>
      <c r="J8" s="202"/>
      <c r="K8" s="232" t="s">
        <v>307</v>
      </c>
      <c r="L8" s="233"/>
      <c r="M8">
        <v>660</v>
      </c>
      <c r="N8" s="7">
        <f t="shared" ref="N8:N16" si="0">M8/$M$16</f>
        <v>0.42940793754066364</v>
      </c>
      <c r="O8" s="84">
        <f>$B$30*N8</f>
        <v>539.21108281645684</v>
      </c>
      <c r="P8" s="201"/>
      <c r="Q8" s="35">
        <f>O8*(1+P8)</f>
        <v>539.21108281645684</v>
      </c>
      <c r="R8" s="42">
        <v>0</v>
      </c>
      <c r="S8" s="35">
        <f>Q8+R8</f>
        <v>539.21108281645684</v>
      </c>
      <c r="T8" s="19">
        <f>S8</f>
        <v>539.21108281645684</v>
      </c>
      <c r="U8" s="25"/>
      <c r="V8" s="232" t="s">
        <v>307</v>
      </c>
      <c r="W8" s="233"/>
      <c r="X8">
        <v>984</v>
      </c>
      <c r="Y8" s="7">
        <f t="shared" ref="Y8:Y16" si="1">X8/$X$16</f>
        <v>0.44424379232505645</v>
      </c>
      <c r="Z8" s="84">
        <f>$B$37*Y8</f>
        <v>784.25901702364786</v>
      </c>
      <c r="AA8" s="59"/>
      <c r="AB8" s="35">
        <f>Z8*(1+AA8)</f>
        <v>784.25901702364786</v>
      </c>
      <c r="AC8" s="42">
        <v>0</v>
      </c>
      <c r="AD8" s="35">
        <f>AB8+AC8</f>
        <v>784.25901702364786</v>
      </c>
      <c r="AE8" s="19">
        <f>AD8</f>
        <v>784.25901702364786</v>
      </c>
      <c r="AF8" s="25"/>
    </row>
    <row r="9" spans="1:32">
      <c r="A9" s="1" t="s">
        <v>308</v>
      </c>
      <c r="B9">
        <v>82</v>
      </c>
      <c r="C9" s="7">
        <f t="shared" ref="C9:C16" si="2">B9/$B$16</f>
        <v>9.5906432748538009E-2</v>
      </c>
      <c r="D9" s="84">
        <f t="shared" ref="D9:D15" si="3">$B$23*C9</f>
        <v>71.549715531583558</v>
      </c>
      <c r="E9" s="60" t="s">
        <v>71</v>
      </c>
      <c r="F9" s="35">
        <f t="shared" ref="F9:F15" si="4">D9</f>
        <v>71.549715531583558</v>
      </c>
      <c r="G9" s="42">
        <v>0</v>
      </c>
      <c r="H9" s="35">
        <f t="shared" ref="H9:H14" si="5">F9+G9</f>
        <v>71.549715531583558</v>
      </c>
      <c r="I9" s="19">
        <f t="shared" ref="I9:I15" si="6">H9</f>
        <v>71.549715531583558</v>
      </c>
      <c r="K9" s="232" t="s">
        <v>308</v>
      </c>
      <c r="L9" s="233"/>
      <c r="M9">
        <v>152</v>
      </c>
      <c r="N9" s="7">
        <f t="shared" si="0"/>
        <v>9.8893949251789195E-2</v>
      </c>
      <c r="O9" s="84">
        <f t="shared" ref="O9:O15" si="7">$B$30*N9</f>
        <v>124.18194634560822</v>
      </c>
      <c r="P9" s="47" t="s">
        <v>71</v>
      </c>
      <c r="Q9" s="35">
        <f>O9</f>
        <v>124.18194634560822</v>
      </c>
      <c r="R9" s="42">
        <v>0</v>
      </c>
      <c r="S9" s="35">
        <f t="shared" ref="S9:S15" si="8">Q9+R9</f>
        <v>124.18194634560822</v>
      </c>
      <c r="T9" s="19">
        <f t="shared" ref="T9:T14" si="9">S9</f>
        <v>124.18194634560822</v>
      </c>
      <c r="V9" s="232" t="s">
        <v>308</v>
      </c>
      <c r="W9" s="233"/>
      <c r="X9">
        <v>222</v>
      </c>
      <c r="Y9" s="7">
        <f t="shared" si="1"/>
        <v>0.10022573363431152</v>
      </c>
      <c r="Z9" s="84">
        <f t="shared" ref="Z9:Z16" si="10">$B$37*Y9</f>
        <v>176.93648554801811</v>
      </c>
      <c r="AA9" s="47" t="s">
        <v>71</v>
      </c>
      <c r="AB9" s="35">
        <f>Z9</f>
        <v>176.93648554801811</v>
      </c>
      <c r="AC9" s="42">
        <v>0</v>
      </c>
      <c r="AD9" s="35">
        <f t="shared" ref="AD9:AD14" si="11">AB9+AC9</f>
        <v>176.93648554801811</v>
      </c>
      <c r="AE9" s="19">
        <f t="shared" ref="AE9:AE15" si="12">AD9</f>
        <v>176.93648554801811</v>
      </c>
    </row>
    <row r="10" spans="1:32">
      <c r="A10" s="1" t="s">
        <v>309</v>
      </c>
      <c r="B10">
        <v>63</v>
      </c>
      <c r="C10" s="7">
        <f t="shared" si="2"/>
        <v>7.3684210526315783E-2</v>
      </c>
      <c r="D10" s="84">
        <f t="shared" si="3"/>
        <v>54.971122908411751</v>
      </c>
      <c r="E10" s="60" t="s">
        <v>71</v>
      </c>
      <c r="F10" s="35">
        <f t="shared" si="4"/>
        <v>54.971122908411751</v>
      </c>
      <c r="G10" s="42">
        <v>0</v>
      </c>
      <c r="H10" s="35">
        <f t="shared" si="5"/>
        <v>54.971122908411751</v>
      </c>
      <c r="I10" s="19">
        <f t="shared" si="6"/>
        <v>54.971122908411751</v>
      </c>
      <c r="K10" s="232" t="s">
        <v>309</v>
      </c>
      <c r="L10" s="233"/>
      <c r="M10">
        <v>63</v>
      </c>
      <c r="N10" s="7">
        <f t="shared" si="0"/>
        <v>4.098893949251789E-2</v>
      </c>
      <c r="O10" s="84">
        <f t="shared" si="7"/>
        <v>51.470148814298149</v>
      </c>
      <c r="P10" s="47" t="s">
        <v>71</v>
      </c>
      <c r="Q10" s="35">
        <f t="shared" ref="Q10:Q15" si="13">O10</f>
        <v>51.470148814298149</v>
      </c>
      <c r="R10" s="42">
        <v>0</v>
      </c>
      <c r="S10" s="35">
        <f t="shared" si="8"/>
        <v>51.470148814298149</v>
      </c>
      <c r="T10" s="19">
        <f t="shared" si="9"/>
        <v>51.470148814298149</v>
      </c>
      <c r="V10" s="232" t="s">
        <v>309</v>
      </c>
      <c r="W10" s="233"/>
      <c r="X10">
        <v>63</v>
      </c>
      <c r="Y10" s="7">
        <f t="shared" si="1"/>
        <v>2.8442437923250564E-2</v>
      </c>
      <c r="Z10" s="84">
        <f t="shared" si="10"/>
        <v>50.211705358221359</v>
      </c>
      <c r="AA10" s="47" t="s">
        <v>71</v>
      </c>
      <c r="AB10" s="35">
        <f t="shared" ref="AB10:AB15" si="14">Z10</f>
        <v>50.211705358221359</v>
      </c>
      <c r="AC10" s="42">
        <v>0</v>
      </c>
      <c r="AD10" s="35">
        <f t="shared" si="11"/>
        <v>50.211705358221359</v>
      </c>
      <c r="AE10" s="19">
        <f t="shared" si="12"/>
        <v>50.211705358221359</v>
      </c>
    </row>
    <row r="11" spans="1:32">
      <c r="A11" s="1" t="s">
        <v>310</v>
      </c>
      <c r="B11">
        <v>2</v>
      </c>
      <c r="C11" s="7">
        <f t="shared" si="2"/>
        <v>2.3391812865497076E-3</v>
      </c>
      <c r="D11" s="84">
        <f t="shared" si="3"/>
        <v>1.7451150129654527</v>
      </c>
      <c r="E11" s="60" t="s">
        <v>71</v>
      </c>
      <c r="F11" s="35">
        <f t="shared" si="4"/>
        <v>1.7451150129654527</v>
      </c>
      <c r="G11" s="42">
        <v>0</v>
      </c>
      <c r="H11" s="35">
        <f t="shared" si="5"/>
        <v>1.7451150129654527</v>
      </c>
      <c r="I11" s="19">
        <f t="shared" si="6"/>
        <v>1.7451150129654527</v>
      </c>
      <c r="K11" s="232" t="s">
        <v>310</v>
      </c>
      <c r="L11" s="233"/>
      <c r="M11">
        <v>2</v>
      </c>
      <c r="N11" s="7">
        <f t="shared" si="0"/>
        <v>1.3012361743656475E-3</v>
      </c>
      <c r="O11" s="84">
        <f t="shared" si="7"/>
        <v>1.6339729782316874</v>
      </c>
      <c r="P11" s="47" t="s">
        <v>71</v>
      </c>
      <c r="Q11" s="35">
        <f t="shared" si="13"/>
        <v>1.6339729782316874</v>
      </c>
      <c r="R11" s="42">
        <v>0</v>
      </c>
      <c r="S11" s="35">
        <f t="shared" si="8"/>
        <v>1.6339729782316874</v>
      </c>
      <c r="T11" s="19">
        <f t="shared" si="9"/>
        <v>1.6339729782316874</v>
      </c>
      <c r="V11" s="232" t="s">
        <v>310</v>
      </c>
      <c r="W11" s="233"/>
      <c r="X11">
        <v>2</v>
      </c>
      <c r="Y11" s="7">
        <f t="shared" si="1"/>
        <v>9.0293453724604961E-4</v>
      </c>
      <c r="Z11" s="84">
        <f t="shared" si="10"/>
        <v>1.5940223923244874</v>
      </c>
      <c r="AA11" s="47" t="s">
        <v>71</v>
      </c>
      <c r="AB11" s="35">
        <f t="shared" si="14"/>
        <v>1.5940223923244874</v>
      </c>
      <c r="AC11" s="42">
        <v>0</v>
      </c>
      <c r="AD11" s="35">
        <f t="shared" si="11"/>
        <v>1.5940223923244874</v>
      </c>
      <c r="AE11" s="19">
        <f t="shared" si="12"/>
        <v>1.5940223923244874</v>
      </c>
    </row>
    <row r="12" spans="1:32">
      <c r="A12" s="1" t="s">
        <v>311</v>
      </c>
      <c r="B12">
        <v>96</v>
      </c>
      <c r="C12" s="7">
        <f t="shared" si="2"/>
        <v>0.11228070175438597</v>
      </c>
      <c r="D12" s="84">
        <f t="shared" si="3"/>
        <v>83.765520622341725</v>
      </c>
      <c r="E12" s="60" t="s">
        <v>71</v>
      </c>
      <c r="F12" s="35">
        <f t="shared" si="4"/>
        <v>83.765520622341725</v>
      </c>
      <c r="G12" s="42">
        <v>0</v>
      </c>
      <c r="H12" s="35">
        <f t="shared" si="5"/>
        <v>83.765520622341725</v>
      </c>
      <c r="I12" s="19">
        <f t="shared" si="6"/>
        <v>83.765520622341725</v>
      </c>
      <c r="K12" s="232" t="s">
        <v>311</v>
      </c>
      <c r="L12" s="233"/>
      <c r="M12">
        <v>176</v>
      </c>
      <c r="N12" s="7">
        <f t="shared" si="0"/>
        <v>0.11450878334417697</v>
      </c>
      <c r="O12" s="84">
        <f t="shared" si="7"/>
        <v>143.7896220843885</v>
      </c>
      <c r="P12" s="47" t="s">
        <v>71</v>
      </c>
      <c r="Q12" s="35">
        <f t="shared" si="13"/>
        <v>143.7896220843885</v>
      </c>
      <c r="R12" s="42">
        <v>0</v>
      </c>
      <c r="S12" s="35">
        <f t="shared" si="8"/>
        <v>143.7896220843885</v>
      </c>
      <c r="T12" s="19">
        <f t="shared" si="9"/>
        <v>143.7896220843885</v>
      </c>
      <c r="V12" s="232" t="s">
        <v>311</v>
      </c>
      <c r="W12" s="233"/>
      <c r="X12">
        <v>252</v>
      </c>
      <c r="Y12" s="7">
        <f t="shared" si="1"/>
        <v>0.11376975169300226</v>
      </c>
      <c r="Z12" s="84">
        <f t="shared" si="10"/>
        <v>200.84682143288543</v>
      </c>
      <c r="AA12" s="47" t="s">
        <v>71</v>
      </c>
      <c r="AB12" s="35">
        <f t="shared" si="14"/>
        <v>200.84682143288543</v>
      </c>
      <c r="AC12" s="42">
        <v>0</v>
      </c>
      <c r="AD12" s="35">
        <f t="shared" si="11"/>
        <v>200.84682143288543</v>
      </c>
      <c r="AE12" s="19">
        <f t="shared" si="12"/>
        <v>200.84682143288543</v>
      </c>
    </row>
    <row r="13" spans="1:32">
      <c r="A13" s="1" t="s">
        <v>312</v>
      </c>
      <c r="B13">
        <v>116</v>
      </c>
      <c r="C13" s="7">
        <f t="shared" si="2"/>
        <v>0.13567251461988303</v>
      </c>
      <c r="D13" s="84">
        <f t="shared" si="3"/>
        <v>101.21667075199625</v>
      </c>
      <c r="E13" s="60" t="s">
        <v>71</v>
      </c>
      <c r="F13" s="35">
        <f t="shared" si="4"/>
        <v>101.21667075199625</v>
      </c>
      <c r="G13" s="42">
        <v>0</v>
      </c>
      <c r="H13" s="35">
        <f t="shared" si="5"/>
        <v>101.21667075199625</v>
      </c>
      <c r="I13" s="19">
        <f t="shared" si="6"/>
        <v>101.21667075199625</v>
      </c>
      <c r="K13" s="232" t="s">
        <v>312</v>
      </c>
      <c r="L13" s="233"/>
      <c r="M13">
        <v>212</v>
      </c>
      <c r="N13" s="7">
        <f t="shared" si="0"/>
        <v>0.13793103448275862</v>
      </c>
      <c r="O13" s="84">
        <f t="shared" si="7"/>
        <v>173.20113569255886</v>
      </c>
      <c r="P13" s="47" t="s">
        <v>71</v>
      </c>
      <c r="Q13" s="35">
        <f t="shared" si="13"/>
        <v>173.20113569255886</v>
      </c>
      <c r="R13" s="42">
        <v>0</v>
      </c>
      <c r="S13" s="35">
        <f t="shared" si="8"/>
        <v>173.20113569255886</v>
      </c>
      <c r="T13" s="19">
        <f t="shared" si="9"/>
        <v>173.20113569255886</v>
      </c>
      <c r="V13" s="232" t="s">
        <v>312</v>
      </c>
      <c r="W13" s="233"/>
      <c r="X13">
        <v>306</v>
      </c>
      <c r="Y13" s="7">
        <f t="shared" si="1"/>
        <v>0.1381489841986456</v>
      </c>
      <c r="Z13" s="84">
        <f t="shared" si="10"/>
        <v>243.88542602564661</v>
      </c>
      <c r="AA13" s="47" t="s">
        <v>71</v>
      </c>
      <c r="AB13" s="35">
        <f t="shared" si="14"/>
        <v>243.88542602564661</v>
      </c>
      <c r="AC13" s="42">
        <v>0</v>
      </c>
      <c r="AD13" s="35">
        <f t="shared" si="11"/>
        <v>243.88542602564661</v>
      </c>
      <c r="AE13" s="19">
        <f t="shared" si="12"/>
        <v>243.88542602564661</v>
      </c>
    </row>
    <row r="14" spans="1:32">
      <c r="A14" s="1" t="s">
        <v>313</v>
      </c>
      <c r="B14">
        <v>140</v>
      </c>
      <c r="C14" s="7">
        <f t="shared" si="2"/>
        <v>0.16374269005847952</v>
      </c>
      <c r="D14" s="84">
        <f t="shared" si="3"/>
        <v>122.15805090758167</v>
      </c>
      <c r="E14" s="60" t="s">
        <v>71</v>
      </c>
      <c r="F14" s="35">
        <f t="shared" si="4"/>
        <v>122.15805090758167</v>
      </c>
      <c r="G14" s="42">
        <v>0</v>
      </c>
      <c r="H14" s="35">
        <f t="shared" si="5"/>
        <v>122.15805090758167</v>
      </c>
      <c r="I14" s="19">
        <f t="shared" si="6"/>
        <v>122.15805090758167</v>
      </c>
      <c r="K14" s="232" t="s">
        <v>313</v>
      </c>
      <c r="L14" s="233"/>
      <c r="M14">
        <v>252</v>
      </c>
      <c r="N14" s="7">
        <f t="shared" si="0"/>
        <v>0.16395575797007156</v>
      </c>
      <c r="O14" s="84">
        <f t="shared" si="7"/>
        <v>205.8805952571926</v>
      </c>
      <c r="P14" s="47" t="s">
        <v>71</v>
      </c>
      <c r="Q14" s="35">
        <f t="shared" si="13"/>
        <v>205.8805952571926</v>
      </c>
      <c r="R14" s="42">
        <v>0</v>
      </c>
      <c r="S14" s="35">
        <f t="shared" si="8"/>
        <v>205.8805952571926</v>
      </c>
      <c r="T14" s="19">
        <f t="shared" si="9"/>
        <v>205.8805952571926</v>
      </c>
      <c r="V14" s="232" t="s">
        <v>313</v>
      </c>
      <c r="W14" s="233"/>
      <c r="X14">
        <v>366</v>
      </c>
      <c r="Y14" s="7">
        <f t="shared" si="1"/>
        <v>0.16523702031602708</v>
      </c>
      <c r="Z14" s="84">
        <f t="shared" si="10"/>
        <v>291.7060977953812</v>
      </c>
      <c r="AA14" s="47" t="s">
        <v>71</v>
      </c>
      <c r="AB14" s="35">
        <f t="shared" si="14"/>
        <v>291.7060977953812</v>
      </c>
      <c r="AC14" s="42">
        <v>0</v>
      </c>
      <c r="AD14" s="35">
        <f t="shared" si="11"/>
        <v>291.7060977953812</v>
      </c>
      <c r="AE14" s="19">
        <f t="shared" si="12"/>
        <v>291.7060977953812</v>
      </c>
    </row>
    <row r="15" spans="1:32">
      <c r="A15" s="3" t="s">
        <v>314</v>
      </c>
      <c r="B15" s="5">
        <v>20</v>
      </c>
      <c r="C15" s="48">
        <f t="shared" si="2"/>
        <v>2.3391812865497075E-2</v>
      </c>
      <c r="D15" s="83">
        <f t="shared" si="3"/>
        <v>17.451150129654526</v>
      </c>
      <c r="E15" s="64" t="s">
        <v>71</v>
      </c>
      <c r="F15" s="50">
        <f t="shared" si="4"/>
        <v>17.451150129654526</v>
      </c>
      <c r="G15" s="70">
        <f>'Spur Line Assumptions'!H17</f>
        <v>58</v>
      </c>
      <c r="H15" s="50">
        <f>F15+G15</f>
        <v>75.451150129654522</v>
      </c>
      <c r="I15" s="65">
        <f t="shared" si="6"/>
        <v>75.451150129654522</v>
      </c>
      <c r="J15" s="6"/>
      <c r="K15" s="230" t="s">
        <v>314</v>
      </c>
      <c r="L15" s="231"/>
      <c r="M15" s="5">
        <v>20</v>
      </c>
      <c r="N15" s="48">
        <f t="shared" si="0"/>
        <v>1.3012361743656473E-2</v>
      </c>
      <c r="O15" s="83">
        <f t="shared" si="7"/>
        <v>16.339729782316873</v>
      </c>
      <c r="P15" s="61" t="s">
        <v>71</v>
      </c>
      <c r="Q15" s="50">
        <f t="shared" si="13"/>
        <v>16.339729782316873</v>
      </c>
      <c r="R15" s="70">
        <f>'Spur Line Assumptions'!H18</f>
        <v>58</v>
      </c>
      <c r="S15" s="50">
        <f t="shared" si="8"/>
        <v>74.33972978231688</v>
      </c>
      <c r="T15" s="65">
        <f>S15</f>
        <v>74.33972978231688</v>
      </c>
      <c r="U15" s="6"/>
      <c r="V15" s="230" t="s">
        <v>314</v>
      </c>
      <c r="W15" s="231"/>
      <c r="X15" s="5">
        <v>20</v>
      </c>
      <c r="Y15" s="48">
        <f t="shared" si="1"/>
        <v>9.0293453724604959E-3</v>
      </c>
      <c r="Z15" s="83">
        <f t="shared" si="10"/>
        <v>15.940223923244874</v>
      </c>
      <c r="AA15" s="61" t="s">
        <v>71</v>
      </c>
      <c r="AB15" s="50">
        <f t="shared" si="14"/>
        <v>15.940223923244874</v>
      </c>
      <c r="AC15" s="70">
        <f>'Spur Line Assumptions'!H19</f>
        <v>58</v>
      </c>
      <c r="AD15" s="50">
        <f>AB15+AC15</f>
        <v>73.940223923244872</v>
      </c>
      <c r="AE15" s="65">
        <f t="shared" si="12"/>
        <v>73.940223923244872</v>
      </c>
      <c r="AF15" s="6"/>
    </row>
    <row r="16" spans="1:32">
      <c r="A16" s="3" t="s">
        <v>315</v>
      </c>
      <c r="B16" s="5">
        <f>SUM(B8:B15)</f>
        <v>855</v>
      </c>
      <c r="C16" s="48">
        <f t="shared" si="2"/>
        <v>1</v>
      </c>
      <c r="D16" s="89">
        <f>$B$23*C16</f>
        <v>746.03666804273098</v>
      </c>
      <c r="E16" s="64" t="s">
        <v>71</v>
      </c>
      <c r="F16" s="50">
        <f>SUM(F8:F15)</f>
        <v>746.03666804273098</v>
      </c>
      <c r="G16" s="70">
        <v>0</v>
      </c>
      <c r="H16" s="50">
        <f>SUM(H8:H15)</f>
        <v>804.03666804273098</v>
      </c>
      <c r="I16" s="65">
        <f>SUM(I8:I15)</f>
        <v>804.03666804273098</v>
      </c>
      <c r="K16" s="230" t="s">
        <v>315</v>
      </c>
      <c r="L16" s="231"/>
      <c r="M16" s="5">
        <f>SUM(M8:M15)</f>
        <v>1537</v>
      </c>
      <c r="N16" s="48">
        <f t="shared" si="0"/>
        <v>1</v>
      </c>
      <c r="O16" s="89">
        <f>$B$30*N16</f>
        <v>1255.7082337710517</v>
      </c>
      <c r="P16" s="61" t="s">
        <v>71</v>
      </c>
      <c r="Q16" s="50">
        <f>SUM(Q8:Q15)</f>
        <v>1255.7082337710517</v>
      </c>
      <c r="R16" s="70">
        <v>0</v>
      </c>
      <c r="S16" s="50">
        <f>SUM(S8:S15)</f>
        <v>1313.7082337710517</v>
      </c>
      <c r="T16" s="65">
        <f>SUM(T8:T15)</f>
        <v>1313.7082337710517</v>
      </c>
      <c r="V16" s="230" t="s">
        <v>315</v>
      </c>
      <c r="W16" s="231"/>
      <c r="X16" s="5">
        <f>SUM(X8:X15)</f>
        <v>2215</v>
      </c>
      <c r="Y16" s="48">
        <f t="shared" si="1"/>
        <v>1</v>
      </c>
      <c r="Z16" s="89">
        <f t="shared" si="10"/>
        <v>1765.3797994993699</v>
      </c>
      <c r="AA16" s="61" t="s">
        <v>71</v>
      </c>
      <c r="AB16" s="50">
        <f>SUM(AB8:AB15)</f>
        <v>1765.3797994993702</v>
      </c>
      <c r="AC16" s="70">
        <v>0</v>
      </c>
      <c r="AD16" s="50">
        <f>SUM(AD8:AD15)</f>
        <v>1823.3797994993702</v>
      </c>
      <c r="AE16" s="65">
        <f>SUM(AE8:AE15)</f>
        <v>1823.3797994993702</v>
      </c>
    </row>
    <row r="17" spans="1:31">
      <c r="B17" s="212"/>
      <c r="C17" s="211"/>
      <c r="D17" s="88"/>
    </row>
    <row r="18" spans="1:31" ht="14.45" customHeight="1">
      <c r="A18" s="227" t="s">
        <v>316</v>
      </c>
      <c r="B18" s="22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row>
    <row r="19" spans="1:31" ht="14.45" customHeight="1">
      <c r="A19" s="227"/>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row>
    <row r="21" spans="1:31">
      <c r="A21" t="s">
        <v>317</v>
      </c>
    </row>
    <row r="22" spans="1:31">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31">
      <c r="A23" t="s">
        <v>318</v>
      </c>
      <c r="B23" s="8">
        <v>746.03666804273098</v>
      </c>
      <c r="C23" s="8">
        <v>707.66876245953199</v>
      </c>
      <c r="D23" s="8">
        <v>672.11770924501207</v>
      </c>
      <c r="E23" s="8">
        <v>652.26300895262989</v>
      </c>
      <c r="F23" s="8">
        <v>633.74980366181308</v>
      </c>
      <c r="G23" s="8">
        <v>610.0044807302836</v>
      </c>
      <c r="H23" s="8">
        <v>596.72339308017945</v>
      </c>
      <c r="I23" s="8">
        <v>579.55168279092788</v>
      </c>
      <c r="J23" s="8">
        <v>572.65475118952281</v>
      </c>
      <c r="K23" s="8">
        <v>565.41035515463568</v>
      </c>
      <c r="L23" s="8">
        <v>558.16595911974969</v>
      </c>
      <c r="M23" s="8">
        <v>550.92156308486369</v>
      </c>
      <c r="N23" s="8">
        <v>543.67716704997667</v>
      </c>
      <c r="O23" s="8">
        <v>536.43277101508966</v>
      </c>
      <c r="P23" s="8">
        <v>529.18837498020252</v>
      </c>
      <c r="Q23" s="8">
        <v>521.94397894531664</v>
      </c>
      <c r="R23" s="8">
        <v>514.69958291043076</v>
      </c>
      <c r="S23" s="8">
        <v>507.45518687554357</v>
      </c>
      <c r="T23" s="8">
        <v>500.21079084065667</v>
      </c>
      <c r="U23" s="8">
        <v>492.96639480576965</v>
      </c>
      <c r="V23" s="8">
        <v>485.7219987708836</v>
      </c>
      <c r="W23" s="8">
        <v>478.47760273599766</v>
      </c>
      <c r="X23" s="8">
        <v>471.23320670111053</v>
      </c>
      <c r="Y23" s="8">
        <v>463.98881066622369</v>
      </c>
      <c r="Z23" s="8">
        <v>456.74441463133655</v>
      </c>
      <c r="AA23" s="8">
        <v>449.50001859645067</v>
      </c>
      <c r="AB23" s="8">
        <v>442.25562256156468</v>
      </c>
      <c r="AC23" s="8">
        <v>435.10849209265666</v>
      </c>
    </row>
    <row r="24" spans="1:31">
      <c r="A24" t="s">
        <v>223</v>
      </c>
      <c r="B24" s="15" t="s">
        <v>71</v>
      </c>
      <c r="C24" s="14">
        <f t="shared" ref="C24:L24" si="15">1-(C23/B23)</f>
        <v>5.1428980942531122E-2</v>
      </c>
      <c r="D24" s="14">
        <f t="shared" si="15"/>
        <v>5.0236855292242644E-2</v>
      </c>
      <c r="E24" s="14">
        <f t="shared" si="15"/>
        <v>2.9540510567241163E-2</v>
      </c>
      <c r="F24" s="14">
        <f t="shared" si="15"/>
        <v>2.8383037266737521E-2</v>
      </c>
      <c r="G24" s="14">
        <f t="shared" si="15"/>
        <v>3.7467976785679036E-2</v>
      </c>
      <c r="H24" s="14">
        <f t="shared" si="15"/>
        <v>2.1772114910048379E-2</v>
      </c>
      <c r="I24" s="14">
        <f t="shared" si="15"/>
        <v>2.8776666858348343E-2</v>
      </c>
      <c r="J24" s="14">
        <f t="shared" si="15"/>
        <v>1.1900459969664379E-2</v>
      </c>
      <c r="K24" s="14">
        <f t="shared" si="15"/>
        <v>1.265054733212112E-2</v>
      </c>
      <c r="L24" s="14">
        <f t="shared" si="15"/>
        <v>1.2812634167099213E-2</v>
      </c>
      <c r="M24" s="14">
        <f>1-(M23/L23)</f>
        <v>1.2978928428940217E-2</v>
      </c>
      <c r="N24" s="14">
        <f t="shared" ref="N24:AC24" si="16">1-(N23/M23)</f>
        <v>1.3149596095535454E-2</v>
      </c>
      <c r="O24" s="14">
        <f t="shared" si="16"/>
        <v>1.3324811991269558E-2</v>
      </c>
      <c r="P24" s="14">
        <f t="shared" si="16"/>
        <v>1.3504760384378756E-2</v>
      </c>
      <c r="Q24" s="14">
        <f t="shared" si="16"/>
        <v>1.3689635633354347E-2</v>
      </c>
      <c r="R24" s="14">
        <f t="shared" si="16"/>
        <v>1.3879642887201227E-2</v>
      </c>
      <c r="S24" s="14">
        <f t="shared" si="16"/>
        <v>1.4074998844807451E-2</v>
      </c>
      <c r="T24" s="14">
        <f t="shared" si="16"/>
        <v>1.4275932579370099E-2</v>
      </c>
      <c r="U24" s="14">
        <f t="shared" si="16"/>
        <v>1.4482686434477032E-2</v>
      </c>
      <c r="V24" s="14">
        <f t="shared" si="16"/>
        <v>1.4695516999166602E-2</v>
      </c>
      <c r="W24" s="14">
        <f t="shared" si="16"/>
        <v>1.4914696170273967E-2</v>
      </c>
      <c r="X24" s="14">
        <f t="shared" si="16"/>
        <v>1.5140512311261234E-2</v>
      </c>
      <c r="Y24" s="14">
        <f t="shared" si="16"/>
        <v>1.5373271517942433E-2</v>
      </c>
      <c r="Z24" s="14">
        <f t="shared" si="16"/>
        <v>1.5613299002803949E-2</v>
      </c>
      <c r="AA24" s="14">
        <f t="shared" si="16"/>
        <v>1.5860940611026941E-2</v>
      </c>
      <c r="AB24" s="14">
        <f t="shared" si="16"/>
        <v>1.6116564483148133E-2</v>
      </c>
      <c r="AC24" s="14">
        <f t="shared" si="16"/>
        <v>1.6160632232353533E-2</v>
      </c>
    </row>
    <row r="25" spans="1:31">
      <c r="A25" t="s">
        <v>224</v>
      </c>
      <c r="B25" s="8">
        <f>I16</f>
        <v>804.03666804273098</v>
      </c>
      <c r="C25" s="8">
        <f>B25*(1-C24)</f>
        <v>762.6858815648651</v>
      </c>
      <c r="D25" s="8">
        <f t="shared" ref="D25:K25" si="17">C25*(1-D24)</f>
        <v>724.37094129925447</v>
      </c>
      <c r="E25" s="8">
        <f t="shared" si="17"/>
        <v>702.97265385320145</v>
      </c>
      <c r="F25" s="8">
        <f t="shared" si="17"/>
        <v>683.0201548213887</v>
      </c>
      <c r="G25" s="8">
        <f t="shared" si="17"/>
        <v>657.42877151639004</v>
      </c>
      <c r="H25" s="8">
        <f t="shared" si="17"/>
        <v>643.1151567577632</v>
      </c>
      <c r="I25" s="8">
        <f t="shared" si="17"/>
        <v>624.60844614019061</v>
      </c>
      <c r="J25" s="8">
        <f t="shared" si="17"/>
        <v>617.17531833018495</v>
      </c>
      <c r="K25" s="8">
        <f t="shared" si="17"/>
        <v>609.36771275343199</v>
      </c>
      <c r="L25" s="8">
        <f>K25*(1-L24)</f>
        <v>601.56010717668028</v>
      </c>
      <c r="M25" s="8">
        <f>L25*(1-M24)</f>
        <v>593.75250159992856</v>
      </c>
      <c r="N25" s="8">
        <f t="shared" ref="N25:AC25" si="18">M25*(1-N24)</f>
        <v>585.94489602317572</v>
      </c>
      <c r="O25" s="8">
        <f t="shared" si="18"/>
        <v>578.13729044642287</v>
      </c>
      <c r="P25" s="8">
        <f t="shared" si="18"/>
        <v>570.3296848696699</v>
      </c>
      <c r="Q25" s="8">
        <f t="shared" si="18"/>
        <v>562.52207929291831</v>
      </c>
      <c r="R25" s="8">
        <f t="shared" si="18"/>
        <v>554.71447371616671</v>
      </c>
      <c r="S25" s="8">
        <f t="shared" si="18"/>
        <v>546.90686813941363</v>
      </c>
      <c r="T25" s="8">
        <f t="shared" si="18"/>
        <v>539.0992625626609</v>
      </c>
      <c r="U25" s="8">
        <f t="shared" si="18"/>
        <v>531.29165698590805</v>
      </c>
      <c r="V25" s="8">
        <f t="shared" si="18"/>
        <v>523.48405140915622</v>
      </c>
      <c r="W25" s="8">
        <f t="shared" si="18"/>
        <v>515.67644583240462</v>
      </c>
      <c r="X25" s="8">
        <f t="shared" si="18"/>
        <v>507.86884025565166</v>
      </c>
      <c r="Y25" s="8">
        <f t="shared" si="18"/>
        <v>500.06123467889898</v>
      </c>
      <c r="Z25" s="8">
        <f t="shared" si="18"/>
        <v>492.25362910214602</v>
      </c>
      <c r="AA25" s="8">
        <f t="shared" si="18"/>
        <v>484.44602352539442</v>
      </c>
      <c r="AB25" s="8">
        <f t="shared" si="18"/>
        <v>476.63841794864271</v>
      </c>
      <c r="AC25" s="8">
        <f t="shared" si="18"/>
        <v>468.9356397683639</v>
      </c>
    </row>
    <row r="26" spans="1:31" ht="15.75"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row>
    <row r="27" spans="1:31" ht="15.75" thickTop="1"/>
    <row r="28" spans="1:31">
      <c r="A28" t="s">
        <v>319</v>
      </c>
    </row>
    <row r="29" spans="1:31">
      <c r="A29" t="s">
        <v>95</v>
      </c>
      <c r="B29">
        <v>2023</v>
      </c>
      <c r="C29">
        <v>2024</v>
      </c>
      <c r="D29">
        <v>2025</v>
      </c>
      <c r="E29">
        <v>2026</v>
      </c>
      <c r="F29">
        <v>2027</v>
      </c>
      <c r="G29">
        <v>2028</v>
      </c>
      <c r="H29">
        <v>2029</v>
      </c>
      <c r="I29">
        <v>2030</v>
      </c>
      <c r="J29">
        <v>2031</v>
      </c>
      <c r="K29">
        <v>2032</v>
      </c>
      <c r="L29">
        <v>2033</v>
      </c>
      <c r="M29">
        <v>2034</v>
      </c>
      <c r="N29">
        <v>2035</v>
      </c>
      <c r="O29">
        <v>2036</v>
      </c>
      <c r="P29">
        <v>2037</v>
      </c>
      <c r="Q29">
        <v>2038</v>
      </c>
      <c r="R29">
        <v>2039</v>
      </c>
      <c r="S29">
        <v>2040</v>
      </c>
      <c r="T29">
        <v>2041</v>
      </c>
      <c r="U29">
        <v>2042</v>
      </c>
      <c r="V29">
        <v>2043</v>
      </c>
      <c r="W29">
        <v>2044</v>
      </c>
      <c r="X29">
        <v>2045</v>
      </c>
      <c r="Y29">
        <v>2046</v>
      </c>
      <c r="Z29">
        <v>2047</v>
      </c>
      <c r="AA29">
        <v>2048</v>
      </c>
      <c r="AB29">
        <v>2049</v>
      </c>
      <c r="AC29">
        <v>2050</v>
      </c>
    </row>
    <row r="30" spans="1:31">
      <c r="A30" t="s">
        <v>318</v>
      </c>
      <c r="B30" s="8">
        <v>1255.7082337710517</v>
      </c>
      <c r="C30" s="8">
        <v>1166.7622338789354</v>
      </c>
      <c r="D30" s="8">
        <v>1103.976822190383</v>
      </c>
      <c r="E30" s="8">
        <v>1056.8877634239684</v>
      </c>
      <c r="F30" s="8">
        <v>1015.0308222982667</v>
      </c>
      <c r="G30" s="8">
        <v>967.9417635318523</v>
      </c>
      <c r="H30" s="8">
        <v>931.31694004686335</v>
      </c>
      <c r="I30" s="8">
        <v>894.69211656187429</v>
      </c>
      <c r="J30" s="8">
        <v>883.95319510431204</v>
      </c>
      <c r="K30" s="8">
        <v>872.76954364728704</v>
      </c>
      <c r="L30" s="8">
        <v>861.58589219026499</v>
      </c>
      <c r="M30" s="8">
        <v>850.40224073324293</v>
      </c>
      <c r="N30" s="8">
        <v>839.21858927621793</v>
      </c>
      <c r="O30" s="8">
        <v>828.03493781919485</v>
      </c>
      <c r="P30" s="8">
        <v>816.85128636216984</v>
      </c>
      <c r="Q30" s="8">
        <v>805.66763490514779</v>
      </c>
      <c r="R30" s="8">
        <v>794.48398344812574</v>
      </c>
      <c r="S30" s="8">
        <v>783.30033199110073</v>
      </c>
      <c r="T30" s="8">
        <v>772.11668053407766</v>
      </c>
      <c r="U30" s="8">
        <v>760.93302907705277</v>
      </c>
      <c r="V30" s="8">
        <v>749.7493776200306</v>
      </c>
      <c r="W30" s="8">
        <v>738.56572616300855</v>
      </c>
      <c r="X30" s="8">
        <v>727.38207470598354</v>
      </c>
      <c r="Y30" s="8">
        <v>716.19842324896058</v>
      </c>
      <c r="Z30" s="8">
        <v>705.01477179193557</v>
      </c>
      <c r="AA30" s="8">
        <v>693.83112033491352</v>
      </c>
      <c r="AB30" s="8">
        <v>682.64746887789147</v>
      </c>
      <c r="AC30" s="8">
        <v>671.46381742086646</v>
      </c>
    </row>
    <row r="31" spans="1:31">
      <c r="A31" t="s">
        <v>223</v>
      </c>
      <c r="B31" s="15" t="s">
        <v>71</v>
      </c>
      <c r="C31" s="14">
        <f t="shared" ref="C31:AC31" si="19">1-(C30/B30)</f>
        <v>7.0833333333333415E-2</v>
      </c>
      <c r="D31" s="14">
        <f t="shared" si="19"/>
        <v>5.3811659192824934E-2</v>
      </c>
      <c r="E31" s="14">
        <f t="shared" si="19"/>
        <v>4.2654028436019065E-2</v>
      </c>
      <c r="F31" s="14">
        <f t="shared" si="19"/>
        <v>3.9603960396039639E-2</v>
      </c>
      <c r="G31" s="14">
        <f t="shared" si="19"/>
        <v>4.6391752577319534E-2</v>
      </c>
      <c r="H31" s="14">
        <f t="shared" si="19"/>
        <v>3.7837837837837784E-2</v>
      </c>
      <c r="I31" s="14">
        <f t="shared" si="19"/>
        <v>3.932584269662931E-2</v>
      </c>
      <c r="J31" s="14">
        <f t="shared" si="19"/>
        <v>1.2002923976607516E-2</v>
      </c>
      <c r="K31" s="14">
        <f t="shared" si="19"/>
        <v>1.2651859305407354E-2</v>
      </c>
      <c r="L31" s="14">
        <f t="shared" si="19"/>
        <v>1.2813979977218004E-2</v>
      </c>
      <c r="M31" s="14">
        <f t="shared" si="19"/>
        <v>1.298030940199324E-2</v>
      </c>
      <c r="N31" s="14">
        <f t="shared" si="19"/>
        <v>1.3151013627835884E-2</v>
      </c>
      <c r="O31" s="14">
        <f t="shared" si="19"/>
        <v>1.3326267554044979E-2</v>
      </c>
      <c r="P31" s="14">
        <f t="shared" si="19"/>
        <v>1.3506255528878408E-2</v>
      </c>
      <c r="Q31" s="14">
        <f t="shared" si="19"/>
        <v>1.3691171996347395E-2</v>
      </c>
      <c r="R31" s="14">
        <f t="shared" si="19"/>
        <v>1.3881222196965526E-2</v>
      </c>
      <c r="S31" s="14">
        <f t="shared" si="19"/>
        <v>1.4076622927610249E-2</v>
      </c>
      <c r="T31" s="14">
        <f t="shared" si="19"/>
        <v>1.4277603366508074E-2</v>
      </c>
      <c r="U31" s="14">
        <f t="shared" si="19"/>
        <v>1.4484405969948821E-2</v>
      </c>
      <c r="V31" s="14">
        <f t="shared" si="19"/>
        <v>1.4697287447999141E-2</v>
      </c>
      <c r="W31" s="14">
        <f t="shared" si="19"/>
        <v>1.4916519827629537E-2</v>
      </c>
      <c r="X31" s="14">
        <f t="shared" si="19"/>
        <v>1.5142391612356865E-2</v>
      </c>
      <c r="Y31" s="14">
        <f t="shared" si="19"/>
        <v>1.5375209048894334E-2</v>
      </c>
      <c r="Z31" s="14">
        <f t="shared" si="19"/>
        <v>1.5615297512512671E-2</v>
      </c>
      <c r="AA31" s="14">
        <f t="shared" si="19"/>
        <v>1.5863003024172873E-2</v>
      </c>
      <c r="AB31" s="14">
        <f t="shared" si="19"/>
        <v>1.6118693914484061E-2</v>
      </c>
      <c r="AC31" s="14">
        <f t="shared" si="19"/>
        <v>1.6382762651135696E-2</v>
      </c>
    </row>
    <row r="32" spans="1:31">
      <c r="A32" t="s">
        <v>224</v>
      </c>
      <c r="B32" s="8">
        <f>T16</f>
        <v>1313.7082337710517</v>
      </c>
      <c r="C32" s="8">
        <f t="shared" ref="C32:AC32" si="20">B32*(1-C31)</f>
        <v>1220.653900545602</v>
      </c>
      <c r="D32" s="8">
        <f t="shared" si="20"/>
        <v>1154.9684888570496</v>
      </c>
      <c r="E32" s="8">
        <f t="shared" si="20"/>
        <v>1105.704430090635</v>
      </c>
      <c r="F32" s="8">
        <f t="shared" si="20"/>
        <v>1061.9141556315999</v>
      </c>
      <c r="G32" s="8">
        <f t="shared" si="20"/>
        <v>1012.6500968651856</v>
      </c>
      <c r="H32" s="8">
        <f t="shared" si="20"/>
        <v>974.33360671352989</v>
      </c>
      <c r="I32" s="8">
        <f t="shared" si="20"/>
        <v>936.0171165618741</v>
      </c>
      <c r="J32" s="8">
        <f t="shared" si="20"/>
        <v>924.78217427097854</v>
      </c>
      <c r="K32" s="8">
        <f t="shared" si="20"/>
        <v>913.08196031395346</v>
      </c>
      <c r="L32" s="8">
        <f t="shared" si="20"/>
        <v>901.38174635693144</v>
      </c>
      <c r="M32" s="8">
        <f t="shared" si="20"/>
        <v>889.68153239990943</v>
      </c>
      <c r="N32" s="8">
        <f t="shared" si="20"/>
        <v>877.98131844288434</v>
      </c>
      <c r="O32" s="8">
        <f t="shared" si="20"/>
        <v>866.28110448586131</v>
      </c>
      <c r="P32" s="8">
        <f t="shared" si="20"/>
        <v>854.58089052883622</v>
      </c>
      <c r="Q32" s="8">
        <f t="shared" si="20"/>
        <v>842.88067657181421</v>
      </c>
      <c r="R32" s="8">
        <f t="shared" si="20"/>
        <v>831.18046261479219</v>
      </c>
      <c r="S32" s="8">
        <f t="shared" si="20"/>
        <v>819.48024865776711</v>
      </c>
      <c r="T32" s="8">
        <f t="shared" si="20"/>
        <v>807.78003470074407</v>
      </c>
      <c r="U32" s="8">
        <f t="shared" si="20"/>
        <v>796.0798207437191</v>
      </c>
      <c r="V32" s="8">
        <f t="shared" si="20"/>
        <v>784.37960678669708</v>
      </c>
      <c r="W32" s="8">
        <f t="shared" si="20"/>
        <v>772.67939282967507</v>
      </c>
      <c r="X32" s="8">
        <f t="shared" si="20"/>
        <v>760.97917887264998</v>
      </c>
      <c r="Y32" s="8">
        <f t="shared" si="20"/>
        <v>749.27896491562706</v>
      </c>
      <c r="Z32" s="8">
        <f t="shared" si="20"/>
        <v>737.57875095860197</v>
      </c>
      <c r="AA32" s="8">
        <f t="shared" si="20"/>
        <v>725.87853700158007</v>
      </c>
      <c r="AB32" s="8">
        <f t="shared" si="20"/>
        <v>714.17832304455806</v>
      </c>
      <c r="AC32" s="8">
        <f t="shared" si="20"/>
        <v>702.47810908753297</v>
      </c>
    </row>
    <row r="33" spans="1:29" ht="15.75" thickBot="1">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row>
    <row r="34" spans="1:29" ht="15.75" thickTop="1"/>
    <row r="35" spans="1:29">
      <c r="A35" t="s">
        <v>320</v>
      </c>
    </row>
    <row r="36" spans="1:29">
      <c r="A36" t="s">
        <v>95</v>
      </c>
      <c r="B36">
        <v>2023</v>
      </c>
      <c r="C36">
        <v>2024</v>
      </c>
      <c r="D36">
        <v>2025</v>
      </c>
      <c r="E36">
        <v>2026</v>
      </c>
      <c r="F36">
        <v>2027</v>
      </c>
      <c r="G36">
        <v>2028</v>
      </c>
      <c r="H36">
        <v>2029</v>
      </c>
      <c r="I36">
        <v>2030</v>
      </c>
      <c r="J36">
        <v>2031</v>
      </c>
      <c r="K36">
        <v>2032</v>
      </c>
      <c r="L36">
        <v>2033</v>
      </c>
      <c r="M36">
        <v>2034</v>
      </c>
      <c r="N36">
        <v>2035</v>
      </c>
      <c r="O36">
        <v>2036</v>
      </c>
      <c r="P36">
        <v>2037</v>
      </c>
      <c r="Q36">
        <v>2038</v>
      </c>
      <c r="R36">
        <v>2039</v>
      </c>
      <c r="S36">
        <v>2040</v>
      </c>
      <c r="T36">
        <v>2041</v>
      </c>
      <c r="U36">
        <v>2042</v>
      </c>
      <c r="V36">
        <v>2043</v>
      </c>
      <c r="W36">
        <v>2044</v>
      </c>
      <c r="X36">
        <v>2045</v>
      </c>
      <c r="Y36">
        <v>2046</v>
      </c>
      <c r="Z36">
        <v>2047</v>
      </c>
      <c r="AA36">
        <v>2048</v>
      </c>
      <c r="AB36">
        <v>2049</v>
      </c>
      <c r="AC36">
        <v>2050</v>
      </c>
    </row>
    <row r="37" spans="1:29">
      <c r="A37" t="s">
        <v>318</v>
      </c>
      <c r="B37" s="8">
        <v>1765.3797994993699</v>
      </c>
      <c r="C37" s="8">
        <v>1625.8557052983388</v>
      </c>
      <c r="D37" s="8">
        <v>1535.835935135754</v>
      </c>
      <c r="E37" s="8">
        <v>1461.5125178953072</v>
      </c>
      <c r="F37" s="8">
        <v>1396.3118409347203</v>
      </c>
      <c r="G37" s="8">
        <v>1325.8790463334212</v>
      </c>
      <c r="H37" s="8">
        <v>1265.9104870135473</v>
      </c>
      <c r="I37" s="8">
        <v>1209.8325503328206</v>
      </c>
      <c r="J37" s="8">
        <v>1195.2516390191013</v>
      </c>
      <c r="K37" s="8">
        <v>1180.1287321399386</v>
      </c>
      <c r="L37" s="8">
        <v>1165.0058252607803</v>
      </c>
      <c r="M37" s="8">
        <v>1149.8829183816219</v>
      </c>
      <c r="N37" s="8">
        <v>1134.7600115024593</v>
      </c>
      <c r="O37" s="8">
        <v>1119.6371046233</v>
      </c>
      <c r="P37" s="8">
        <v>1104.5141977441372</v>
      </c>
      <c r="Q37" s="8">
        <v>1089.3912908649791</v>
      </c>
      <c r="R37" s="8">
        <v>1074.2683839858207</v>
      </c>
      <c r="S37" s="8">
        <v>1059.1454771066578</v>
      </c>
      <c r="T37" s="8">
        <v>1044.0225702274988</v>
      </c>
      <c r="U37" s="8">
        <v>1028.8996633483359</v>
      </c>
      <c r="V37" s="8">
        <v>1013.7767564691776</v>
      </c>
      <c r="W37" s="8">
        <v>998.65384959001938</v>
      </c>
      <c r="X37" s="8">
        <v>983.53094271085649</v>
      </c>
      <c r="Y37" s="8">
        <v>968.40803583169736</v>
      </c>
      <c r="Z37" s="8">
        <v>953.28512895253448</v>
      </c>
      <c r="AA37" s="8">
        <v>938.16222207337637</v>
      </c>
      <c r="AB37" s="8">
        <v>923.03931519421826</v>
      </c>
      <c r="AC37" s="8">
        <v>907.81914274907626</v>
      </c>
    </row>
    <row r="38" spans="1:29">
      <c r="A38" t="s">
        <v>223</v>
      </c>
      <c r="B38" s="15" t="s">
        <v>71</v>
      </c>
      <c r="C38" s="14">
        <f t="shared" ref="C38:AC38" si="21">1-(C37/B37)</f>
        <v>7.9033471573990877E-2</v>
      </c>
      <c r="D38" s="14">
        <f t="shared" si="21"/>
        <v>5.5367625718093172E-2</v>
      </c>
      <c r="E38" s="14">
        <f t="shared" si="21"/>
        <v>4.8392810416873933E-2</v>
      </c>
      <c r="F38" s="14">
        <f t="shared" si="21"/>
        <v>4.4611781399232164E-2</v>
      </c>
      <c r="G38" s="14">
        <f t="shared" si="21"/>
        <v>5.04420234337839E-2</v>
      </c>
      <c r="H38" s="14">
        <f t="shared" si="21"/>
        <v>4.52292835351088E-2</v>
      </c>
      <c r="I38" s="14">
        <f t="shared" si="21"/>
        <v>4.4298500767634863E-2</v>
      </c>
      <c r="J38" s="14">
        <f t="shared" si="21"/>
        <v>1.2052007783811214E-2</v>
      </c>
      <c r="K38" s="14">
        <f t="shared" si="21"/>
        <v>1.2652487882445773E-2</v>
      </c>
      <c r="L38" s="14">
        <f t="shared" si="21"/>
        <v>1.2814624767025107E-2</v>
      </c>
      <c r="M38" s="14">
        <f t="shared" si="21"/>
        <v>1.29809710400145E-2</v>
      </c>
      <c r="N38" s="14">
        <f t="shared" si="21"/>
        <v>1.3151692783163638E-2</v>
      </c>
      <c r="O38" s="14">
        <f t="shared" si="21"/>
        <v>1.3326964931673957E-2</v>
      </c>
      <c r="P38" s="14">
        <f t="shared" si="21"/>
        <v>1.3506971872150442E-2</v>
      </c>
      <c r="Q38" s="14">
        <f t="shared" si="21"/>
        <v>1.3691908089588312E-2</v>
      </c>
      <c r="R38" s="14">
        <f t="shared" si="21"/>
        <v>1.3881978868355627E-2</v>
      </c>
      <c r="S38" s="14">
        <f t="shared" si="21"/>
        <v>1.4077401052289051E-2</v>
      </c>
      <c r="T38" s="14">
        <f t="shared" si="21"/>
        <v>1.4278403869949274E-2</v>
      </c>
      <c r="U38" s="14">
        <f t="shared" si="21"/>
        <v>1.4485229831638136E-2</v>
      </c>
      <c r="V38" s="14">
        <f t="shared" si="21"/>
        <v>1.4698135705423443E-2</v>
      </c>
      <c r="W38" s="14">
        <f t="shared" si="21"/>
        <v>1.4917393580642813E-2</v>
      </c>
      <c r="X38" s="14">
        <f t="shared" si="21"/>
        <v>1.514329202793474E-2</v>
      </c>
      <c r="Y38" s="14">
        <f t="shared" si="21"/>
        <v>1.5376137366330922E-2</v>
      </c>
      <c r="Z38" s="14">
        <f t="shared" si="21"/>
        <v>1.5616255049117678E-2</v>
      </c>
      <c r="AA38" s="14">
        <f t="shared" si="21"/>
        <v>1.5863991181500059E-2</v>
      </c>
      <c r="AB38" s="14">
        <f t="shared" si="21"/>
        <v>1.6119714185181988E-2</v>
      </c>
      <c r="AC38" s="14">
        <f t="shared" si="21"/>
        <v>1.6489191949466964E-2</v>
      </c>
    </row>
    <row r="39" spans="1:29">
      <c r="A39" t="s">
        <v>224</v>
      </c>
      <c r="B39" s="8">
        <f>AE16</f>
        <v>1823.3797994993702</v>
      </c>
      <c r="C39" s="8">
        <f t="shared" ref="C39:AC39" si="22">B39*(1-C38)</f>
        <v>1679.2717639470475</v>
      </c>
      <c r="D39" s="8">
        <f t="shared" si="22"/>
        <v>1586.2944734418652</v>
      </c>
      <c r="E39" s="8">
        <f t="shared" si="22"/>
        <v>1509.5292257232582</v>
      </c>
      <c r="F39" s="8">
        <f t="shared" si="22"/>
        <v>1442.18643788954</v>
      </c>
      <c r="G39" s="8">
        <f t="shared" si="22"/>
        <v>1369.4396357936305</v>
      </c>
      <c r="H39" s="8">
        <f t="shared" si="22"/>
        <v>1307.5008622221042</v>
      </c>
      <c r="I39" s="8">
        <f t="shared" si="22"/>
        <v>1249.5805342732751</v>
      </c>
      <c r="J39" s="8">
        <f t="shared" si="22"/>
        <v>1234.5205799477146</v>
      </c>
      <c r="K39" s="8">
        <f t="shared" si="22"/>
        <v>1218.9008232692963</v>
      </c>
      <c r="L39" s="8">
        <f t="shared" si="22"/>
        <v>1203.2810665908823</v>
      </c>
      <c r="M39" s="8">
        <f t="shared" si="22"/>
        <v>1187.6613099124684</v>
      </c>
      <c r="N39" s="8">
        <f t="shared" si="22"/>
        <v>1172.0415532340498</v>
      </c>
      <c r="O39" s="8">
        <f t="shared" si="22"/>
        <v>1156.421796555635</v>
      </c>
      <c r="P39" s="8">
        <f t="shared" si="22"/>
        <v>1140.8020398772162</v>
      </c>
      <c r="Q39" s="8">
        <f t="shared" si="22"/>
        <v>1125.1822831988025</v>
      </c>
      <c r="R39" s="8">
        <f t="shared" si="22"/>
        <v>1109.5625265203885</v>
      </c>
      <c r="S39" s="8">
        <f t="shared" si="22"/>
        <v>1093.9427698419699</v>
      </c>
      <c r="T39" s="8">
        <f t="shared" si="22"/>
        <v>1078.3230131635553</v>
      </c>
      <c r="U39" s="8">
        <f t="shared" si="22"/>
        <v>1062.7032564851365</v>
      </c>
      <c r="V39" s="8">
        <f t="shared" si="22"/>
        <v>1047.0834998067226</v>
      </c>
      <c r="W39" s="8">
        <f t="shared" si="22"/>
        <v>1031.4637431283088</v>
      </c>
      <c r="X39" s="8">
        <f t="shared" si="22"/>
        <v>1015.8439864498902</v>
      </c>
      <c r="Y39" s="8">
        <f t="shared" si="22"/>
        <v>1000.2242297714754</v>
      </c>
      <c r="Z39" s="8">
        <f t="shared" si="22"/>
        <v>984.60447309305675</v>
      </c>
      <c r="AA39" s="8">
        <f t="shared" si="22"/>
        <v>968.984716414643</v>
      </c>
      <c r="AB39" s="8">
        <f t="shared" si="22"/>
        <v>953.36495973622937</v>
      </c>
      <c r="AC39" s="8">
        <f t="shared" si="22"/>
        <v>937.64474191724287</v>
      </c>
    </row>
  </sheetData>
  <mergeCells count="35">
    <mergeCell ref="K16:L16"/>
    <mergeCell ref="V3:W3"/>
    <mergeCell ref="V4:W4"/>
    <mergeCell ref="V5:W5"/>
    <mergeCell ref="V6:W6"/>
    <mergeCell ref="V7:W7"/>
    <mergeCell ref="V8:W8"/>
    <mergeCell ref="V9:W9"/>
    <mergeCell ref="K8:L8"/>
    <mergeCell ref="K9:L9"/>
    <mergeCell ref="K10:L10"/>
    <mergeCell ref="K11:L11"/>
    <mergeCell ref="K12:L12"/>
    <mergeCell ref="K4:L4"/>
    <mergeCell ref="AA1:AD1"/>
    <mergeCell ref="K5:L5"/>
    <mergeCell ref="K6:L6"/>
    <mergeCell ref="E1:H1"/>
    <mergeCell ref="K7:L7"/>
    <mergeCell ref="A18:B19"/>
    <mergeCell ref="A1:C1"/>
    <mergeCell ref="V16:W16"/>
    <mergeCell ref="V2:W2"/>
    <mergeCell ref="K2:L2"/>
    <mergeCell ref="V10:W10"/>
    <mergeCell ref="V11:W11"/>
    <mergeCell ref="V12:W12"/>
    <mergeCell ref="V13:W13"/>
    <mergeCell ref="V14:W14"/>
    <mergeCell ref="V15:W15"/>
    <mergeCell ref="K14:L14"/>
    <mergeCell ref="K15:L15"/>
    <mergeCell ref="K13:L13"/>
    <mergeCell ref="K3:L3"/>
    <mergeCell ref="P1:S1"/>
  </mergeCells>
  <pageMargins left="0.7" right="0.7" top="0.75" bottom="0.75" header="0.3" footer="0.3"/>
  <pageSetup orientation="portrait" horizontalDpi="90" verticalDpi="9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25"/>
  <sheetViews>
    <sheetView workbookViewId="0">
      <selection sqref="A1:C1"/>
    </sheetView>
  </sheetViews>
  <sheetFormatPr defaultRowHeight="15"/>
  <cols>
    <col min="1" max="1" width="21.7109375" bestFit="1" customWidth="1"/>
    <col min="2" max="2" width="14.85546875" customWidth="1"/>
    <col min="3" max="3" width="12.140625" bestFit="1" customWidth="1"/>
    <col min="4" max="4" width="11.140625" bestFit="1" customWidth="1"/>
    <col min="5" max="5" width="10.28515625" customWidth="1"/>
    <col min="6" max="7" width="12.140625" bestFit="1" customWidth="1"/>
    <col min="8" max="8" width="10.5703125" customWidth="1"/>
    <col min="9" max="9" width="10.28515625" customWidth="1"/>
    <col min="10" max="33" width="9.5703125" bestFit="1" customWidth="1"/>
  </cols>
  <sheetData>
    <row r="1" spans="1:9">
      <c r="A1" s="228" t="s">
        <v>192</v>
      </c>
      <c r="B1" s="229"/>
      <c r="C1" s="229"/>
      <c r="E1" s="229"/>
      <c r="F1" s="229"/>
    </row>
    <row r="2" spans="1:9" ht="72" customHeight="1">
      <c r="A2" s="1"/>
      <c r="B2" s="4" t="s">
        <v>194</v>
      </c>
      <c r="C2" s="6" t="s">
        <v>195</v>
      </c>
      <c r="D2" s="44" t="s">
        <v>196</v>
      </c>
      <c r="E2" s="17" t="s">
        <v>199</v>
      </c>
    </row>
    <row r="3" spans="1:9">
      <c r="A3" t="s">
        <v>200</v>
      </c>
      <c r="B3" t="s">
        <v>321</v>
      </c>
      <c r="C3" t="s">
        <v>202</v>
      </c>
      <c r="D3" s="45" t="s">
        <v>124</v>
      </c>
      <c r="E3" s="43" t="s">
        <v>124</v>
      </c>
    </row>
    <row r="4" spans="1:9">
      <c r="A4" s="3" t="s">
        <v>239</v>
      </c>
      <c r="B4" s="5" t="s">
        <v>270</v>
      </c>
      <c r="C4" s="5"/>
      <c r="D4" s="74"/>
      <c r="E4" s="5"/>
    </row>
    <row r="5" spans="1:9">
      <c r="A5" s="1" t="s">
        <v>322</v>
      </c>
      <c r="B5" s="87">
        <v>3479</v>
      </c>
      <c r="C5" s="62">
        <f>B5/$B$15</f>
        <v>0.18563577183714849</v>
      </c>
      <c r="D5" s="84">
        <f>$B$23*C5</f>
        <v>728.16986878116609</v>
      </c>
      <c r="E5" s="86">
        <f t="shared" ref="E5:E12" si="0">D5</f>
        <v>728.16986878116609</v>
      </c>
      <c r="I5" s="4"/>
    </row>
    <row r="6" spans="1:9">
      <c r="A6" s="1" t="s">
        <v>323</v>
      </c>
      <c r="B6" s="87">
        <v>2393</v>
      </c>
      <c r="C6" s="62">
        <f t="shared" ref="C6:C15" si="1">B6/$B$15</f>
        <v>0.12768795688597193</v>
      </c>
      <c r="D6" s="84">
        <f t="shared" ref="D6:D14" si="2">$B$23*C6</f>
        <v>500.86533371466811</v>
      </c>
      <c r="E6" s="86">
        <f t="shared" si="0"/>
        <v>500.86533371466811</v>
      </c>
    </row>
    <row r="7" spans="1:9">
      <c r="A7" s="1" t="s">
        <v>244</v>
      </c>
      <c r="B7" s="87">
        <v>1507</v>
      </c>
      <c r="C7" s="62">
        <f t="shared" si="1"/>
        <v>8.0411931060242248E-2</v>
      </c>
      <c r="D7" s="84">
        <f t="shared" si="2"/>
        <v>315.42167066778308</v>
      </c>
      <c r="E7" s="86">
        <f t="shared" si="0"/>
        <v>315.42167066778308</v>
      </c>
    </row>
    <row r="8" spans="1:9">
      <c r="A8" s="1" t="s">
        <v>324</v>
      </c>
      <c r="B8" s="87">
        <v>369</v>
      </c>
      <c r="C8" s="62">
        <f t="shared" si="1"/>
        <v>1.9689450936449495E-2</v>
      </c>
      <c r="D8" s="84">
        <f t="shared" si="2"/>
        <v>77.233308876185774</v>
      </c>
      <c r="E8" s="86">
        <f t="shared" si="0"/>
        <v>77.233308876185774</v>
      </c>
    </row>
    <row r="9" spans="1:9">
      <c r="A9" s="1" t="s">
        <v>325</v>
      </c>
      <c r="B9" s="30">
        <v>535</v>
      </c>
      <c r="C9" s="62">
        <f t="shared" si="1"/>
        <v>2.8547035910570406E-2</v>
      </c>
      <c r="D9" s="84">
        <f t="shared" si="2"/>
        <v>111.97783265246446</v>
      </c>
      <c r="E9" s="86">
        <f t="shared" si="0"/>
        <v>111.97783265246446</v>
      </c>
    </row>
    <row r="10" spans="1:9">
      <c r="A10" s="1" t="s">
        <v>326</v>
      </c>
      <c r="B10" s="30">
        <v>1560</v>
      </c>
      <c r="C10" s="62">
        <f t="shared" si="1"/>
        <v>8.3239955178485675E-2</v>
      </c>
      <c r="D10" s="84">
        <f t="shared" si="2"/>
        <v>326.51480175298047</v>
      </c>
      <c r="E10" s="86">
        <f t="shared" si="0"/>
        <v>326.51480175298047</v>
      </c>
    </row>
    <row r="11" spans="1:9">
      <c r="A11" s="1" t="s">
        <v>327</v>
      </c>
      <c r="B11" s="30">
        <v>1209</v>
      </c>
      <c r="C11" s="62">
        <f t="shared" si="1"/>
        <v>6.4510965263326392E-2</v>
      </c>
      <c r="D11" s="84">
        <f t="shared" si="2"/>
        <v>253.04897135855987</v>
      </c>
      <c r="E11" s="86">
        <f t="shared" si="0"/>
        <v>253.04897135855987</v>
      </c>
    </row>
    <row r="12" spans="1:9">
      <c r="A12" s="1" t="s">
        <v>328</v>
      </c>
      <c r="B12" s="30">
        <v>1940</v>
      </c>
      <c r="C12" s="62">
        <f t="shared" si="1"/>
        <v>0.10351635451683475</v>
      </c>
      <c r="D12" s="84">
        <f t="shared" si="2"/>
        <v>406.05045859024494</v>
      </c>
      <c r="E12" s="86">
        <f t="shared" si="0"/>
        <v>406.05045859024494</v>
      </c>
    </row>
    <row r="13" spans="1:9">
      <c r="A13" s="1" t="s">
        <v>329</v>
      </c>
      <c r="B13" s="30">
        <v>3829</v>
      </c>
      <c r="C13" s="62">
        <f t="shared" si="1"/>
        <v>0.20431140280668053</v>
      </c>
      <c r="D13" s="84">
        <f t="shared" si="2"/>
        <v>801.42639481548861</v>
      </c>
      <c r="E13" s="86">
        <f>D13</f>
        <v>801.42639481548861</v>
      </c>
    </row>
    <row r="14" spans="1:9">
      <c r="A14" s="3" t="s">
        <v>330</v>
      </c>
      <c r="B14" s="33">
        <v>1920</v>
      </c>
      <c r="C14" s="48">
        <f t="shared" si="1"/>
        <v>0.10244917560429007</v>
      </c>
      <c r="D14" s="83">
        <f t="shared" si="2"/>
        <v>401.8643713882837</v>
      </c>
      <c r="E14" s="85">
        <f>D14</f>
        <v>401.8643713882837</v>
      </c>
    </row>
    <row r="15" spans="1:9">
      <c r="A15" s="1" t="s">
        <v>331</v>
      </c>
      <c r="B15" s="30">
        <v>18741</v>
      </c>
      <c r="C15" s="62">
        <f t="shared" si="1"/>
        <v>1</v>
      </c>
      <c r="D15" s="84">
        <f>$B$23*C15</f>
        <v>3922.5730125978253</v>
      </c>
      <c r="E15" s="86">
        <f>SUM(E5:E14)</f>
        <v>3922.5730125978253</v>
      </c>
    </row>
    <row r="19" spans="1:29" ht="14.45" customHeight="1">
      <c r="A19" s="227" t="s">
        <v>221</v>
      </c>
      <c r="B19" s="22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row>
    <row r="20" spans="1:29" ht="14.45" customHeight="1">
      <c r="A20" s="227"/>
      <c r="B20" s="22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row>
    <row r="22" spans="1:29">
      <c r="A22" t="s">
        <v>95</v>
      </c>
      <c r="B22">
        <v>2023</v>
      </c>
      <c r="C22">
        <v>2024</v>
      </c>
      <c r="D22">
        <v>2025</v>
      </c>
      <c r="E22">
        <v>2026</v>
      </c>
      <c r="F22">
        <v>2027</v>
      </c>
      <c r="G22">
        <v>2028</v>
      </c>
      <c r="H22">
        <v>2029</v>
      </c>
      <c r="I22">
        <v>2030</v>
      </c>
      <c r="J22">
        <v>2031</v>
      </c>
      <c r="K22">
        <v>2032</v>
      </c>
      <c r="L22">
        <v>2033</v>
      </c>
      <c r="M22">
        <v>2034</v>
      </c>
      <c r="N22">
        <v>2035</v>
      </c>
      <c r="O22">
        <v>2036</v>
      </c>
      <c r="P22">
        <v>2037</v>
      </c>
      <c r="Q22">
        <v>2038</v>
      </c>
      <c r="R22">
        <v>2039</v>
      </c>
      <c r="S22">
        <v>2040</v>
      </c>
      <c r="T22">
        <v>2041</v>
      </c>
      <c r="U22">
        <v>2042</v>
      </c>
      <c r="V22">
        <v>2043</v>
      </c>
      <c r="W22">
        <v>2044</v>
      </c>
      <c r="X22">
        <v>2045</v>
      </c>
      <c r="Y22">
        <v>2046</v>
      </c>
      <c r="Z22">
        <v>2047</v>
      </c>
      <c r="AA22">
        <v>2048</v>
      </c>
      <c r="AB22">
        <v>2049</v>
      </c>
      <c r="AC22">
        <v>2050</v>
      </c>
    </row>
    <row r="23" spans="1:29">
      <c r="A23" t="s">
        <v>318</v>
      </c>
      <c r="B23" s="8">
        <v>3922.5730125978253</v>
      </c>
      <c r="C23" s="8">
        <v>3641.424193089128</v>
      </c>
      <c r="D23" s="8">
        <v>3374.6374867063932</v>
      </c>
      <c r="E23" s="8">
        <v>3238.1631211732542</v>
      </c>
      <c r="F23" s="8">
        <v>3117.042354841833</v>
      </c>
      <c r="G23" s="8">
        <v>3013.0519987539087</v>
      </c>
      <c r="H23" s="8">
        <v>2913.5514503574818</v>
      </c>
      <c r="I23" s="8">
        <v>2823.4878988190967</v>
      </c>
      <c r="J23" s="8">
        <v>2788.9573149555104</v>
      </c>
      <c r="K23" s="8">
        <v>2753.6641300340143</v>
      </c>
      <c r="L23" s="8">
        <v>2718.3709451125169</v>
      </c>
      <c r="M23" s="8">
        <v>2683.077760191024</v>
      </c>
      <c r="N23" s="8">
        <v>2647.7845752695239</v>
      </c>
      <c r="O23" s="8">
        <v>2612.4913903480328</v>
      </c>
      <c r="P23" s="8">
        <v>2577.1982054265327</v>
      </c>
      <c r="Q23" s="8">
        <v>2541.905020505038</v>
      </c>
      <c r="R23" s="8">
        <v>2506.6118355835392</v>
      </c>
      <c r="S23" s="8">
        <v>2471.318650662045</v>
      </c>
      <c r="T23" s="8">
        <v>2436.0254657405435</v>
      </c>
      <c r="U23" s="8">
        <v>2400.732280819052</v>
      </c>
      <c r="V23" s="8">
        <v>2365.4390958975514</v>
      </c>
      <c r="W23" s="8">
        <v>2330.1459109760553</v>
      </c>
      <c r="X23" s="8">
        <v>2294.852726054557</v>
      </c>
      <c r="Y23" s="8">
        <v>2259.5595411330628</v>
      </c>
      <c r="Z23" s="8">
        <v>2224.266356211564</v>
      </c>
      <c r="AA23" s="8">
        <v>2188.9731712900693</v>
      </c>
      <c r="AB23" s="8">
        <v>2153.6799863685746</v>
      </c>
      <c r="AC23" s="8">
        <v>2117.6159241143237</v>
      </c>
    </row>
    <row r="24" spans="1:29">
      <c r="A24" t="s">
        <v>223</v>
      </c>
      <c r="B24" s="15" t="s">
        <v>71</v>
      </c>
      <c r="C24" s="14">
        <f>1-(C23/B23)</f>
        <v>7.1674591806386578E-2</v>
      </c>
      <c r="D24" s="14">
        <f t="shared" ref="D24:AC24" si="3">1-(D23/C23)</f>
        <v>7.3264385645884222E-2</v>
      </c>
      <c r="E24" s="14">
        <f t="shared" si="3"/>
        <v>4.0441192889828392E-2</v>
      </c>
      <c r="F24" s="14">
        <f t="shared" si="3"/>
        <v>3.740415840679967E-2</v>
      </c>
      <c r="G24" s="14">
        <f t="shared" si="3"/>
        <v>3.3361868158894858E-2</v>
      </c>
      <c r="H24" s="14">
        <f t="shared" si="3"/>
        <v>3.302317664533394E-2</v>
      </c>
      <c r="I24" s="14">
        <f t="shared" si="3"/>
        <v>3.0911948209232598E-2</v>
      </c>
      <c r="J24" s="14">
        <f t="shared" si="3"/>
        <v>1.2229761593109179E-2</v>
      </c>
      <c r="K24" s="14">
        <f t="shared" si="3"/>
        <v>1.2654616380193384E-2</v>
      </c>
      <c r="L24" s="14">
        <f t="shared" si="3"/>
        <v>1.2816808170813987E-2</v>
      </c>
      <c r="M24" s="14">
        <f t="shared" si="3"/>
        <v>1.2983211502075598E-2</v>
      </c>
      <c r="N24" s="14">
        <f t="shared" si="3"/>
        <v>1.3153992569707507E-2</v>
      </c>
      <c r="O24" s="14">
        <f t="shared" si="3"/>
        <v>1.332932643053053E-2</v>
      </c>
      <c r="P24" s="14">
        <f t="shared" si="3"/>
        <v>1.3509397601037976E-2</v>
      </c>
      <c r="Q24" s="14">
        <f t="shared" si="3"/>
        <v>1.3694400705068666E-2</v>
      </c>
      <c r="R24" s="14">
        <f t="shared" si="3"/>
        <v>1.3884541175533949E-2</v>
      </c>
      <c r="S24" s="14">
        <f t="shared" si="3"/>
        <v>1.4080036015340247E-2</v>
      </c>
      <c r="T24" s="14">
        <f t="shared" si="3"/>
        <v>1.4281114623582392E-2</v>
      </c>
      <c r="U24" s="14">
        <f t="shared" si="3"/>
        <v>1.4488019693489784E-2</v>
      </c>
      <c r="V24" s="14">
        <f t="shared" si="3"/>
        <v>1.4701008189659359E-2</v>
      </c>
      <c r="W24" s="14">
        <f t="shared" si="3"/>
        <v>1.4920352412668758E-2</v>
      </c>
      <c r="X24" s="14">
        <f t="shared" si="3"/>
        <v>1.5146341160547583E-2</v>
      </c>
      <c r="Y24" s="14">
        <f t="shared" si="3"/>
        <v>1.5379280997335432E-2</v>
      </c>
      <c r="Z24" s="14">
        <f t="shared" si="3"/>
        <v>1.5619497640589231E-2</v>
      </c>
      <c r="AA24" s="14">
        <f t="shared" si="3"/>
        <v>1.5867337480933275E-2</v>
      </c>
      <c r="AB24" s="14">
        <f t="shared" si="3"/>
        <v>1.6123169248664082E-2</v>
      </c>
      <c r="AC24" s="14">
        <f t="shared" si="3"/>
        <v>1.6745320791628049E-2</v>
      </c>
    </row>
    <row r="25" spans="1:29">
      <c r="A25" t="s">
        <v>224</v>
      </c>
      <c r="B25" s="8">
        <f>E15</f>
        <v>3922.5730125978253</v>
      </c>
      <c r="C25" s="8">
        <f>B25*(1-C24)</f>
        <v>3641.424193089128</v>
      </c>
      <c r="D25" s="8">
        <f t="shared" ref="D25:AC25" si="4">C25*(1-D24)</f>
        <v>3374.6374867063932</v>
      </c>
      <c r="E25" s="8">
        <f t="shared" si="4"/>
        <v>3238.1631211732542</v>
      </c>
      <c r="F25" s="8">
        <f t="shared" si="4"/>
        <v>3117.042354841833</v>
      </c>
      <c r="G25" s="8">
        <f t="shared" si="4"/>
        <v>3013.0519987539087</v>
      </c>
      <c r="H25" s="8">
        <f t="shared" si="4"/>
        <v>2913.5514503574818</v>
      </c>
      <c r="I25" s="8">
        <f t="shared" si="4"/>
        <v>2823.4878988190967</v>
      </c>
      <c r="J25" s="8">
        <f t="shared" si="4"/>
        <v>2788.9573149555104</v>
      </c>
      <c r="K25" s="8">
        <f t="shared" si="4"/>
        <v>2753.6641300340143</v>
      </c>
      <c r="L25" s="8">
        <f t="shared" si="4"/>
        <v>2718.3709451125169</v>
      </c>
      <c r="M25" s="8">
        <f t="shared" si="4"/>
        <v>2683.077760191024</v>
      </c>
      <c r="N25" s="8">
        <f t="shared" si="4"/>
        <v>2647.7845752695239</v>
      </c>
      <c r="O25" s="8">
        <f t="shared" si="4"/>
        <v>2612.4913903480328</v>
      </c>
      <c r="P25" s="8">
        <f t="shared" si="4"/>
        <v>2577.1982054265327</v>
      </c>
      <c r="Q25" s="8">
        <f t="shared" si="4"/>
        <v>2541.905020505038</v>
      </c>
      <c r="R25" s="8">
        <f t="shared" si="4"/>
        <v>2506.6118355835392</v>
      </c>
      <c r="S25" s="8">
        <f t="shared" si="4"/>
        <v>2471.318650662045</v>
      </c>
      <c r="T25" s="8">
        <f t="shared" si="4"/>
        <v>2436.0254657405435</v>
      </c>
      <c r="U25" s="8">
        <f t="shared" si="4"/>
        <v>2400.732280819052</v>
      </c>
      <c r="V25" s="8">
        <f t="shared" si="4"/>
        <v>2365.4390958975514</v>
      </c>
      <c r="W25" s="8">
        <f t="shared" si="4"/>
        <v>2330.1459109760553</v>
      </c>
      <c r="X25" s="8">
        <f t="shared" si="4"/>
        <v>2294.852726054557</v>
      </c>
      <c r="Y25" s="8">
        <f t="shared" si="4"/>
        <v>2259.5595411330628</v>
      </c>
      <c r="Z25" s="8">
        <f t="shared" si="4"/>
        <v>2224.266356211564</v>
      </c>
      <c r="AA25" s="8">
        <f t="shared" si="4"/>
        <v>2188.9731712900693</v>
      </c>
      <c r="AB25" s="8">
        <f t="shared" si="4"/>
        <v>2153.6799863685746</v>
      </c>
      <c r="AC25" s="8">
        <f t="shared" si="4"/>
        <v>2117.6159241143237</v>
      </c>
    </row>
  </sheetData>
  <mergeCells count="3">
    <mergeCell ref="A1:C1"/>
    <mergeCell ref="E1:F1"/>
    <mergeCell ref="A19:B20"/>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H85"/>
  <sheetViews>
    <sheetView topLeftCell="A70" workbookViewId="0">
      <selection activeCell="B60" sqref="B60"/>
    </sheetView>
  </sheetViews>
  <sheetFormatPr defaultRowHeight="15"/>
  <cols>
    <col min="1" max="1" width="49.7109375" customWidth="1"/>
    <col min="2" max="2" width="30.28515625" bestFit="1" customWidth="1"/>
    <col min="3" max="3" width="22.5703125" customWidth="1"/>
    <col min="4" max="4" width="10.7109375" bestFit="1" customWidth="1"/>
    <col min="5" max="5" width="17.5703125" bestFit="1" customWidth="1"/>
    <col min="6" max="6" width="10.7109375" bestFit="1" customWidth="1"/>
    <col min="7" max="7" width="30" bestFit="1" customWidth="1"/>
    <col min="8" max="8" width="30.28515625" bestFit="1" customWidth="1"/>
    <col min="9" max="9" width="22.5703125" customWidth="1"/>
    <col min="10" max="10" width="10.7109375" bestFit="1" customWidth="1"/>
    <col min="11" max="11" width="17.5703125" bestFit="1" customWidth="1"/>
    <col min="12" max="12" width="10.7109375" bestFit="1" customWidth="1"/>
    <col min="13" max="13" width="30" bestFit="1" customWidth="1"/>
    <col min="14" max="14" width="30.28515625" bestFit="1" customWidth="1"/>
    <col min="15" max="15" width="22.5703125" customWidth="1"/>
    <col min="16" max="16" width="10.5703125" bestFit="1" customWidth="1"/>
    <col min="17" max="17" width="17.5703125" bestFit="1" customWidth="1"/>
    <col min="18" max="19" width="10.5703125" bestFit="1" customWidth="1"/>
    <col min="20" max="20" width="7.140625" bestFit="1" customWidth="1"/>
    <col min="21" max="22" width="10.5703125" bestFit="1" customWidth="1"/>
    <col min="23" max="23" width="17.7109375" customWidth="1"/>
    <col min="24" max="26" width="10.5703125" bestFit="1" customWidth="1"/>
    <col min="27" max="27" width="31.7109375" customWidth="1"/>
    <col min="28" max="28" width="15.28515625" customWidth="1"/>
    <col min="29" max="29" width="31" customWidth="1"/>
    <col min="30" max="33" width="10.5703125" bestFit="1" customWidth="1"/>
  </cols>
  <sheetData>
    <row r="1" spans="1:34">
      <c r="A1" s="109" t="s">
        <v>332</v>
      </c>
      <c r="B1" s="34"/>
      <c r="C1" s="109" t="s">
        <v>333</v>
      </c>
      <c r="D1" s="110">
        <f>1- SUM(D30,D12)/SUM(B30,B12)</f>
        <v>7.5731591258631381E-2</v>
      </c>
      <c r="G1" s="109" t="s">
        <v>334</v>
      </c>
      <c r="H1" s="34"/>
      <c r="I1" s="109" t="s">
        <v>333</v>
      </c>
      <c r="J1" s="110">
        <f>1- SUM(J27,J12)/SUM(H27,H12)</f>
        <v>6.5254055726595594E-2</v>
      </c>
      <c r="M1" s="109" t="s">
        <v>335</v>
      </c>
      <c r="N1" s="34"/>
      <c r="O1" s="109" t="s">
        <v>333</v>
      </c>
      <c r="P1" s="110">
        <f>1- SUM(P30,P12,Q45)/SUM(N30,N12,O45)</f>
        <v>0.10182360968664106</v>
      </c>
      <c r="V1" s="109" t="s">
        <v>336</v>
      </c>
      <c r="W1" s="34"/>
      <c r="X1" s="34"/>
      <c r="Y1" s="34"/>
      <c r="Z1" s="34"/>
      <c r="AA1" s="34"/>
      <c r="AB1" s="34"/>
      <c r="AC1" s="34"/>
      <c r="AD1" s="34"/>
      <c r="AE1" s="34"/>
      <c r="AF1" s="34"/>
      <c r="AG1" s="34"/>
      <c r="AH1" s="34"/>
    </row>
    <row r="2" spans="1:34">
      <c r="V2" t="s">
        <v>337</v>
      </c>
      <c r="W2" t="s">
        <v>338</v>
      </c>
    </row>
    <row r="3" spans="1:34">
      <c r="A3" s="27" t="s">
        <v>339</v>
      </c>
      <c r="B3" s="27" t="s">
        <v>340</v>
      </c>
      <c r="C3" s="27" t="s">
        <v>341</v>
      </c>
      <c r="D3" s="27" t="s">
        <v>342</v>
      </c>
      <c r="G3" s="27" t="s">
        <v>339</v>
      </c>
      <c r="H3" s="27" t="s">
        <v>340</v>
      </c>
      <c r="I3" s="27" t="s">
        <v>341</v>
      </c>
      <c r="J3" s="27" t="s">
        <v>342</v>
      </c>
      <c r="M3" s="27" t="s">
        <v>339</v>
      </c>
      <c r="N3" s="27" t="s">
        <v>340</v>
      </c>
      <c r="O3" s="27" t="s">
        <v>341</v>
      </c>
      <c r="P3" s="27" t="s">
        <v>342</v>
      </c>
      <c r="V3" t="s">
        <v>343</v>
      </c>
    </row>
    <row r="4" spans="1:34">
      <c r="A4" t="s">
        <v>307</v>
      </c>
      <c r="B4" s="8">
        <f>'Battery Utility'!$T8</f>
        <v>539.21108281645684</v>
      </c>
      <c r="C4">
        <v>0</v>
      </c>
      <c r="D4" s="8">
        <f>B4*(1-C4)</f>
        <v>539.21108281645684</v>
      </c>
      <c r="G4" t="s">
        <v>307</v>
      </c>
      <c r="H4" s="8">
        <f>'Battery Utility'!$T8</f>
        <v>539.21108281645684</v>
      </c>
      <c r="I4">
        <v>0</v>
      </c>
      <c r="J4" s="8">
        <f>H4*(1-I4)</f>
        <v>539.21108281645684</v>
      </c>
      <c r="M4" t="s">
        <v>307</v>
      </c>
      <c r="N4" s="8">
        <f>'Battery Utility'!$T8</f>
        <v>539.21108281645684</v>
      </c>
      <c r="O4">
        <v>0</v>
      </c>
      <c r="P4" s="8">
        <f>N4*(1-O4)</f>
        <v>539.21108281645684</v>
      </c>
      <c r="V4" t="s">
        <v>344</v>
      </c>
    </row>
    <row r="5" spans="1:34">
      <c r="A5" t="s">
        <v>308</v>
      </c>
      <c r="B5" s="8">
        <f>'Battery Utility'!$T9</f>
        <v>124.18194634560822</v>
      </c>
      <c r="C5">
        <v>0</v>
      </c>
      <c r="D5" s="8">
        <f t="shared" ref="D5:D11" si="0">B5*(1-C5)</f>
        <v>124.18194634560822</v>
      </c>
      <c r="G5" t="s">
        <v>308</v>
      </c>
      <c r="H5" s="8">
        <f>'Battery Utility'!$T9</f>
        <v>124.18194634560822</v>
      </c>
      <c r="I5">
        <v>0</v>
      </c>
      <c r="J5" s="8">
        <f t="shared" ref="J5:J11" si="1">H5*(1-I5)</f>
        <v>124.18194634560822</v>
      </c>
      <c r="M5" t="s">
        <v>308</v>
      </c>
      <c r="N5" s="8">
        <f>'Battery Utility'!$T9</f>
        <v>124.18194634560822</v>
      </c>
      <c r="O5">
        <v>0</v>
      </c>
      <c r="P5" s="8">
        <f t="shared" ref="P5:P11" si="2">N5*(1-O5)</f>
        <v>124.18194634560822</v>
      </c>
      <c r="V5" t="s">
        <v>345</v>
      </c>
    </row>
    <row r="6" spans="1:34">
      <c r="A6" t="s">
        <v>309</v>
      </c>
      <c r="B6" s="8">
        <f>'Battery Utility'!$T10</f>
        <v>51.470148814298149</v>
      </c>
      <c r="C6">
        <v>0</v>
      </c>
      <c r="D6" s="8">
        <f t="shared" si="0"/>
        <v>51.470148814298149</v>
      </c>
      <c r="G6" t="s">
        <v>309</v>
      </c>
      <c r="H6" s="8">
        <f>'Battery Utility'!$T10</f>
        <v>51.470148814298149</v>
      </c>
      <c r="I6">
        <v>0</v>
      </c>
      <c r="J6" s="8">
        <f t="shared" si="1"/>
        <v>51.470148814298149</v>
      </c>
      <c r="M6" t="s">
        <v>309</v>
      </c>
      <c r="N6" s="8">
        <f>'Battery Utility'!$T10</f>
        <v>51.470148814298149</v>
      </c>
      <c r="O6">
        <v>0</v>
      </c>
      <c r="P6" s="8">
        <f t="shared" si="2"/>
        <v>51.470148814298149</v>
      </c>
    </row>
    <row r="7" spans="1:34">
      <c r="A7" t="s">
        <v>310</v>
      </c>
      <c r="B7" s="8">
        <f>'Battery Utility'!$T11</f>
        <v>1.6339729782316874</v>
      </c>
      <c r="C7">
        <v>0.15</v>
      </c>
      <c r="D7" s="8">
        <f t="shared" si="0"/>
        <v>1.3888770314969343</v>
      </c>
      <c r="G7" t="s">
        <v>310</v>
      </c>
      <c r="H7" s="8">
        <f>'Battery Utility'!$T11</f>
        <v>1.6339729782316874</v>
      </c>
      <c r="I7">
        <v>0.15</v>
      </c>
      <c r="J7" s="8">
        <f t="shared" si="1"/>
        <v>1.3888770314969343</v>
      </c>
      <c r="M7" t="s">
        <v>310</v>
      </c>
      <c r="N7" s="8">
        <f>'Battery Utility'!$T11</f>
        <v>1.6339729782316874</v>
      </c>
      <c r="O7">
        <v>0.15</v>
      </c>
      <c r="P7" s="8">
        <f t="shared" si="2"/>
        <v>1.3888770314969343</v>
      </c>
    </row>
    <row r="8" spans="1:34">
      <c r="A8" t="s">
        <v>311</v>
      </c>
      <c r="B8" s="8">
        <f>'Battery Utility'!$T12</f>
        <v>143.7896220843885</v>
      </c>
      <c r="C8">
        <v>0.15</v>
      </c>
      <c r="D8" s="8">
        <f t="shared" si="0"/>
        <v>122.22117877173022</v>
      </c>
      <c r="G8" t="s">
        <v>311</v>
      </c>
      <c r="H8" s="8">
        <f>'Battery Utility'!$T12</f>
        <v>143.7896220843885</v>
      </c>
      <c r="I8">
        <v>0.15</v>
      </c>
      <c r="J8" s="8">
        <f t="shared" si="1"/>
        <v>122.22117877173022</v>
      </c>
      <c r="M8" t="s">
        <v>311</v>
      </c>
      <c r="N8" s="8">
        <f>'Battery Utility'!$T12</f>
        <v>143.7896220843885</v>
      </c>
      <c r="O8">
        <v>0.15</v>
      </c>
      <c r="P8" s="8">
        <f t="shared" si="2"/>
        <v>122.22117877173022</v>
      </c>
      <c r="V8" s="27" t="s">
        <v>346</v>
      </c>
      <c r="W8" s="27" t="s">
        <v>347</v>
      </c>
      <c r="X8" s="27" t="s">
        <v>348</v>
      </c>
    </row>
    <row r="9" spans="1:34">
      <c r="A9" t="s">
        <v>312</v>
      </c>
      <c r="B9" s="8">
        <f>'Battery Utility'!$T13</f>
        <v>173.20113569255886</v>
      </c>
      <c r="C9">
        <v>0</v>
      </c>
      <c r="D9" s="8">
        <f t="shared" si="0"/>
        <v>173.20113569255886</v>
      </c>
      <c r="G9" t="s">
        <v>312</v>
      </c>
      <c r="H9" s="8">
        <f>'Battery Utility'!$T13</f>
        <v>173.20113569255886</v>
      </c>
      <c r="I9">
        <v>0</v>
      </c>
      <c r="J9" s="8">
        <f t="shared" si="1"/>
        <v>173.20113569255886</v>
      </c>
      <c r="M9" t="s">
        <v>312</v>
      </c>
      <c r="N9" s="8">
        <f>'Battery Utility'!$T13</f>
        <v>173.20113569255886</v>
      </c>
      <c r="O9">
        <v>0</v>
      </c>
      <c r="P9" s="8">
        <f t="shared" si="2"/>
        <v>173.20113569255886</v>
      </c>
      <c r="V9" t="s">
        <v>349</v>
      </c>
      <c r="W9">
        <v>0</v>
      </c>
      <c r="X9" t="s">
        <v>350</v>
      </c>
    </row>
    <row r="10" spans="1:34">
      <c r="A10" t="s">
        <v>313</v>
      </c>
      <c r="B10" s="8">
        <f>'Battery Utility'!$T14</f>
        <v>205.8805952571926</v>
      </c>
      <c r="C10">
        <v>0</v>
      </c>
      <c r="D10" s="8">
        <f t="shared" si="0"/>
        <v>205.8805952571926</v>
      </c>
      <c r="G10" t="s">
        <v>313</v>
      </c>
      <c r="H10" s="8">
        <f>'Battery Utility'!$T14</f>
        <v>205.8805952571926</v>
      </c>
      <c r="I10">
        <v>0</v>
      </c>
      <c r="J10" s="8">
        <f t="shared" si="1"/>
        <v>205.8805952571926</v>
      </c>
      <c r="M10" t="s">
        <v>313</v>
      </c>
      <c r="N10" s="8">
        <f>'Battery Utility'!$T14</f>
        <v>205.8805952571926</v>
      </c>
      <c r="O10">
        <v>0</v>
      </c>
      <c r="P10" s="8">
        <f t="shared" si="2"/>
        <v>205.8805952571926</v>
      </c>
      <c r="V10" t="s">
        <v>206</v>
      </c>
      <c r="W10">
        <v>0.15</v>
      </c>
      <c r="X10" t="s">
        <v>351</v>
      </c>
    </row>
    <row r="11" spans="1:34">
      <c r="A11" t="s">
        <v>314</v>
      </c>
      <c r="B11" s="8">
        <f>'Battery Utility'!$T$15</f>
        <v>74.33972978231688</v>
      </c>
      <c r="C11">
        <v>0.4</v>
      </c>
      <c r="D11" s="8">
        <f t="shared" si="0"/>
        <v>44.603837869390127</v>
      </c>
      <c r="G11" t="s">
        <v>314</v>
      </c>
      <c r="H11" s="8">
        <f>'Battery Utility'!$T$15</f>
        <v>74.33972978231688</v>
      </c>
      <c r="I11">
        <v>0.4</v>
      </c>
      <c r="J11" s="8">
        <f t="shared" si="1"/>
        <v>44.603837869390127</v>
      </c>
      <c r="M11" t="s">
        <v>314</v>
      </c>
      <c r="N11" s="8">
        <f>'Battery Utility'!$T$15</f>
        <v>74.33972978231688</v>
      </c>
      <c r="O11">
        <v>0.55000000000000004</v>
      </c>
      <c r="P11" s="8">
        <f t="shared" si="2"/>
        <v>33.452878402042593</v>
      </c>
      <c r="V11" t="s">
        <v>352</v>
      </c>
      <c r="W11">
        <v>0.15</v>
      </c>
      <c r="X11" t="s">
        <v>353</v>
      </c>
    </row>
    <row r="12" spans="1:34">
      <c r="A12" s="18" t="s">
        <v>233</v>
      </c>
      <c r="B12" s="19">
        <f>SUM(B4:B11)</f>
        <v>1313.7082337710517</v>
      </c>
      <c r="C12" s="18"/>
      <c r="D12" s="19">
        <f>SUM(D4:D11)</f>
        <v>1262.1588025987321</v>
      </c>
      <c r="G12" s="18" t="s">
        <v>233</v>
      </c>
      <c r="H12" s="19">
        <f>SUM(H4:H11)</f>
        <v>1313.7082337710517</v>
      </c>
      <c r="I12" s="18"/>
      <c r="J12" s="19">
        <f>SUM(J4:J11)</f>
        <v>1262.1588025987321</v>
      </c>
      <c r="M12" s="18" t="s">
        <v>233</v>
      </c>
      <c r="N12" s="19">
        <f>SUM(N4:N11)</f>
        <v>1313.7082337710517</v>
      </c>
      <c r="O12" s="18"/>
      <c r="P12" s="19">
        <f>SUM(P4:P11)</f>
        <v>1251.0078431313846</v>
      </c>
      <c r="V12" t="s">
        <v>354</v>
      </c>
      <c r="W12">
        <v>0.4</v>
      </c>
      <c r="X12" t="s">
        <v>355</v>
      </c>
    </row>
    <row r="13" spans="1:34">
      <c r="D13" s="8"/>
      <c r="J13" s="8"/>
      <c r="P13" s="8"/>
      <c r="V13" t="s">
        <v>356</v>
      </c>
      <c r="W13">
        <v>0.55000000000000004</v>
      </c>
      <c r="X13" t="s">
        <v>355</v>
      </c>
    </row>
    <row r="14" spans="1:34">
      <c r="D14" s="8"/>
      <c r="J14" s="8"/>
      <c r="P14" s="8"/>
      <c r="V14" t="s">
        <v>357</v>
      </c>
      <c r="W14">
        <v>0</v>
      </c>
      <c r="X14" t="s">
        <v>358</v>
      </c>
    </row>
    <row r="15" spans="1:34">
      <c r="A15" s="27" t="s">
        <v>359</v>
      </c>
      <c r="B15" s="27" t="s">
        <v>340</v>
      </c>
      <c r="C15" s="27" t="s">
        <v>341</v>
      </c>
      <c r="D15" s="65" t="s">
        <v>342</v>
      </c>
      <c r="G15" s="27" t="s">
        <v>360</v>
      </c>
      <c r="H15" s="27" t="s">
        <v>340</v>
      </c>
      <c r="I15" s="27" t="s">
        <v>341</v>
      </c>
      <c r="J15" s="65" t="s">
        <v>342</v>
      </c>
      <c r="M15" s="27" t="s">
        <v>359</v>
      </c>
      <c r="N15" s="27" t="s">
        <v>340</v>
      </c>
      <c r="O15" s="27" t="s">
        <v>341</v>
      </c>
      <c r="P15" s="65" t="s">
        <v>342</v>
      </c>
    </row>
    <row r="16" spans="1:34">
      <c r="A16" t="s">
        <v>241</v>
      </c>
      <c r="B16" s="8">
        <f>'Solar WA'!G5</f>
        <v>435.89253514370591</v>
      </c>
      <c r="C16">
        <v>0</v>
      </c>
      <c r="D16" s="8">
        <f>B16*(1-C16)</f>
        <v>435.89253514370591</v>
      </c>
      <c r="G16" t="s">
        <v>226</v>
      </c>
      <c r="H16" s="8">
        <f>'Wind WA'!G6</f>
        <v>261.49777158774378</v>
      </c>
      <c r="I16">
        <v>0</v>
      </c>
      <c r="J16" s="8">
        <f t="shared" ref="J16:J26" si="3">H16*(1-I16)</f>
        <v>261.49777158774378</v>
      </c>
      <c r="M16" t="s">
        <v>241</v>
      </c>
      <c r="N16" s="8">
        <f>B16</f>
        <v>435.89253514370591</v>
      </c>
      <c r="O16">
        <v>0</v>
      </c>
      <c r="P16" s="8">
        <f>N16*(1-O16)</f>
        <v>435.89253514370591</v>
      </c>
    </row>
    <row r="17" spans="1:16">
      <c r="A17" t="s">
        <v>242</v>
      </c>
      <c r="B17" s="8">
        <f>'Solar WA'!G6</f>
        <v>53.157626237037306</v>
      </c>
      <c r="C17">
        <v>0</v>
      </c>
      <c r="D17" s="8">
        <f t="shared" ref="D17:D29" si="4">B17*(1-C17)</f>
        <v>53.157626237037306</v>
      </c>
      <c r="G17" t="s">
        <v>227</v>
      </c>
      <c r="H17" s="8">
        <f>'Wind WA'!G7</f>
        <v>444.63732590529247</v>
      </c>
      <c r="I17">
        <v>0</v>
      </c>
      <c r="J17" s="8">
        <f t="shared" si="3"/>
        <v>444.63732590529247</v>
      </c>
      <c r="M17" t="s">
        <v>242</v>
      </c>
      <c r="N17" s="8">
        <f t="shared" ref="N17:N29" si="5">B17</f>
        <v>53.157626237037306</v>
      </c>
      <c r="O17">
        <v>0</v>
      </c>
      <c r="P17" s="8">
        <f t="shared" ref="P17:P29" si="6">N17*(1-O17)</f>
        <v>53.157626237037306</v>
      </c>
    </row>
    <row r="18" spans="1:16">
      <c r="A18" t="s">
        <v>243</v>
      </c>
      <c r="B18" s="8">
        <f>'Solar WA'!G7</f>
        <v>127.57830296888953</v>
      </c>
      <c r="C18">
        <v>0.15</v>
      </c>
      <c r="D18" s="8">
        <f t="shared" si="4"/>
        <v>108.4415575235561</v>
      </c>
      <c r="G18" t="s">
        <v>228</v>
      </c>
      <c r="H18" s="8">
        <f>'Wind WA'!G8</f>
        <v>195.89554317548746</v>
      </c>
      <c r="I18">
        <v>0</v>
      </c>
      <c r="J18" s="8">
        <f t="shared" si="3"/>
        <v>195.89554317548746</v>
      </c>
      <c r="M18" t="s">
        <v>243</v>
      </c>
      <c r="N18" s="8">
        <f t="shared" si="5"/>
        <v>127.57830296888953</v>
      </c>
      <c r="O18">
        <v>0.15</v>
      </c>
      <c r="P18" s="8">
        <f t="shared" si="6"/>
        <v>108.4415575235561</v>
      </c>
    </row>
    <row r="19" spans="1:16">
      <c r="A19" t="s">
        <v>244</v>
      </c>
      <c r="B19" s="8">
        <f>'Solar WA'!G8</f>
        <v>74.42067673185224</v>
      </c>
      <c r="C19">
        <v>0.15</v>
      </c>
      <c r="D19" s="8">
        <f t="shared" si="4"/>
        <v>63.257575222074401</v>
      </c>
      <c r="G19" t="s">
        <v>230</v>
      </c>
      <c r="H19" s="8">
        <f>'Wind WA'!G11</f>
        <v>14.578272980501394</v>
      </c>
      <c r="I19">
        <v>0</v>
      </c>
      <c r="J19" s="8">
        <f t="shared" si="3"/>
        <v>14.578272980501394</v>
      </c>
      <c r="M19" t="s">
        <v>244</v>
      </c>
      <c r="N19" s="8">
        <f t="shared" si="5"/>
        <v>74.42067673185224</v>
      </c>
      <c r="O19">
        <v>0.15</v>
      </c>
      <c r="P19" s="8">
        <f t="shared" si="6"/>
        <v>63.257575222074401</v>
      </c>
    </row>
    <row r="20" spans="1:16">
      <c r="A20" t="s">
        <v>246</v>
      </c>
      <c r="B20" s="8">
        <f>'Solar WA'!G10</f>
        <v>116.94677772148208</v>
      </c>
      <c r="C20">
        <v>0.15</v>
      </c>
      <c r="D20" s="8">
        <f t="shared" si="4"/>
        <v>99.40476106325977</v>
      </c>
      <c r="G20" t="s">
        <v>208</v>
      </c>
      <c r="H20" s="8">
        <f>'Wind WA'!G12</f>
        <v>16.400557103064067</v>
      </c>
      <c r="I20">
        <v>0.15</v>
      </c>
      <c r="J20" s="8">
        <f t="shared" si="3"/>
        <v>13.940473537604456</v>
      </c>
      <c r="M20" t="s">
        <v>246</v>
      </c>
      <c r="N20" s="8">
        <f t="shared" si="5"/>
        <v>116.94677772148208</v>
      </c>
      <c r="O20">
        <v>0.15</v>
      </c>
      <c r="P20" s="8">
        <f>N20*(1-O20)</f>
        <v>99.40476106325977</v>
      </c>
    </row>
    <row r="21" spans="1:16">
      <c r="A21" t="s">
        <v>247</v>
      </c>
      <c r="B21" s="8">
        <f>'Solar WA'!G11</f>
        <v>63.789151484444766</v>
      </c>
      <c r="C21">
        <v>0.15</v>
      </c>
      <c r="D21" s="8">
        <f t="shared" si="4"/>
        <v>54.22077876177805</v>
      </c>
      <c r="G21" t="s">
        <v>231</v>
      </c>
      <c r="H21" s="8">
        <f>'Wind WA'!G13</f>
        <v>53.757381615598888</v>
      </c>
      <c r="I21">
        <v>0</v>
      </c>
      <c r="J21" s="8">
        <f t="shared" si="3"/>
        <v>53.757381615598888</v>
      </c>
      <c r="M21" t="s">
        <v>247</v>
      </c>
      <c r="N21" s="8">
        <f t="shared" si="5"/>
        <v>63.789151484444766</v>
      </c>
      <c r="O21">
        <v>0.15</v>
      </c>
      <c r="P21" s="8">
        <f t="shared" si="6"/>
        <v>54.22077876177805</v>
      </c>
    </row>
    <row r="22" spans="1:16">
      <c r="A22" t="s">
        <v>248</v>
      </c>
      <c r="B22" s="8">
        <f>'Solar WA'!G12</f>
        <v>42.526100989629846</v>
      </c>
      <c r="C22">
        <v>0</v>
      </c>
      <c r="D22" s="8">
        <f t="shared" si="4"/>
        <v>42.526100989629846</v>
      </c>
      <c r="G22" t="s">
        <v>232</v>
      </c>
      <c r="H22" s="8">
        <f>'Wind WA'!G14</f>
        <v>40.090250696378831</v>
      </c>
      <c r="I22">
        <v>0.15</v>
      </c>
      <c r="J22" s="8">
        <f t="shared" si="3"/>
        <v>34.076713091922002</v>
      </c>
      <c r="M22" t="s">
        <v>248</v>
      </c>
      <c r="N22" s="8">
        <f t="shared" si="5"/>
        <v>42.526100989629846</v>
      </c>
      <c r="O22">
        <v>0</v>
      </c>
      <c r="P22" s="8">
        <f t="shared" si="6"/>
        <v>42.526100989629846</v>
      </c>
    </row>
    <row r="23" spans="1:16">
      <c r="A23" t="s">
        <v>250</v>
      </c>
      <c r="B23" s="8">
        <f>'Solar WA'!G14</f>
        <v>0</v>
      </c>
      <c r="C23">
        <v>0</v>
      </c>
      <c r="D23" s="8">
        <f t="shared" si="4"/>
        <v>0</v>
      </c>
      <c r="G23" t="s">
        <v>212</v>
      </c>
      <c r="H23" s="8">
        <f>'Wind WA'!G15</f>
        <v>40.090250696378831</v>
      </c>
      <c r="I23">
        <v>0.15</v>
      </c>
      <c r="J23" s="8">
        <f t="shared" si="3"/>
        <v>34.076713091922002</v>
      </c>
      <c r="M23" t="s">
        <v>250</v>
      </c>
      <c r="N23" s="8">
        <f t="shared" si="5"/>
        <v>0</v>
      </c>
      <c r="O23">
        <v>0</v>
      </c>
      <c r="P23" s="8">
        <f t="shared" si="6"/>
        <v>0</v>
      </c>
    </row>
    <row r="24" spans="1:16">
      <c r="A24" t="s">
        <v>251</v>
      </c>
      <c r="B24" s="8">
        <f>'Solar WA'!G15</f>
        <v>0</v>
      </c>
      <c r="C24">
        <v>0</v>
      </c>
      <c r="D24" s="8">
        <f t="shared" si="4"/>
        <v>0</v>
      </c>
      <c r="G24" t="s">
        <v>211</v>
      </c>
      <c r="H24" s="8">
        <f>'Wind WA'!G16</f>
        <v>288.11559888579387</v>
      </c>
      <c r="I24">
        <v>0.4</v>
      </c>
      <c r="J24" s="8">
        <f t="shared" si="3"/>
        <v>172.86935933147632</v>
      </c>
      <c r="M24" t="s">
        <v>251</v>
      </c>
      <c r="N24" s="8">
        <f t="shared" si="5"/>
        <v>0</v>
      </c>
      <c r="O24">
        <v>0.55000000000000004</v>
      </c>
      <c r="P24" s="8">
        <f t="shared" si="6"/>
        <v>0</v>
      </c>
    </row>
    <row r="25" spans="1:16">
      <c r="A25" t="s">
        <v>252</v>
      </c>
      <c r="B25" s="8">
        <f>'Solar WA'!G16</f>
        <v>31.894575742222383</v>
      </c>
      <c r="C25">
        <v>0.4</v>
      </c>
      <c r="D25" s="8">
        <f t="shared" si="4"/>
        <v>19.136745445333428</v>
      </c>
      <c r="G25" t="s">
        <v>235</v>
      </c>
      <c r="H25" s="8">
        <f>'Wind WA'!G19</f>
        <v>30.978830083565462</v>
      </c>
      <c r="I25">
        <v>0</v>
      </c>
      <c r="J25" s="8">
        <f t="shared" si="3"/>
        <v>30.978830083565462</v>
      </c>
      <c r="M25" t="s">
        <v>252</v>
      </c>
      <c r="N25" s="8">
        <f>B25</f>
        <v>31.894575742222383</v>
      </c>
      <c r="O25">
        <v>0.55000000000000004</v>
      </c>
      <c r="P25" s="8">
        <f t="shared" si="6"/>
        <v>14.35255908400007</v>
      </c>
    </row>
    <row r="26" spans="1:16">
      <c r="A26" t="s">
        <v>253</v>
      </c>
      <c r="B26" s="8">
        <f>'Solar WA'!G17</f>
        <v>177.26305049481493</v>
      </c>
      <c r="C26">
        <v>0.4</v>
      </c>
      <c r="D26" s="8">
        <f t="shared" si="4"/>
        <v>106.35783029688896</v>
      </c>
      <c r="G26" t="s">
        <v>236</v>
      </c>
      <c r="H26" s="8">
        <f>'Wind WA'!G20</f>
        <v>78.358217270194984</v>
      </c>
      <c r="I26">
        <v>0</v>
      </c>
      <c r="J26" s="8">
        <f t="shared" si="3"/>
        <v>78.358217270194984</v>
      </c>
      <c r="M26" t="s">
        <v>253</v>
      </c>
      <c r="N26" s="8">
        <f>B26</f>
        <v>177.26305049481493</v>
      </c>
      <c r="O26">
        <v>0.55000000000000004</v>
      </c>
      <c r="P26" s="8">
        <f t="shared" si="6"/>
        <v>79.768372722666712</v>
      </c>
    </row>
    <row r="27" spans="1:16">
      <c r="A27" t="s">
        <v>254</v>
      </c>
      <c r="B27" s="8">
        <f>'Solar WA'!G18</f>
        <v>21.263050494814923</v>
      </c>
      <c r="C27">
        <v>0</v>
      </c>
      <c r="D27" s="8">
        <f t="shared" si="4"/>
        <v>21.263050494814923</v>
      </c>
      <c r="G27" s="18" t="s">
        <v>233</v>
      </c>
      <c r="H27" s="19">
        <f>SUM(H16:H26)</f>
        <v>1464.4</v>
      </c>
      <c r="I27" s="18"/>
      <c r="J27" s="19">
        <f>SUM(J16:J26)</f>
        <v>1334.6666016713093</v>
      </c>
      <c r="M27" t="s">
        <v>254</v>
      </c>
      <c r="N27" s="8">
        <f t="shared" si="5"/>
        <v>21.263050494814923</v>
      </c>
      <c r="O27">
        <v>0</v>
      </c>
      <c r="P27" s="8">
        <f t="shared" si="6"/>
        <v>21.263050494814923</v>
      </c>
    </row>
    <row r="28" spans="1:16">
      <c r="A28" t="s">
        <v>255</v>
      </c>
      <c r="B28" s="8">
        <f>'Solar WA'!G19</f>
        <v>31.894575742222383</v>
      </c>
      <c r="C28">
        <v>0</v>
      </c>
      <c r="D28" s="8">
        <f t="shared" si="4"/>
        <v>31.894575742222383</v>
      </c>
      <c r="M28" t="s">
        <v>255</v>
      </c>
      <c r="N28" s="8">
        <f t="shared" si="5"/>
        <v>31.894575742222383</v>
      </c>
      <c r="O28">
        <v>0</v>
      </c>
      <c r="P28" s="8">
        <f t="shared" si="6"/>
        <v>31.894575742222383</v>
      </c>
    </row>
    <row r="29" spans="1:16">
      <c r="A29" t="s">
        <v>256</v>
      </c>
      <c r="B29" s="8">
        <f>'Solar WA'!G20</f>
        <v>53.157626237037306</v>
      </c>
      <c r="C29">
        <v>0</v>
      </c>
      <c r="D29" s="8">
        <f t="shared" si="4"/>
        <v>53.157626237037306</v>
      </c>
      <c r="M29" t="s">
        <v>256</v>
      </c>
      <c r="N29" s="8">
        <f t="shared" si="5"/>
        <v>53.157626237037306</v>
      </c>
      <c r="O29">
        <v>0</v>
      </c>
      <c r="P29" s="8">
        <f t="shared" si="6"/>
        <v>53.157626237037306</v>
      </c>
    </row>
    <row r="30" spans="1:16">
      <c r="A30" s="18" t="s">
        <v>233</v>
      </c>
      <c r="B30" s="19">
        <f>SUM(B16:B29)</f>
        <v>1229.7840499881536</v>
      </c>
      <c r="C30" s="18"/>
      <c r="D30" s="19">
        <f>SUM(D16:D29)</f>
        <v>1088.7107631573383</v>
      </c>
      <c r="M30" s="18" t="s">
        <v>233</v>
      </c>
      <c r="N30" s="19">
        <f>SUM(N16:N29)</f>
        <v>1229.7840499881536</v>
      </c>
      <c r="O30" s="18"/>
      <c r="P30" s="19">
        <f>SUM(P16:P29)</f>
        <v>1057.3371192217828</v>
      </c>
    </row>
    <row r="33" spans="2:17">
      <c r="N33" s="27" t="s">
        <v>360</v>
      </c>
      <c r="O33" s="27" t="s">
        <v>340</v>
      </c>
      <c r="P33" s="27" t="s">
        <v>341</v>
      </c>
      <c r="Q33" s="65" t="s">
        <v>342</v>
      </c>
    </row>
    <row r="34" spans="2:17">
      <c r="N34" t="s">
        <v>226</v>
      </c>
      <c r="O34" s="8">
        <f t="shared" ref="O34:O44" si="7">H16</f>
        <v>261.49777158774378</v>
      </c>
      <c r="P34">
        <v>0</v>
      </c>
      <c r="Q34" s="8">
        <f t="shared" ref="Q34:Q44" si="8">O34*(1-P34)</f>
        <v>261.49777158774378</v>
      </c>
    </row>
    <row r="35" spans="2:17">
      <c r="N35" t="s">
        <v>227</v>
      </c>
      <c r="O35" s="8">
        <f t="shared" si="7"/>
        <v>444.63732590529247</v>
      </c>
      <c r="P35">
        <v>0</v>
      </c>
      <c r="Q35" s="8">
        <f t="shared" si="8"/>
        <v>444.63732590529247</v>
      </c>
    </row>
    <row r="36" spans="2:17">
      <c r="B36" s="8"/>
      <c r="D36" s="8"/>
      <c r="E36" s="8"/>
      <c r="F36" s="8"/>
      <c r="G36" s="8"/>
      <c r="H36" s="8"/>
      <c r="I36" s="8"/>
      <c r="J36" s="8"/>
      <c r="N36" t="s">
        <v>228</v>
      </c>
      <c r="O36" s="8">
        <f t="shared" si="7"/>
        <v>195.89554317548746</v>
      </c>
      <c r="P36">
        <v>0</v>
      </c>
      <c r="Q36" s="8">
        <f t="shared" si="8"/>
        <v>195.89554317548746</v>
      </c>
    </row>
    <row r="37" spans="2:17">
      <c r="N37" t="s">
        <v>230</v>
      </c>
      <c r="O37" s="8">
        <f t="shared" si="7"/>
        <v>14.578272980501394</v>
      </c>
      <c r="P37">
        <v>0</v>
      </c>
      <c r="Q37" s="8">
        <f t="shared" si="8"/>
        <v>14.578272980501394</v>
      </c>
    </row>
    <row r="38" spans="2:17">
      <c r="N38" t="s">
        <v>208</v>
      </c>
      <c r="O38" s="8">
        <f t="shared" si="7"/>
        <v>16.400557103064067</v>
      </c>
      <c r="P38">
        <v>0.15</v>
      </c>
      <c r="Q38" s="8">
        <f t="shared" si="8"/>
        <v>13.940473537604456</v>
      </c>
    </row>
    <row r="39" spans="2:17">
      <c r="N39" t="s">
        <v>231</v>
      </c>
      <c r="O39" s="8">
        <f t="shared" si="7"/>
        <v>53.757381615598888</v>
      </c>
      <c r="P39">
        <v>0</v>
      </c>
      <c r="Q39" s="8">
        <f t="shared" si="8"/>
        <v>53.757381615598888</v>
      </c>
    </row>
    <row r="40" spans="2:17">
      <c r="N40" t="s">
        <v>232</v>
      </c>
      <c r="O40" s="8">
        <f t="shared" si="7"/>
        <v>40.090250696378831</v>
      </c>
      <c r="P40">
        <v>0.15</v>
      </c>
      <c r="Q40" s="8">
        <f t="shared" si="8"/>
        <v>34.076713091922002</v>
      </c>
    </row>
    <row r="41" spans="2:17">
      <c r="N41" t="s">
        <v>212</v>
      </c>
      <c r="O41" s="8">
        <f t="shared" si="7"/>
        <v>40.090250696378831</v>
      </c>
      <c r="P41">
        <v>0.15</v>
      </c>
      <c r="Q41" s="8">
        <f t="shared" si="8"/>
        <v>34.076713091922002</v>
      </c>
    </row>
    <row r="42" spans="2:17">
      <c r="N42" t="s">
        <v>211</v>
      </c>
      <c r="O42" s="8">
        <f t="shared" si="7"/>
        <v>288.11559888579387</v>
      </c>
      <c r="P42">
        <v>0.55000000000000004</v>
      </c>
      <c r="Q42" s="8">
        <f t="shared" si="8"/>
        <v>129.65201949860722</v>
      </c>
    </row>
    <row r="43" spans="2:17">
      <c r="N43" t="s">
        <v>235</v>
      </c>
      <c r="O43" s="8">
        <f t="shared" si="7"/>
        <v>30.978830083565462</v>
      </c>
      <c r="P43">
        <v>0</v>
      </c>
      <c r="Q43" s="8">
        <f t="shared" si="8"/>
        <v>30.978830083565462</v>
      </c>
    </row>
    <row r="44" spans="2:17">
      <c r="N44" t="s">
        <v>236</v>
      </c>
      <c r="O44" s="8">
        <f t="shared" si="7"/>
        <v>78.358217270194984</v>
      </c>
      <c r="P44">
        <v>0</v>
      </c>
      <c r="Q44" s="8">
        <f t="shared" si="8"/>
        <v>78.358217270194984</v>
      </c>
    </row>
    <row r="45" spans="2:17">
      <c r="N45" s="18" t="s">
        <v>233</v>
      </c>
      <c r="O45" s="19">
        <f>SUM(O34:O44)</f>
        <v>1464.4</v>
      </c>
      <c r="P45" s="18"/>
      <c r="Q45" s="19">
        <f>SUM(Q34:Q44)</f>
        <v>1291.4492618384402</v>
      </c>
    </row>
    <row r="50" spans="1:32" ht="14.45" customHeight="1">
      <c r="A50" s="227" t="s">
        <v>221</v>
      </c>
      <c r="B50" s="22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row>
    <row r="51" spans="1:32" ht="14.45" customHeight="1">
      <c r="A51" s="227"/>
      <c r="B51" s="22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row>
    <row r="53" spans="1:32" s="18" customFormat="1">
      <c r="A53" s="180" t="s">
        <v>361</v>
      </c>
      <c r="B53" s="184">
        <v>2023</v>
      </c>
      <c r="C53" s="184">
        <v>2024</v>
      </c>
      <c r="D53" s="184">
        <v>2025</v>
      </c>
      <c r="E53" s="184">
        <v>2026</v>
      </c>
      <c r="F53" s="184">
        <v>2027</v>
      </c>
      <c r="G53" s="184">
        <v>2028</v>
      </c>
      <c r="H53" s="184">
        <v>2029</v>
      </c>
      <c r="I53" s="184">
        <v>2030</v>
      </c>
      <c r="J53" s="184">
        <v>2031</v>
      </c>
      <c r="K53" s="184">
        <v>2032</v>
      </c>
      <c r="L53" s="184">
        <v>2033</v>
      </c>
      <c r="M53" s="184">
        <v>2034</v>
      </c>
      <c r="N53" s="184">
        <v>2035</v>
      </c>
      <c r="O53" s="184">
        <v>2036</v>
      </c>
      <c r="P53" s="184">
        <v>2037</v>
      </c>
      <c r="Q53" s="184">
        <v>2038</v>
      </c>
      <c r="R53" s="184">
        <v>2039</v>
      </c>
      <c r="S53" s="184">
        <v>2040</v>
      </c>
      <c r="T53" s="184">
        <v>2041</v>
      </c>
      <c r="U53" s="184">
        <v>2042</v>
      </c>
      <c r="V53" s="184">
        <v>2043</v>
      </c>
      <c r="W53" s="184">
        <v>2044</v>
      </c>
      <c r="X53" s="184">
        <v>2045</v>
      </c>
      <c r="Y53" s="184">
        <v>2046</v>
      </c>
      <c r="Z53" s="184">
        <v>2047</v>
      </c>
      <c r="AA53" s="184">
        <v>2048</v>
      </c>
      <c r="AB53" s="184">
        <v>2049</v>
      </c>
      <c r="AC53" s="177">
        <v>2050</v>
      </c>
    </row>
    <row r="54" spans="1:32">
      <c r="A54" s="1" t="s">
        <v>362</v>
      </c>
      <c r="B54" s="8">
        <v>1073.7840499881536</v>
      </c>
      <c r="C54" s="8">
        <v>1027.7458022963965</v>
      </c>
      <c r="D54" s="8">
        <v>981.70755460463931</v>
      </c>
      <c r="E54" s="8">
        <v>936.38790476413044</v>
      </c>
      <c r="F54" s="8">
        <v>890.99688125358807</v>
      </c>
      <c r="G54" s="8">
        <v>845.53458811402959</v>
      </c>
      <c r="H54" s="8">
        <v>800.00112898487714</v>
      </c>
      <c r="I54" s="8">
        <v>754.39660710636997</v>
      </c>
      <c r="J54" s="8">
        <v>747.67428745081747</v>
      </c>
      <c r="K54" s="8">
        <v>740.95196779526509</v>
      </c>
      <c r="L54" s="8">
        <v>734.22964813971271</v>
      </c>
      <c r="M54" s="8">
        <v>727.50732848416033</v>
      </c>
      <c r="N54" s="8">
        <v>720.78500882860794</v>
      </c>
      <c r="O54" s="8">
        <v>714.06268917305556</v>
      </c>
      <c r="P54" s="8">
        <v>707.34036951750318</v>
      </c>
      <c r="Q54" s="8">
        <v>700.61804986195079</v>
      </c>
      <c r="R54" s="8">
        <v>693.8957302063983</v>
      </c>
      <c r="S54" s="8">
        <v>687.17341055084592</v>
      </c>
      <c r="T54" s="8">
        <v>680.45109089529353</v>
      </c>
      <c r="U54" s="8">
        <v>673.72877123974115</v>
      </c>
      <c r="V54" s="8">
        <v>667.00645158418877</v>
      </c>
      <c r="W54" s="8">
        <v>660.28413192863638</v>
      </c>
      <c r="X54" s="8">
        <v>653.561812273084</v>
      </c>
      <c r="Y54" s="8">
        <v>646.83949261753162</v>
      </c>
      <c r="Z54" s="8">
        <v>640.11717296197912</v>
      </c>
      <c r="AA54" s="8">
        <v>633.39485330642674</v>
      </c>
      <c r="AB54" s="8">
        <v>626.67253365087436</v>
      </c>
      <c r="AC54" s="185">
        <v>619.95021399532209</v>
      </c>
    </row>
    <row r="55" spans="1:32">
      <c r="A55" s="1" t="s">
        <v>363</v>
      </c>
      <c r="B55" s="14"/>
      <c r="C55" s="191">
        <f t="shared" ref="C55:AC55" si="9">1-(C54/B54)</f>
        <v>4.2874773277052247E-2</v>
      </c>
      <c r="D55" s="191">
        <f t="shared" si="9"/>
        <v>4.4795364368201973E-2</v>
      </c>
      <c r="E55" s="191">
        <f t="shared" si="9"/>
        <v>4.6164104195735134E-2</v>
      </c>
      <c r="F55" s="191">
        <f t="shared" si="9"/>
        <v>4.8474594000630589E-2</v>
      </c>
      <c r="G55" s="191">
        <f t="shared" si="9"/>
        <v>5.1024076622575021E-2</v>
      </c>
      <c r="H55" s="191">
        <f t="shared" si="9"/>
        <v>5.3851681254950323E-2</v>
      </c>
      <c r="I55" s="191">
        <f t="shared" si="9"/>
        <v>5.7005571900098251E-2</v>
      </c>
      <c r="J55" s="191">
        <f t="shared" si="9"/>
        <v>8.9108561626982663E-3</v>
      </c>
      <c r="K55" s="191">
        <f t="shared" si="9"/>
        <v>8.9909734337287883E-3</v>
      </c>
      <c r="L55" s="191">
        <f t="shared" si="9"/>
        <v>9.0725444397630195E-3</v>
      </c>
      <c r="M55" s="191">
        <f t="shared" si="9"/>
        <v>9.1556091102892312E-3</v>
      </c>
      <c r="N55" s="191">
        <f t="shared" si="9"/>
        <v>9.240208850622933E-3</v>
      </c>
      <c r="O55" s="191">
        <f t="shared" si="9"/>
        <v>9.3263866107277105E-3</v>
      </c>
      <c r="P55" s="191">
        <f t="shared" si="9"/>
        <v>9.4141869579229542E-3</v>
      </c>
      <c r="Q55" s="191">
        <f t="shared" si="9"/>
        <v>9.5036561537380493E-3</v>
      </c>
      <c r="R55" s="191">
        <f t="shared" si="9"/>
        <v>9.5948422351908036E-3</v>
      </c>
      <c r="S55" s="191">
        <f t="shared" si="9"/>
        <v>9.6877951007896534E-3</v>
      </c>
      <c r="T55" s="191">
        <f t="shared" si="9"/>
        <v>9.7825666015856072E-3</v>
      </c>
      <c r="U55" s="191">
        <f t="shared" si="9"/>
        <v>9.8792106376192068E-3</v>
      </c>
      <c r="V55" s="191">
        <f t="shared" si="9"/>
        <v>9.9777832601426475E-3</v>
      </c>
      <c r="W55" s="191">
        <f t="shared" si="9"/>
        <v>1.0078342780023175E-2</v>
      </c>
      <c r="X55" s="191">
        <f t="shared" si="9"/>
        <v>1.0180949882767965E-2</v>
      </c>
      <c r="Y55" s="191">
        <f t="shared" si="9"/>
        <v>1.0285667750648098E-2</v>
      </c>
      <c r="Z55" s="191">
        <f t="shared" si="9"/>
        <v>1.0392562192437671E-2</v>
      </c>
      <c r="AA55" s="191">
        <f t="shared" si="9"/>
        <v>1.0501701781326367E-2</v>
      </c>
      <c r="AB55" s="191">
        <f t="shared" si="9"/>
        <v>1.061315800161744E-2</v>
      </c>
      <c r="AC55" s="192">
        <f t="shared" si="9"/>
        <v>1.0727005404863266E-2</v>
      </c>
    </row>
    <row r="56" spans="1:32">
      <c r="A56" s="1" t="s">
        <v>364</v>
      </c>
      <c r="B56" s="8">
        <f>D30</f>
        <v>1088.7107631573383</v>
      </c>
      <c r="C56" s="8">
        <f t="shared" ref="C56:AC56" si="10">B56*(1-C55)</f>
        <v>1042.0325360226809</v>
      </c>
      <c r="D56" s="8">
        <f t="shared" si="10"/>
        <v>995.35430888802341</v>
      </c>
      <c r="E56" s="8">
        <f t="shared" si="10"/>
        <v>949.40466886084278</v>
      </c>
      <c r="F56" s="8">
        <f t="shared" si="10"/>
        <v>903.38266299551026</v>
      </c>
      <c r="G56" s="8">
        <f t="shared" si="10"/>
        <v>857.28839677932149</v>
      </c>
      <c r="H56" s="8">
        <f t="shared" si="10"/>
        <v>811.12197529239404</v>
      </c>
      <c r="I56" s="8">
        <f t="shared" si="10"/>
        <v>764.88350321011376</v>
      </c>
      <c r="J56" s="8">
        <f t="shared" si="10"/>
        <v>758.06773633178773</v>
      </c>
      <c r="K56" s="8">
        <f t="shared" si="10"/>
        <v>751.2519694534617</v>
      </c>
      <c r="L56" s="8">
        <f t="shared" si="10"/>
        <v>744.43620257513567</v>
      </c>
      <c r="M56" s="8">
        <f t="shared" si="10"/>
        <v>737.62043569680964</v>
      </c>
      <c r="N56" s="8">
        <f t="shared" si="10"/>
        <v>730.80466881848361</v>
      </c>
      <c r="O56" s="8">
        <f t="shared" si="10"/>
        <v>723.98890194015758</v>
      </c>
      <c r="P56" s="8">
        <f t="shared" si="10"/>
        <v>717.17313506183154</v>
      </c>
      <c r="Q56" s="8">
        <f t="shared" si="10"/>
        <v>710.35736818350551</v>
      </c>
      <c r="R56" s="8">
        <f t="shared" si="10"/>
        <v>703.54160130517948</v>
      </c>
      <c r="S56" s="8">
        <f t="shared" si="10"/>
        <v>696.72583442685345</v>
      </c>
      <c r="T56" s="8">
        <f t="shared" si="10"/>
        <v>689.91006754852742</v>
      </c>
      <c r="U56" s="8">
        <f t="shared" si="10"/>
        <v>683.09430067020139</v>
      </c>
      <c r="V56" s="8">
        <f t="shared" si="10"/>
        <v>676.27853379187536</v>
      </c>
      <c r="W56" s="8">
        <f t="shared" si="10"/>
        <v>669.46276691354933</v>
      </c>
      <c r="X56" s="8">
        <f t="shared" si="10"/>
        <v>662.6470000352233</v>
      </c>
      <c r="Y56" s="8">
        <f t="shared" si="10"/>
        <v>655.83123315689727</v>
      </c>
      <c r="Z56" s="8">
        <f t="shared" si="10"/>
        <v>649.01546627857113</v>
      </c>
      <c r="AA56" s="8">
        <f t="shared" si="10"/>
        <v>642.19969940024509</v>
      </c>
      <c r="AB56" s="8">
        <f t="shared" si="10"/>
        <v>635.38393252191906</v>
      </c>
      <c r="AC56" s="185">
        <f t="shared" si="10"/>
        <v>628.56816564359315</v>
      </c>
    </row>
    <row r="57" spans="1:32">
      <c r="A57" s="1"/>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93"/>
    </row>
    <row r="58" spans="1:32">
      <c r="A58" s="1" t="s">
        <v>365</v>
      </c>
      <c r="B58" s="8">
        <v>1255.7082337710517</v>
      </c>
      <c r="C58" s="8">
        <v>1166.7622338789354</v>
      </c>
      <c r="D58" s="8">
        <v>1103.976822190383</v>
      </c>
      <c r="E58" s="8">
        <v>1056.8877634239684</v>
      </c>
      <c r="F58" s="8">
        <v>1015.0308222982667</v>
      </c>
      <c r="G58" s="8">
        <v>967.9417635318523</v>
      </c>
      <c r="H58" s="8">
        <v>931.31694004686335</v>
      </c>
      <c r="I58" s="8">
        <v>894.69211656187429</v>
      </c>
      <c r="J58" s="8">
        <v>883.95319510431204</v>
      </c>
      <c r="K58" s="8">
        <v>872.76954364728704</v>
      </c>
      <c r="L58" s="8">
        <v>861.58589219026499</v>
      </c>
      <c r="M58" s="8">
        <v>850.40224073324293</v>
      </c>
      <c r="N58" s="8">
        <v>839.21858927621793</v>
      </c>
      <c r="O58" s="8">
        <v>828.03493781919485</v>
      </c>
      <c r="P58" s="8">
        <v>816.85128636216984</v>
      </c>
      <c r="Q58" s="8">
        <v>805.66763490514779</v>
      </c>
      <c r="R58" s="8">
        <v>794.48398344812574</v>
      </c>
      <c r="S58" s="8">
        <v>783.30033199110073</v>
      </c>
      <c r="T58" s="8">
        <v>772.11668053407766</v>
      </c>
      <c r="U58" s="8">
        <v>760.93302907705277</v>
      </c>
      <c r="V58" s="8">
        <v>749.7493776200306</v>
      </c>
      <c r="W58" s="8">
        <v>738.56572616300855</v>
      </c>
      <c r="X58" s="8">
        <v>727.38207470598354</v>
      </c>
      <c r="Y58" s="8">
        <v>716.19842324896058</v>
      </c>
      <c r="Z58" s="8">
        <v>705.01477179193557</v>
      </c>
      <c r="AA58" s="8">
        <v>693.83112033491352</v>
      </c>
      <c r="AB58" s="8">
        <v>682.64746887789147</v>
      </c>
      <c r="AC58" s="185">
        <v>671.46381742086646</v>
      </c>
    </row>
    <row r="59" spans="1:32">
      <c r="A59" s="1" t="s">
        <v>366</v>
      </c>
      <c r="B59" s="194" t="s">
        <v>71</v>
      </c>
      <c r="C59" s="14">
        <f t="shared" ref="C59" si="11">1-(C58/B58)</f>
        <v>7.0833333333333415E-2</v>
      </c>
      <c r="D59" s="14">
        <f t="shared" ref="D59" si="12">1-(D58/C58)</f>
        <v>5.3811659192824934E-2</v>
      </c>
      <c r="E59" s="14">
        <f t="shared" ref="E59" si="13">1-(E58/D58)</f>
        <v>4.2654028436019065E-2</v>
      </c>
      <c r="F59" s="14">
        <f t="shared" ref="F59" si="14">1-(F58/E58)</f>
        <v>3.9603960396039639E-2</v>
      </c>
      <c r="G59" s="14">
        <f t="shared" ref="G59" si="15">1-(G58/F58)</f>
        <v>4.6391752577319534E-2</v>
      </c>
      <c r="H59" s="14">
        <f t="shared" ref="H59" si="16">1-(H58/G58)</f>
        <v>3.7837837837837784E-2</v>
      </c>
      <c r="I59" s="14">
        <f t="shared" ref="I59" si="17">1-(I58/H58)</f>
        <v>3.932584269662931E-2</v>
      </c>
      <c r="J59" s="14">
        <f t="shared" ref="J59" si="18">1-(J58/I58)</f>
        <v>1.2002923976607516E-2</v>
      </c>
      <c r="K59" s="14">
        <f t="shared" ref="K59" si="19">1-(K58/J58)</f>
        <v>1.2651859305407354E-2</v>
      </c>
      <c r="L59" s="14">
        <f t="shared" ref="L59" si="20">1-(L58/K58)</f>
        <v>1.2813979977218004E-2</v>
      </c>
      <c r="M59" s="14">
        <f t="shared" ref="M59" si="21">1-(M58/L58)</f>
        <v>1.298030940199324E-2</v>
      </c>
      <c r="N59" s="14">
        <f t="shared" ref="N59" si="22">1-(N58/M58)</f>
        <v>1.3151013627835884E-2</v>
      </c>
      <c r="O59" s="14">
        <f t="shared" ref="O59" si="23">1-(O58/N58)</f>
        <v>1.3326267554044979E-2</v>
      </c>
      <c r="P59" s="14">
        <f t="shared" ref="P59" si="24">1-(P58/O58)</f>
        <v>1.3506255528878408E-2</v>
      </c>
      <c r="Q59" s="14">
        <f t="shared" ref="Q59" si="25">1-(Q58/P58)</f>
        <v>1.3691171996347395E-2</v>
      </c>
      <c r="R59" s="14">
        <f t="shared" ref="R59" si="26">1-(R58/Q58)</f>
        <v>1.3881222196965526E-2</v>
      </c>
      <c r="S59" s="14">
        <f t="shared" ref="S59" si="27">1-(S58/R58)</f>
        <v>1.4076622927610249E-2</v>
      </c>
      <c r="T59" s="14">
        <f t="shared" ref="T59" si="28">1-(T58/S58)</f>
        <v>1.4277603366508074E-2</v>
      </c>
      <c r="U59" s="14">
        <f t="shared" ref="U59" si="29">1-(U58/T58)</f>
        <v>1.4484405969948821E-2</v>
      </c>
      <c r="V59" s="14">
        <f t="shared" ref="V59" si="30">1-(V58/U58)</f>
        <v>1.4697287447999141E-2</v>
      </c>
      <c r="W59" s="14">
        <f t="shared" ref="W59" si="31">1-(W58/V58)</f>
        <v>1.4916519827629537E-2</v>
      </c>
      <c r="X59" s="14">
        <f t="shared" ref="X59" si="32">1-(X58/W58)</f>
        <v>1.5142391612356865E-2</v>
      </c>
      <c r="Y59" s="14">
        <f t="shared" ref="Y59" si="33">1-(Y58/X58)</f>
        <v>1.5375209048894334E-2</v>
      </c>
      <c r="Z59" s="14">
        <f t="shared" ref="Z59" si="34">1-(Z58/Y58)</f>
        <v>1.5615297512512671E-2</v>
      </c>
      <c r="AA59" s="14">
        <f t="shared" ref="AA59" si="35">1-(AA58/Z58)</f>
        <v>1.5863003024172873E-2</v>
      </c>
      <c r="AB59" s="14">
        <f t="shared" ref="AB59" si="36">1-(AB58/AA58)</f>
        <v>1.6118693914484061E-2</v>
      </c>
      <c r="AC59" s="186">
        <f t="shared" ref="AC59" si="37">1-(AC58/AB58)</f>
        <v>1.6382762651135696E-2</v>
      </c>
    </row>
    <row r="60" spans="1:32">
      <c r="A60" s="1" t="s">
        <v>367</v>
      </c>
      <c r="B60" s="8">
        <f>D12</f>
        <v>1262.1588025987321</v>
      </c>
      <c r="C60" s="8">
        <f t="shared" ref="C60" si="38">B60*(1-C59)</f>
        <v>1172.755887414655</v>
      </c>
      <c r="D60" s="8">
        <f t="shared" ref="D60" si="39">C60*(1-D59)</f>
        <v>1109.6479472847186</v>
      </c>
      <c r="E60" s="8">
        <f t="shared" ref="E60" si="40">D60*(1-E59)</f>
        <v>1062.3169921872661</v>
      </c>
      <c r="F60" s="8">
        <f t="shared" ref="F60" si="41">E60*(1-F59)</f>
        <v>1020.2450321006417</v>
      </c>
      <c r="G60" s="8">
        <f t="shared" ref="G60" si="42">F60*(1-G59)</f>
        <v>972.91407700318928</v>
      </c>
      <c r="H60" s="8">
        <f t="shared" ref="H60" si="43">G60*(1-H59)</f>
        <v>936.10111192739294</v>
      </c>
      <c r="I60" s="8">
        <f t="shared" ref="I60" si="44">H60*(1-I59)</f>
        <v>899.28814685159648</v>
      </c>
      <c r="J60" s="8">
        <f t="shared" ref="J60" si="45">I60*(1-J59)</f>
        <v>888.49405959187254</v>
      </c>
      <c r="K60" s="8">
        <f t="shared" ref="K60" si="46">J60*(1-K59)</f>
        <v>877.25295775622601</v>
      </c>
      <c r="L60" s="8">
        <f t="shared" ref="L60" si="47">K60*(1-L59)</f>
        <v>866.01185592058243</v>
      </c>
      <c r="M60" s="8">
        <f t="shared" ref="M60" si="48">L60*(1-M59)</f>
        <v>854.77075408493886</v>
      </c>
      <c r="N60" s="8">
        <f t="shared" ref="N60" si="49">M60*(1-N59)</f>
        <v>843.52965224929233</v>
      </c>
      <c r="O60" s="8">
        <f t="shared" ref="O60" si="50">N60*(1-O59)</f>
        <v>832.28855041364773</v>
      </c>
      <c r="P60" s="8">
        <f t="shared" ref="P60" si="51">O60*(1-P59)</f>
        <v>821.04744857800119</v>
      </c>
      <c r="Q60" s="8">
        <f t="shared" ref="Q60" si="52">P60*(1-Q59)</f>
        <v>809.80634674235762</v>
      </c>
      <c r="R60" s="8">
        <f t="shared" ref="R60" si="53">Q60*(1-R59)</f>
        <v>798.56524490671404</v>
      </c>
      <c r="S60" s="8">
        <f t="shared" ref="S60" si="54">R60*(1-S59)</f>
        <v>787.32414307106751</v>
      </c>
      <c r="T60" s="8">
        <f t="shared" ref="T60" si="55">S60*(1-T59)</f>
        <v>776.08304123542291</v>
      </c>
      <c r="U60" s="8">
        <f t="shared" ref="U60" si="56">T60*(1-U59)</f>
        <v>764.84193939977649</v>
      </c>
      <c r="V60" s="8">
        <f t="shared" ref="V60" si="57">U60*(1-V59)</f>
        <v>753.6008375641328</v>
      </c>
      <c r="W60" s="8">
        <f t="shared" ref="W60" si="58">V60*(1-W59)</f>
        <v>742.35973572848923</v>
      </c>
      <c r="X60" s="8">
        <f t="shared" ref="X60" si="59">W60*(1-X59)</f>
        <v>731.11863389284269</v>
      </c>
      <c r="Y60" s="8">
        <f t="shared" ref="Y60" si="60">X60*(1-Y59)</f>
        <v>719.87753205719821</v>
      </c>
      <c r="Z60" s="8">
        <f t="shared" ref="Z60" si="61">Y60*(1-Z59)</f>
        <v>708.63643022155168</v>
      </c>
      <c r="AA60" s="8">
        <f t="shared" ref="AA60" si="62">Z60*(1-AA59)</f>
        <v>697.3953283859081</v>
      </c>
      <c r="AB60" s="8">
        <f t="shared" ref="AB60" si="63">AA60*(1-AB59)</f>
        <v>686.15422655026453</v>
      </c>
      <c r="AC60" s="185">
        <f>AB60*(1-AC59)</f>
        <v>674.91312471461799</v>
      </c>
    </row>
    <row r="61" spans="1:32">
      <c r="A61" s="1"/>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93"/>
    </row>
    <row r="62" spans="1:32">
      <c r="A62" s="1" t="s">
        <v>368</v>
      </c>
      <c r="B62" s="8">
        <v>1308.4000000000001</v>
      </c>
      <c r="C62" s="8">
        <v>1257.2</v>
      </c>
      <c r="D62" s="8">
        <v>1206</v>
      </c>
      <c r="E62" s="8">
        <v>1156.2371723099122</v>
      </c>
      <c r="F62" s="8">
        <v>1106.347809031894</v>
      </c>
      <c r="G62" s="8">
        <v>1056.3317871728393</v>
      </c>
      <c r="H62" s="8">
        <v>1006.1889831996432</v>
      </c>
      <c r="I62" s="8">
        <v>955.91927304143928</v>
      </c>
      <c r="J62" s="8">
        <v>946.36008031102494</v>
      </c>
      <c r="K62" s="8">
        <v>936.80088758061049</v>
      </c>
      <c r="L62" s="8">
        <v>927.24169485019615</v>
      </c>
      <c r="M62" s="8">
        <v>917.6825021197817</v>
      </c>
      <c r="N62" s="8">
        <v>908.12330938936736</v>
      </c>
      <c r="O62" s="8">
        <v>898.56411665895303</v>
      </c>
      <c r="P62" s="8">
        <v>889.00492392853857</v>
      </c>
      <c r="Q62" s="8">
        <v>879.44573119812424</v>
      </c>
      <c r="R62" s="8">
        <v>869.88653846770978</v>
      </c>
      <c r="S62" s="8">
        <v>860.32734573729533</v>
      </c>
      <c r="T62" s="8">
        <v>850.76815300688099</v>
      </c>
      <c r="U62" s="8">
        <v>841.20896027646654</v>
      </c>
      <c r="V62" s="8">
        <v>831.6497675460522</v>
      </c>
      <c r="W62" s="8">
        <v>822.09057481563775</v>
      </c>
      <c r="X62" s="8">
        <v>812.53138208522341</v>
      </c>
      <c r="Y62" s="8">
        <v>802.97218935480907</v>
      </c>
      <c r="Z62" s="8">
        <v>793.41299662439462</v>
      </c>
      <c r="AA62" s="8">
        <v>783.85380389398028</v>
      </c>
      <c r="AB62" s="8">
        <v>774.29461116356583</v>
      </c>
      <c r="AC62" s="185">
        <v>764.73541843315149</v>
      </c>
    </row>
    <row r="63" spans="1:32">
      <c r="A63" s="1" t="s">
        <v>369</v>
      </c>
      <c r="B63" s="194" t="s">
        <v>71</v>
      </c>
      <c r="C63" s="14">
        <f t="shared" ref="C63" si="64">1-(C62/B62)</f>
        <v>3.9131763986548496E-2</v>
      </c>
      <c r="D63" s="14">
        <f t="shared" ref="D63" si="65">1-(D62/C62)</f>
        <v>4.0725421571746745E-2</v>
      </c>
      <c r="E63" s="14">
        <f t="shared" ref="E63" si="66">1-(E62/D62)</f>
        <v>4.1262709527435937E-2</v>
      </c>
      <c r="F63" s="14">
        <f t="shared" ref="F63" si="67">1-(F62/E62)</f>
        <v>4.3148036123376032E-2</v>
      </c>
      <c r="G63" s="14">
        <f t="shared" ref="G63" si="68">1-(G62/F62)</f>
        <v>4.5208226066648094E-2</v>
      </c>
      <c r="H63" s="14">
        <f t="shared" ref="H63" si="69">1-(H62/G62)</f>
        <v>4.7468801547095429E-2</v>
      </c>
      <c r="I63" s="14">
        <f t="shared" ref="I63" si="70">1-(I62/H62)</f>
        <v>4.9960505429455293E-2</v>
      </c>
      <c r="J63" s="14">
        <f t="shared" ref="J63" si="71">1-(J62/I62)</f>
        <v>9.9999999999998979E-3</v>
      </c>
      <c r="K63" s="14">
        <f t="shared" ref="K63" si="72">1-(K62/J62)</f>
        <v>1.0101010101010166E-2</v>
      </c>
      <c r="L63" s="14">
        <f t="shared" ref="L63" si="73">1-(L62/K62)</f>
        <v>1.0204081632652962E-2</v>
      </c>
      <c r="M63" s="14">
        <f t="shared" ref="M63" si="74">1-(M62/L62)</f>
        <v>1.0309278350515538E-2</v>
      </c>
      <c r="N63" s="14">
        <f t="shared" ref="N63" si="75">1-(N62/M62)</f>
        <v>1.041666666666663E-2</v>
      </c>
      <c r="O63" s="14">
        <f t="shared" ref="O63" si="76">1-(O62/N62)</f>
        <v>1.0526315789473606E-2</v>
      </c>
      <c r="P63" s="14">
        <f t="shared" ref="P63" si="77">1-(P62/O62)</f>
        <v>1.0638297872340496E-2</v>
      </c>
      <c r="Q63" s="14">
        <f t="shared" ref="Q63" si="78">1-(Q62/P62)</f>
        <v>1.0752688172043001E-2</v>
      </c>
      <c r="R63" s="14">
        <f t="shared" ref="R63" si="79">1-(R62/Q62)</f>
        <v>1.0869565217391353E-2</v>
      </c>
      <c r="S63" s="14">
        <f t="shared" ref="S63" si="80">1-(S62/R62)</f>
        <v>1.0989010989011061E-2</v>
      </c>
      <c r="T63" s="14">
        <f t="shared" ref="T63" si="81">1-(T62/S62)</f>
        <v>1.1111111111111072E-2</v>
      </c>
      <c r="U63" s="14">
        <f t="shared" ref="U63" si="82">1-(U62/T62)</f>
        <v>1.1235955056179803E-2</v>
      </c>
      <c r="V63" s="14">
        <f t="shared" ref="V63" si="83">1-(V62/U62)</f>
        <v>1.1363636363636354E-2</v>
      </c>
      <c r="W63" s="14">
        <f t="shared" ref="W63" si="84">1-(W62/V62)</f>
        <v>1.1494252873563315E-2</v>
      </c>
      <c r="X63" s="14">
        <f t="shared" ref="X63" si="85">1-(X62/W62)</f>
        <v>1.1627906976744096E-2</v>
      </c>
      <c r="Y63" s="14">
        <f t="shared" ref="Y63" si="86">1-(Y62/X62)</f>
        <v>1.1764705882352899E-2</v>
      </c>
      <c r="Z63" s="14">
        <f t="shared" ref="Z63" si="87">1-(Z62/Y62)</f>
        <v>1.1904761904761973E-2</v>
      </c>
      <c r="AA63" s="14">
        <f t="shared" ref="AA63" si="88">1-(AA62/Z62)</f>
        <v>1.2048192771084265E-2</v>
      </c>
      <c r="AB63" s="14">
        <f t="shared" ref="AB63" si="89">1-(AB62/AA62)</f>
        <v>1.2195121951219634E-2</v>
      </c>
      <c r="AC63" s="186">
        <f t="shared" ref="AC63" si="90">1-(AC62/AB62)</f>
        <v>1.2345679012345623E-2</v>
      </c>
    </row>
    <row r="64" spans="1:32">
      <c r="A64" s="1" t="s">
        <v>370</v>
      </c>
      <c r="B64" s="8">
        <f>J27</f>
        <v>1334.6666016713093</v>
      </c>
      <c r="C64" s="8">
        <f t="shared" ref="C64" si="91">B64*(1-C63)</f>
        <v>1282.4387432139788</v>
      </c>
      <c r="D64" s="8">
        <f t="shared" ref="D64" si="92">C64*(1-D63)</f>
        <v>1230.2108847566485</v>
      </c>
      <c r="E64" s="8">
        <f t="shared" ref="E64" si="93">D64*(1-E63)</f>
        <v>1179.449050361445</v>
      </c>
      <c r="F64" s="8">
        <f t="shared" ref="F64" si="94">E64*(1-F63)</f>
        <v>1128.5581401307677</v>
      </c>
      <c r="G64" s="8">
        <f t="shared" ref="G64" si="95">F64*(1-G63)</f>
        <v>1077.5380286023801</v>
      </c>
      <c r="H64" s="8">
        <f t="shared" ref="H64" si="96">G64*(1-H63)</f>
        <v>1026.3885897632053</v>
      </c>
      <c r="I64" s="8">
        <f t="shared" ref="I64" si="97">H64*(1-I63)</f>
        <v>975.10969705160971</v>
      </c>
      <c r="J64" s="8">
        <f t="shared" ref="J64" si="98">I64*(1-J63)</f>
        <v>965.35860008109375</v>
      </c>
      <c r="K64" s="8">
        <f t="shared" ref="K64" si="99">J64*(1-K63)</f>
        <v>955.60750311057757</v>
      </c>
      <c r="L64" s="8">
        <f t="shared" ref="L64" si="100">K64*(1-L63)</f>
        <v>945.85640614006161</v>
      </c>
      <c r="M64" s="8">
        <f t="shared" ref="M64" si="101">L64*(1-M63)</f>
        <v>936.10530916954542</v>
      </c>
      <c r="N64" s="8">
        <f t="shared" ref="N64" si="102">M64*(1-N63)</f>
        <v>926.35421219902935</v>
      </c>
      <c r="O64" s="8">
        <f t="shared" ref="O64" si="103">N64*(1-O63)</f>
        <v>916.60311522851327</v>
      </c>
      <c r="P64" s="8">
        <f t="shared" ref="P64" si="104">O64*(1-P63)</f>
        <v>906.85201825799709</v>
      </c>
      <c r="Q64" s="8">
        <f t="shared" ref="Q64" si="105">P64*(1-Q63)</f>
        <v>897.10092128748101</v>
      </c>
      <c r="R64" s="8">
        <f t="shared" ref="R64" si="106">Q64*(1-R63)</f>
        <v>887.34982431696483</v>
      </c>
      <c r="S64" s="8">
        <f t="shared" ref="S64" si="107">R64*(1-S63)</f>
        <v>877.59872734644864</v>
      </c>
      <c r="T64" s="8">
        <f t="shared" ref="T64" si="108">S64*(1-T63)</f>
        <v>867.84763037593257</v>
      </c>
      <c r="U64" s="8">
        <f t="shared" ref="U64" si="109">T64*(1-U63)</f>
        <v>858.09653340541649</v>
      </c>
      <c r="V64" s="8">
        <f t="shared" ref="V64" si="110">U64*(1-V63)</f>
        <v>848.34543643490042</v>
      </c>
      <c r="W64" s="8">
        <f t="shared" ref="W64" si="111">V64*(1-W63)</f>
        <v>838.59433946438423</v>
      </c>
      <c r="X64" s="8">
        <f t="shared" ref="X64" si="112">W64*(1-X63)</f>
        <v>828.84324249386816</v>
      </c>
      <c r="Y64" s="8">
        <f t="shared" ref="Y64" si="113">X64*(1-Y63)</f>
        <v>819.09214552335209</v>
      </c>
      <c r="Z64" s="8">
        <f t="shared" ref="Z64" si="114">Y64*(1-Z63)</f>
        <v>809.3410485528359</v>
      </c>
      <c r="AA64" s="8">
        <f t="shared" ref="AA64" si="115">Z64*(1-AA63)</f>
        <v>799.58995158231983</v>
      </c>
      <c r="AB64" s="8">
        <f t="shared" ref="AB64" si="116">AA64*(1-AB63)</f>
        <v>789.83885461180364</v>
      </c>
      <c r="AC64" s="185">
        <f t="shared" ref="AC64" si="117">AB64*(1-AC63)</f>
        <v>780.08775764128757</v>
      </c>
    </row>
    <row r="65" spans="1:29">
      <c r="A65" s="1"/>
      <c r="AC65" s="187"/>
    </row>
    <row r="66" spans="1:29" s="183" customFormat="1">
      <c r="A66" s="24" t="s">
        <v>371</v>
      </c>
      <c r="B66" s="188">
        <f t="shared" ref="B66:AC66" si="118">(100*B56+50*B60) / 150</f>
        <v>1146.5267763044696</v>
      </c>
      <c r="C66" s="188">
        <f t="shared" si="118"/>
        <v>1085.6069864866724</v>
      </c>
      <c r="D66" s="188">
        <f t="shared" si="118"/>
        <v>1033.4521883535886</v>
      </c>
      <c r="E66" s="188">
        <f t="shared" si="118"/>
        <v>987.0421099696506</v>
      </c>
      <c r="F66" s="188">
        <f t="shared" si="118"/>
        <v>942.33678603055421</v>
      </c>
      <c r="G66" s="188">
        <f t="shared" si="118"/>
        <v>895.83029018727757</v>
      </c>
      <c r="H66" s="188">
        <f t="shared" si="118"/>
        <v>852.7816875040603</v>
      </c>
      <c r="I66" s="188">
        <f t="shared" si="118"/>
        <v>809.685051090608</v>
      </c>
      <c r="J66" s="188">
        <f t="shared" si="118"/>
        <v>801.54317741848263</v>
      </c>
      <c r="K66" s="188">
        <f t="shared" si="118"/>
        <v>793.25229888771639</v>
      </c>
      <c r="L66" s="188">
        <f t="shared" si="118"/>
        <v>784.96142035695118</v>
      </c>
      <c r="M66" s="188">
        <f t="shared" si="118"/>
        <v>776.67054182618608</v>
      </c>
      <c r="N66" s="188">
        <f t="shared" si="118"/>
        <v>768.37966329541985</v>
      </c>
      <c r="O66" s="188">
        <f t="shared" si="118"/>
        <v>760.08878476465429</v>
      </c>
      <c r="P66" s="188">
        <f t="shared" si="118"/>
        <v>751.79790623388817</v>
      </c>
      <c r="Q66" s="188">
        <f t="shared" si="118"/>
        <v>743.50702770312273</v>
      </c>
      <c r="R66" s="188">
        <f t="shared" si="118"/>
        <v>735.21614917235775</v>
      </c>
      <c r="S66" s="188">
        <f t="shared" si="118"/>
        <v>726.9252706415914</v>
      </c>
      <c r="T66" s="188">
        <f t="shared" si="118"/>
        <v>718.63439211082584</v>
      </c>
      <c r="U66" s="188">
        <f t="shared" si="118"/>
        <v>710.34351358005972</v>
      </c>
      <c r="V66" s="188">
        <f t="shared" si="118"/>
        <v>702.05263504929451</v>
      </c>
      <c r="W66" s="188">
        <f t="shared" si="118"/>
        <v>693.7617565185293</v>
      </c>
      <c r="X66" s="188">
        <f t="shared" si="118"/>
        <v>685.47087798776306</v>
      </c>
      <c r="Y66" s="188">
        <f t="shared" si="118"/>
        <v>677.17999945699762</v>
      </c>
      <c r="Z66" s="188">
        <f t="shared" si="118"/>
        <v>668.88912092623127</v>
      </c>
      <c r="AA66" s="188">
        <f t="shared" si="118"/>
        <v>660.59824239546606</v>
      </c>
      <c r="AB66" s="188">
        <f t="shared" si="118"/>
        <v>652.30736386470085</v>
      </c>
      <c r="AC66" s="189">
        <f t="shared" si="118"/>
        <v>644.01648533393472</v>
      </c>
    </row>
    <row r="67" spans="1:29" s="183" customFormat="1">
      <c r="A67" s="24" t="s">
        <v>372</v>
      </c>
      <c r="B67" s="188">
        <f t="shared" ref="B67:AC67" si="119">(100*B64+50*B60) / 150</f>
        <v>1310.4973353137837</v>
      </c>
      <c r="C67" s="188">
        <f t="shared" si="119"/>
        <v>1245.8777912808707</v>
      </c>
      <c r="D67" s="188">
        <f t="shared" si="119"/>
        <v>1190.023238932672</v>
      </c>
      <c r="E67" s="188">
        <f t="shared" si="119"/>
        <v>1140.4050309700522</v>
      </c>
      <c r="F67" s="188">
        <f t="shared" si="119"/>
        <v>1092.4537707873924</v>
      </c>
      <c r="G67" s="188">
        <f t="shared" si="119"/>
        <v>1042.6633780693166</v>
      </c>
      <c r="H67" s="188">
        <f t="shared" si="119"/>
        <v>996.29276381793454</v>
      </c>
      <c r="I67" s="188">
        <f t="shared" si="119"/>
        <v>949.8358469849386</v>
      </c>
      <c r="J67" s="188">
        <f t="shared" si="119"/>
        <v>939.73708658468672</v>
      </c>
      <c r="K67" s="188">
        <f t="shared" si="119"/>
        <v>929.48932132579364</v>
      </c>
      <c r="L67" s="188">
        <f t="shared" si="119"/>
        <v>919.24155606690192</v>
      </c>
      <c r="M67" s="188">
        <f t="shared" si="119"/>
        <v>908.99379080800975</v>
      </c>
      <c r="N67" s="188">
        <f t="shared" si="119"/>
        <v>898.74602554911689</v>
      </c>
      <c r="O67" s="188">
        <f t="shared" si="119"/>
        <v>888.49826029022472</v>
      </c>
      <c r="P67" s="188">
        <f t="shared" si="119"/>
        <v>878.25049503133187</v>
      </c>
      <c r="Q67" s="188">
        <f t="shared" si="119"/>
        <v>868.00272977243992</v>
      </c>
      <c r="R67" s="188">
        <f t="shared" si="119"/>
        <v>857.75496451354786</v>
      </c>
      <c r="S67" s="188">
        <f t="shared" si="119"/>
        <v>847.50719925465489</v>
      </c>
      <c r="T67" s="188">
        <f t="shared" si="119"/>
        <v>837.25943399576261</v>
      </c>
      <c r="U67" s="188">
        <f t="shared" si="119"/>
        <v>827.01166873686986</v>
      </c>
      <c r="V67" s="188">
        <f t="shared" si="119"/>
        <v>816.76390347797792</v>
      </c>
      <c r="W67" s="188">
        <f t="shared" si="119"/>
        <v>806.51613821908586</v>
      </c>
      <c r="X67" s="188">
        <f t="shared" si="119"/>
        <v>796.26837296019301</v>
      </c>
      <c r="Y67" s="188">
        <f t="shared" si="119"/>
        <v>786.02060770130072</v>
      </c>
      <c r="Z67" s="188">
        <f t="shared" si="119"/>
        <v>775.77284244240786</v>
      </c>
      <c r="AA67" s="188">
        <f t="shared" si="119"/>
        <v>765.52507718351592</v>
      </c>
      <c r="AB67" s="188">
        <f t="shared" si="119"/>
        <v>755.27731192462397</v>
      </c>
      <c r="AC67" s="189">
        <f t="shared" si="119"/>
        <v>745.02954666573112</v>
      </c>
    </row>
    <row r="68" spans="1:29">
      <c r="A68" s="3"/>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190"/>
    </row>
    <row r="69" spans="1:29">
      <c r="A69" s="1" t="s">
        <v>373</v>
      </c>
      <c r="B69" s="95">
        <f>((B56*0.025*50)+('FOM Cost Curves'!B8*100))/150</f>
        <v>36.929256359644484</v>
      </c>
      <c r="C69" s="95">
        <f>((C56*0.025*50)+('FOM Cost Curves'!C8*100))/150</f>
        <v>36.270271133522343</v>
      </c>
      <c r="D69" s="95">
        <f>((D56*0.025*50)+('FOM Cost Curves'!D8*100))/150</f>
        <v>35.611285907400195</v>
      </c>
      <c r="E69" s="95">
        <f>((E56*0.025*50)+('FOM Cost Curves'!E8*100))/150</f>
        <v>34.958372240507025</v>
      </c>
      <c r="F69" s="95">
        <f>((F56*0.025*50)+('FOM Cost Curves'!F8*100))/150</f>
        <v>34.304855524962584</v>
      </c>
      <c r="G69" s="95">
        <f>((G56*0.025*50)+('FOM Cost Curves'!G8*100))/150</f>
        <v>33.650736639827684</v>
      </c>
      <c r="H69" s="95">
        <f>((H56*0.025*50)+('FOM Cost Curves'!H8*100))/150</f>
        <v>32.996016460769951</v>
      </c>
      <c r="I69" s="95">
        <f>((I56*0.025*50)+('FOM Cost Curves'!I8*100))/150</f>
        <v>32.340695860084281</v>
      </c>
      <c r="J69" s="95">
        <f>((J56*0.025*50)+('FOM Cost Curves'!J8*100))/150</f>
        <v>32.089147802764906</v>
      </c>
      <c r="K69" s="95">
        <f>((K56*0.025*50)+('FOM Cost Curves'!K8*100))/150</f>
        <v>31.83759974544552</v>
      </c>
      <c r="L69" s="95">
        <f>((L56*0.025*50)+('FOM Cost Curves'!L8*100))/150</f>
        <v>31.586051688126137</v>
      </c>
      <c r="M69" s="95">
        <f>((M56*0.025*50)+('FOM Cost Curves'!M8*100))/150</f>
        <v>31.334503630806758</v>
      </c>
      <c r="N69" s="95">
        <f>((N56*0.025*50)+('FOM Cost Curves'!N8*100))/150</f>
        <v>31.082955573487368</v>
      </c>
      <c r="O69" s="95">
        <f>((O56*0.025*50)+('FOM Cost Curves'!O8*100))/150</f>
        <v>30.831407516167982</v>
      </c>
      <c r="P69" s="95">
        <f>((P56*0.025*50)+('FOM Cost Curves'!P8*100))/150</f>
        <v>30.579859458848599</v>
      </c>
      <c r="Q69" s="95">
        <f>((Q56*0.025*50)+('FOM Cost Curves'!Q8*100))/150</f>
        <v>30.328311401529216</v>
      </c>
      <c r="R69" s="95">
        <f>((R56*0.025*50)+('FOM Cost Curves'!R8*100))/150</f>
        <v>30.07676334420983</v>
      </c>
      <c r="S69" s="95">
        <f>((S56*0.025*50)+('FOM Cost Curves'!S8*100))/150</f>
        <v>29.825215286890447</v>
      </c>
      <c r="T69" s="95">
        <f>((T56*0.025*50)+('FOM Cost Curves'!T8*100))/150</f>
        <v>29.573667229571061</v>
      </c>
      <c r="U69" s="95">
        <f>((U56*0.025*50)+('FOM Cost Curves'!U8*100))/150</f>
        <v>29.322119172251686</v>
      </c>
      <c r="V69" s="95">
        <f>((V56*0.025*50)+('FOM Cost Curves'!V8*100))/150</f>
        <v>29.070571114932299</v>
      </c>
      <c r="W69" s="95">
        <f>((W56*0.025*50)+('FOM Cost Curves'!W8*100))/150</f>
        <v>28.819023057612917</v>
      </c>
      <c r="X69" s="95">
        <f>((X56*0.025*50)+('FOM Cost Curves'!X8*100))/150</f>
        <v>28.567475000293527</v>
      </c>
      <c r="Y69" s="95">
        <f>((Y56*0.025*50)+('FOM Cost Curves'!Y8*100))/150</f>
        <v>28.315926942974141</v>
      </c>
      <c r="Z69" s="95">
        <f>((Z56*0.025*50)+('FOM Cost Curves'!Z8*100))/150</f>
        <v>28.064378885654758</v>
      </c>
      <c r="AA69" s="95">
        <f>((AA56*0.025*50)+('FOM Cost Curves'!AA8*100))/150</f>
        <v>27.812830828335372</v>
      </c>
      <c r="AB69" s="95">
        <f>((AB56*0.025*50)+('FOM Cost Curves'!AB8*100))/150</f>
        <v>27.561282771015996</v>
      </c>
      <c r="AC69" s="95">
        <f>((AC56*0.025*50)+('FOM Cost Curves'!AC8*100))/150</f>
        <v>27.30973471369661</v>
      </c>
    </row>
    <row r="70" spans="1:29">
      <c r="A70" s="1"/>
      <c r="AC70" s="187"/>
    </row>
    <row r="71" spans="1:29">
      <c r="A71" s="180" t="s">
        <v>374</v>
      </c>
      <c r="B71" s="184">
        <v>2023</v>
      </c>
      <c r="C71" s="184">
        <v>2024</v>
      </c>
      <c r="D71" s="184">
        <v>2025</v>
      </c>
      <c r="E71" s="184">
        <v>2026</v>
      </c>
      <c r="F71" s="184">
        <v>2027</v>
      </c>
      <c r="G71" s="184">
        <v>2028</v>
      </c>
      <c r="H71" s="184">
        <v>2029</v>
      </c>
      <c r="I71" s="184">
        <v>2030</v>
      </c>
      <c r="J71" s="184">
        <v>2031</v>
      </c>
      <c r="K71" s="184">
        <v>2032</v>
      </c>
      <c r="L71" s="184">
        <v>2033</v>
      </c>
      <c r="M71" s="184">
        <v>2034</v>
      </c>
      <c r="N71" s="184">
        <v>2035</v>
      </c>
      <c r="O71" s="184">
        <v>2036</v>
      </c>
      <c r="P71" s="184">
        <v>2037</v>
      </c>
      <c r="Q71" s="184">
        <v>2038</v>
      </c>
      <c r="R71" s="184">
        <v>2039</v>
      </c>
      <c r="S71" s="184">
        <v>2040</v>
      </c>
      <c r="T71" s="184">
        <v>2041</v>
      </c>
      <c r="U71" s="184">
        <v>2042</v>
      </c>
      <c r="V71" s="184">
        <v>2043</v>
      </c>
      <c r="W71" s="184">
        <v>2044</v>
      </c>
      <c r="X71" s="184">
        <v>2045</v>
      </c>
      <c r="Y71" s="184">
        <v>2046</v>
      </c>
      <c r="Z71" s="184">
        <v>2047</v>
      </c>
      <c r="AA71" s="184">
        <v>2048</v>
      </c>
      <c r="AB71" s="184">
        <v>2049</v>
      </c>
      <c r="AC71" s="177">
        <v>2050</v>
      </c>
    </row>
    <row r="72" spans="1:29">
      <c r="A72" s="1" t="s">
        <v>362</v>
      </c>
      <c r="B72" s="8">
        <v>1073.7840499881536</v>
      </c>
      <c r="C72" s="8">
        <v>1027.7458022963965</v>
      </c>
      <c r="D72" s="8">
        <v>981.70755460463931</v>
      </c>
      <c r="E72" s="8">
        <v>936.38790476413044</v>
      </c>
      <c r="F72" s="8">
        <v>890.99688125358807</v>
      </c>
      <c r="G72" s="8">
        <v>845.53458811402959</v>
      </c>
      <c r="H72" s="8">
        <v>800.00112898487714</v>
      </c>
      <c r="I72" s="8">
        <v>754.39660710636997</v>
      </c>
      <c r="J72" s="8">
        <v>747.67428745081747</v>
      </c>
      <c r="K72" s="8">
        <v>740.95196779526509</v>
      </c>
      <c r="L72" s="8">
        <v>734.22964813971271</v>
      </c>
      <c r="M72" s="8">
        <v>727.50732848416033</v>
      </c>
      <c r="N72" s="8">
        <v>720.78500882860794</v>
      </c>
      <c r="O72" s="8">
        <v>714.06268917305556</v>
      </c>
      <c r="P72" s="8">
        <v>707.34036951750318</v>
      </c>
      <c r="Q72" s="8">
        <v>700.61804986195079</v>
      </c>
      <c r="R72" s="8">
        <v>693.8957302063983</v>
      </c>
      <c r="S72" s="8">
        <v>687.17341055084592</v>
      </c>
      <c r="T72" s="8">
        <v>680.45109089529353</v>
      </c>
      <c r="U72" s="8">
        <v>673.72877123974115</v>
      </c>
      <c r="V72" s="8">
        <v>667.00645158418877</v>
      </c>
      <c r="W72" s="8">
        <v>660.28413192863638</v>
      </c>
      <c r="X72" s="8">
        <v>653.561812273084</v>
      </c>
      <c r="Y72" s="8">
        <v>646.83949261753162</v>
      </c>
      <c r="Z72" s="8">
        <v>640.11717296197912</v>
      </c>
      <c r="AA72" s="8">
        <v>633.39485330642674</v>
      </c>
      <c r="AB72" s="8">
        <v>626.67253365087436</v>
      </c>
      <c r="AC72" s="185">
        <v>619.95021399532209</v>
      </c>
    </row>
    <row r="73" spans="1:29">
      <c r="A73" s="1" t="s">
        <v>363</v>
      </c>
      <c r="B73" s="194" t="s">
        <v>71</v>
      </c>
      <c r="C73" s="14">
        <f>1-(C72/B72)</f>
        <v>4.2874773277052247E-2</v>
      </c>
      <c r="D73" s="14">
        <f t="shared" ref="D73" si="120">1-(D72/C72)</f>
        <v>4.4795364368201973E-2</v>
      </c>
      <c r="E73" s="14">
        <f t="shared" ref="E73" si="121">1-(E72/D72)</f>
        <v>4.6164104195735134E-2</v>
      </c>
      <c r="F73" s="14">
        <f t="shared" ref="F73" si="122">1-(F72/E72)</f>
        <v>4.8474594000630589E-2</v>
      </c>
      <c r="G73" s="14">
        <f t="shared" ref="G73" si="123">1-(G72/F72)</f>
        <v>5.1024076622575021E-2</v>
      </c>
      <c r="H73" s="14">
        <f t="shared" ref="H73" si="124">1-(H72/G72)</f>
        <v>5.3851681254950323E-2</v>
      </c>
      <c r="I73" s="14">
        <f t="shared" ref="I73" si="125">1-(I72/H72)</f>
        <v>5.7005571900098251E-2</v>
      </c>
      <c r="J73" s="14">
        <f t="shared" ref="J73" si="126">1-(J72/I72)</f>
        <v>8.9108561626982663E-3</v>
      </c>
      <c r="K73" s="14">
        <f t="shared" ref="K73" si="127">1-(K72/J72)</f>
        <v>8.9909734337287883E-3</v>
      </c>
      <c r="L73" s="14">
        <f t="shared" ref="L73" si="128">1-(L72/K72)</f>
        <v>9.0725444397630195E-3</v>
      </c>
      <c r="M73" s="14">
        <f t="shared" ref="M73" si="129">1-(M72/L72)</f>
        <v>9.1556091102892312E-3</v>
      </c>
      <c r="N73" s="14">
        <f t="shared" ref="N73" si="130">1-(N72/M72)</f>
        <v>9.240208850622933E-3</v>
      </c>
      <c r="O73" s="14">
        <f t="shared" ref="O73" si="131">1-(O72/N72)</f>
        <v>9.3263866107277105E-3</v>
      </c>
      <c r="P73" s="14">
        <f t="shared" ref="P73" si="132">1-(P72/O72)</f>
        <v>9.4141869579229542E-3</v>
      </c>
      <c r="Q73" s="14">
        <f t="shared" ref="Q73" si="133">1-(Q72/P72)</f>
        <v>9.5036561537380493E-3</v>
      </c>
      <c r="R73" s="14">
        <f t="shared" ref="R73" si="134">1-(R72/Q72)</f>
        <v>9.5948422351908036E-3</v>
      </c>
      <c r="S73" s="14">
        <f t="shared" ref="S73" si="135">1-(S72/R72)</f>
        <v>9.6877951007896534E-3</v>
      </c>
      <c r="T73" s="14">
        <f t="shared" ref="T73" si="136">1-(T72/S72)</f>
        <v>9.7825666015856072E-3</v>
      </c>
      <c r="U73" s="14">
        <f t="shared" ref="U73" si="137">1-(U72/T72)</f>
        <v>9.8792106376192068E-3</v>
      </c>
      <c r="V73" s="14">
        <f t="shared" ref="V73" si="138">1-(V72/U72)</f>
        <v>9.9777832601426475E-3</v>
      </c>
      <c r="W73" s="14">
        <f t="shared" ref="W73" si="139">1-(W72/V72)</f>
        <v>1.0078342780023175E-2</v>
      </c>
      <c r="X73" s="14">
        <f t="shared" ref="X73" si="140">1-(X72/W72)</f>
        <v>1.0180949882767965E-2</v>
      </c>
      <c r="Y73" s="14">
        <f t="shared" ref="Y73" si="141">1-(Y72/X72)</f>
        <v>1.0285667750648098E-2</v>
      </c>
      <c r="Z73" s="14">
        <f t="shared" ref="Z73" si="142">1-(Z72/Y72)</f>
        <v>1.0392562192437671E-2</v>
      </c>
      <c r="AA73" s="14">
        <f t="shared" ref="AA73" si="143">1-(AA72/Z72)</f>
        <v>1.0501701781326367E-2</v>
      </c>
      <c r="AB73" s="14">
        <f t="shared" ref="AB73" si="144">1-(AB72/AA72)</f>
        <v>1.061315800161744E-2</v>
      </c>
      <c r="AC73" s="186">
        <f t="shared" ref="AC73" si="145">1-(AC72/AB72)</f>
        <v>1.0727005404863266E-2</v>
      </c>
    </row>
    <row r="74" spans="1:29">
      <c r="A74" s="1" t="s">
        <v>364</v>
      </c>
      <c r="B74" s="8">
        <f>P30</f>
        <v>1057.3371192217828</v>
      </c>
      <c r="C74" s="8">
        <f>B74*(1-C73)</f>
        <v>1012.0040299577373</v>
      </c>
      <c r="D74" s="8">
        <f t="shared" ref="D74" si="146">C74*(1-D73)</f>
        <v>966.6709406936917</v>
      </c>
      <c r="E74" s="8">
        <f t="shared" ref="E74" si="147">D74*(1-E73)</f>
        <v>922.04544266451887</v>
      </c>
      <c r="F74" s="8">
        <f t="shared" ref="F74" si="148">E74*(1-F73)</f>
        <v>877.34966418122463</v>
      </c>
      <c r="G74" s="8">
        <f t="shared" ref="G74" si="149">F74*(1-G73)</f>
        <v>832.58370769125133</v>
      </c>
      <c r="H74" s="8">
        <f t="shared" ref="H74" si="150">G74*(1-H73)</f>
        <v>787.74767524659728</v>
      </c>
      <c r="I74" s="8">
        <f t="shared" ref="I74" si="151">H74*(1-I73)</f>
        <v>742.84166850619215</v>
      </c>
      <c r="J74" s="8">
        <f t="shared" ref="J74" si="152">I74*(1-J73)</f>
        <v>736.22231324647464</v>
      </c>
      <c r="K74" s="8">
        <f t="shared" ref="K74" si="153">J74*(1-K73)</f>
        <v>729.60295798675725</v>
      </c>
      <c r="L74" s="8">
        <f t="shared" ref="L74" si="154">K74*(1-L73)</f>
        <v>722.98360272703985</v>
      </c>
      <c r="M74" s="8">
        <f t="shared" ref="M74" si="155">L74*(1-M73)</f>
        <v>716.36424746732246</v>
      </c>
      <c r="N74" s="8">
        <f t="shared" ref="N74" si="156">M74*(1-N73)</f>
        <v>709.74489220760506</v>
      </c>
      <c r="O74" s="8">
        <f t="shared" ref="O74" si="157">N74*(1-O73)</f>
        <v>703.12553694788767</v>
      </c>
      <c r="P74" s="8">
        <f t="shared" ref="P74" si="158">O74*(1-P73)</f>
        <v>696.50618168817027</v>
      </c>
      <c r="Q74" s="8">
        <f t="shared" ref="Q74" si="159">P74*(1-Q73)</f>
        <v>689.88682642845288</v>
      </c>
      <c r="R74" s="8">
        <f t="shared" ref="R74" si="160">Q74*(1-R73)</f>
        <v>683.26747116873537</v>
      </c>
      <c r="S74" s="8">
        <f t="shared" ref="S74" si="161">R74*(1-S73)</f>
        <v>676.64811590901797</v>
      </c>
      <c r="T74" s="8">
        <f t="shared" ref="T74" si="162">S74*(1-T73)</f>
        <v>670.02876064930058</v>
      </c>
      <c r="U74" s="8">
        <f t="shared" ref="U74" si="163">T74*(1-U73)</f>
        <v>663.40940538958318</v>
      </c>
      <c r="V74" s="8">
        <f t="shared" ref="V74" si="164">U74*(1-V73)</f>
        <v>656.79005012986579</v>
      </c>
      <c r="W74" s="8">
        <f t="shared" ref="W74" si="165">V74*(1-W73)</f>
        <v>650.1706948701484</v>
      </c>
      <c r="X74" s="8">
        <f t="shared" ref="X74" si="166">W74*(1-X73)</f>
        <v>643.551339610431</v>
      </c>
      <c r="Y74" s="8">
        <f t="shared" ref="Y74" si="167">X74*(1-Y73)</f>
        <v>636.93198435071361</v>
      </c>
      <c r="Z74" s="8">
        <f t="shared" ref="Z74" si="168">Y74*(1-Z73)</f>
        <v>630.3126290909961</v>
      </c>
      <c r="AA74" s="8">
        <f t="shared" ref="AA74" si="169">Z74*(1-AA73)</f>
        <v>623.6932738312787</v>
      </c>
      <c r="AB74" s="8">
        <f t="shared" ref="AB74" si="170">AA74*(1-AB73)</f>
        <v>617.07391857156131</v>
      </c>
      <c r="AC74" s="185">
        <f t="shared" ref="AC74" si="171">AB74*(1-AC73)</f>
        <v>610.45456331184403</v>
      </c>
    </row>
    <row r="75" spans="1:29">
      <c r="A75" s="1"/>
      <c r="AC75" s="187"/>
    </row>
    <row r="76" spans="1:29">
      <c r="A76" s="1" t="s">
        <v>368</v>
      </c>
      <c r="B76" s="8">
        <v>1308.4000000000001</v>
      </c>
      <c r="C76" s="8">
        <v>1257.2</v>
      </c>
      <c r="D76" s="8">
        <v>1206</v>
      </c>
      <c r="E76" s="8">
        <v>1156.2371723099122</v>
      </c>
      <c r="F76" s="8">
        <v>1106.347809031894</v>
      </c>
      <c r="G76" s="8">
        <v>1056.3317871728393</v>
      </c>
      <c r="H76" s="8">
        <v>1006.1889831996432</v>
      </c>
      <c r="I76" s="8">
        <v>955.91927304143928</v>
      </c>
      <c r="J76" s="8">
        <v>946.36008031102494</v>
      </c>
      <c r="K76" s="8">
        <v>936.80088758061049</v>
      </c>
      <c r="L76" s="8">
        <v>927.24169485019615</v>
      </c>
      <c r="M76" s="8">
        <v>917.6825021197817</v>
      </c>
      <c r="N76" s="8">
        <v>908.12330938936736</v>
      </c>
      <c r="O76" s="8">
        <v>898.56411665895303</v>
      </c>
      <c r="P76" s="8">
        <v>889.00492392853857</v>
      </c>
      <c r="Q76" s="8">
        <v>879.44573119812424</v>
      </c>
      <c r="R76" s="8">
        <v>869.88653846770978</v>
      </c>
      <c r="S76" s="8">
        <v>860.32734573729533</v>
      </c>
      <c r="T76" s="8">
        <v>850.76815300688099</v>
      </c>
      <c r="U76" s="8">
        <v>841.20896027646654</v>
      </c>
      <c r="V76" s="8">
        <v>831.6497675460522</v>
      </c>
      <c r="W76" s="8">
        <v>822.09057481563775</v>
      </c>
      <c r="X76" s="8">
        <v>812.53138208522341</v>
      </c>
      <c r="Y76" s="8">
        <v>802.97218935480907</v>
      </c>
      <c r="Z76" s="8">
        <v>793.41299662439462</v>
      </c>
      <c r="AA76" s="8">
        <v>783.85380389398028</v>
      </c>
      <c r="AB76" s="8">
        <v>774.29461116356583</v>
      </c>
      <c r="AC76" s="185">
        <v>764.73541843315149</v>
      </c>
    </row>
    <row r="77" spans="1:29">
      <c r="A77" s="1" t="s">
        <v>369</v>
      </c>
      <c r="B77" s="194" t="s">
        <v>71</v>
      </c>
      <c r="C77" s="14">
        <f t="shared" ref="C77" si="172">1-(C76/B76)</f>
        <v>3.9131763986548496E-2</v>
      </c>
      <c r="D77" s="14">
        <f t="shared" ref="D77" si="173">1-(D76/C76)</f>
        <v>4.0725421571746745E-2</v>
      </c>
      <c r="E77" s="14">
        <f t="shared" ref="E77" si="174">1-(E76/D76)</f>
        <v>4.1262709527435937E-2</v>
      </c>
      <c r="F77" s="14">
        <f t="shared" ref="F77" si="175">1-(F76/E76)</f>
        <v>4.3148036123376032E-2</v>
      </c>
      <c r="G77" s="14">
        <f t="shared" ref="G77" si="176">1-(G76/F76)</f>
        <v>4.5208226066648094E-2</v>
      </c>
      <c r="H77" s="14">
        <f t="shared" ref="H77" si="177">1-(H76/G76)</f>
        <v>4.7468801547095429E-2</v>
      </c>
      <c r="I77" s="14">
        <f t="shared" ref="I77" si="178">1-(I76/H76)</f>
        <v>4.9960505429455293E-2</v>
      </c>
      <c r="J77" s="14">
        <f t="shared" ref="J77" si="179">1-(J76/I76)</f>
        <v>9.9999999999998979E-3</v>
      </c>
      <c r="K77" s="14">
        <f t="shared" ref="K77" si="180">1-(K76/J76)</f>
        <v>1.0101010101010166E-2</v>
      </c>
      <c r="L77" s="14">
        <f t="shared" ref="L77" si="181">1-(L76/K76)</f>
        <v>1.0204081632652962E-2</v>
      </c>
      <c r="M77" s="14">
        <f t="shared" ref="M77" si="182">1-(M76/L76)</f>
        <v>1.0309278350515538E-2</v>
      </c>
      <c r="N77" s="14">
        <f t="shared" ref="N77" si="183">1-(N76/M76)</f>
        <v>1.041666666666663E-2</v>
      </c>
      <c r="O77" s="14">
        <f t="shared" ref="O77" si="184">1-(O76/N76)</f>
        <v>1.0526315789473606E-2</v>
      </c>
      <c r="P77" s="14">
        <f t="shared" ref="P77" si="185">1-(P76/O76)</f>
        <v>1.0638297872340496E-2</v>
      </c>
      <c r="Q77" s="14">
        <f t="shared" ref="Q77" si="186">1-(Q76/P76)</f>
        <v>1.0752688172043001E-2</v>
      </c>
      <c r="R77" s="14">
        <f t="shared" ref="R77" si="187">1-(R76/Q76)</f>
        <v>1.0869565217391353E-2</v>
      </c>
      <c r="S77" s="14">
        <f t="shared" ref="S77" si="188">1-(S76/R76)</f>
        <v>1.0989010989011061E-2</v>
      </c>
      <c r="T77" s="14">
        <f t="shared" ref="T77" si="189">1-(T76/S76)</f>
        <v>1.1111111111111072E-2</v>
      </c>
      <c r="U77" s="14">
        <f t="shared" ref="U77" si="190">1-(U76/T76)</f>
        <v>1.1235955056179803E-2</v>
      </c>
      <c r="V77" s="14">
        <f t="shared" ref="V77" si="191">1-(V76/U76)</f>
        <v>1.1363636363636354E-2</v>
      </c>
      <c r="W77" s="14">
        <f t="shared" ref="W77" si="192">1-(W76/V76)</f>
        <v>1.1494252873563315E-2</v>
      </c>
      <c r="X77" s="14">
        <f t="shared" ref="X77" si="193">1-(X76/W76)</f>
        <v>1.1627906976744096E-2</v>
      </c>
      <c r="Y77" s="14">
        <f t="shared" ref="Y77" si="194">1-(Y76/X76)</f>
        <v>1.1764705882352899E-2</v>
      </c>
      <c r="Z77" s="14">
        <f t="shared" ref="Z77" si="195">1-(Z76/Y76)</f>
        <v>1.1904761904761973E-2</v>
      </c>
      <c r="AA77" s="14">
        <f t="shared" ref="AA77" si="196">1-(AA76/Z76)</f>
        <v>1.2048192771084265E-2</v>
      </c>
      <c r="AB77" s="14">
        <f t="shared" ref="AB77" si="197">1-(AB76/AA76)</f>
        <v>1.2195121951219634E-2</v>
      </c>
      <c r="AC77" s="186">
        <f t="shared" ref="AC77" si="198">1-(AC76/AB76)</f>
        <v>1.2345679012345623E-2</v>
      </c>
    </row>
    <row r="78" spans="1:29">
      <c r="A78" s="1" t="s">
        <v>370</v>
      </c>
      <c r="B78" s="8">
        <f>Q45</f>
        <v>1291.4492618384402</v>
      </c>
      <c r="C78" s="8">
        <f t="shared" ref="C78" si="199">B78*(1-C77)</f>
        <v>1240.9125741235762</v>
      </c>
      <c r="D78" s="8">
        <f t="shared" ref="D78" si="200">C78*(1-D77)</f>
        <v>1190.3758864087122</v>
      </c>
      <c r="E78" s="8">
        <f t="shared" ref="E78" si="201">D78*(1-E77)</f>
        <v>1141.2577519793654</v>
      </c>
      <c r="F78" s="8">
        <f t="shared" ref="F78" si="202">E78*(1-F77)</f>
        <v>1092.0147212708769</v>
      </c>
      <c r="G78" s="8">
        <f t="shared" ref="G78" si="203">F78*(1-G77)</f>
        <v>1042.6466728835553</v>
      </c>
      <c r="H78" s="8">
        <f t="shared" ref="H78" si="204">G78*(1-H77)</f>
        <v>993.15348488470647</v>
      </c>
      <c r="I78" s="8">
        <f t="shared" ref="I78" si="205">H78*(1-I77)</f>
        <v>943.53503481084169</v>
      </c>
      <c r="J78" s="8">
        <f t="shared" ref="J78" si="206">I78*(1-J77)</f>
        <v>934.09968446273342</v>
      </c>
      <c r="K78" s="8">
        <f t="shared" ref="K78" si="207">J78*(1-K77)</f>
        <v>924.66433411462492</v>
      </c>
      <c r="L78" s="8">
        <f t="shared" ref="L78" si="208">K78*(1-L77)</f>
        <v>915.22898376651665</v>
      </c>
      <c r="M78" s="8">
        <f t="shared" ref="M78" si="209">L78*(1-M77)</f>
        <v>905.79363341840815</v>
      </c>
      <c r="N78" s="8">
        <f t="shared" ref="N78" si="210">M78*(1-N77)</f>
        <v>896.35828307029976</v>
      </c>
      <c r="O78" s="8">
        <f t="shared" ref="O78" si="211">N78*(1-O77)</f>
        <v>886.92293272219138</v>
      </c>
      <c r="P78" s="8">
        <f t="shared" ref="P78" si="212">O78*(1-P77)</f>
        <v>877.48758237408288</v>
      </c>
      <c r="Q78" s="8">
        <f t="shared" ref="Q78" si="213">P78*(1-Q77)</f>
        <v>868.05223202597449</v>
      </c>
      <c r="R78" s="8">
        <f t="shared" ref="R78" si="214">Q78*(1-R77)</f>
        <v>858.61688167786599</v>
      </c>
      <c r="S78" s="8">
        <f t="shared" ref="S78" si="215">R78*(1-S77)</f>
        <v>849.18153132975749</v>
      </c>
      <c r="T78" s="8">
        <f t="shared" ref="T78" si="216">S78*(1-T77)</f>
        <v>839.7461809816491</v>
      </c>
      <c r="U78" s="8">
        <f t="shared" ref="U78" si="217">T78*(1-U77)</f>
        <v>830.31083063354072</v>
      </c>
      <c r="V78" s="8">
        <f t="shared" ref="V78" si="218">U78*(1-V77)</f>
        <v>820.87548028543233</v>
      </c>
      <c r="W78" s="8">
        <f t="shared" ref="W78" si="219">V78*(1-W77)</f>
        <v>811.44012993732383</v>
      </c>
      <c r="X78" s="8">
        <f t="shared" ref="X78" si="220">W78*(1-X77)</f>
        <v>802.00477958921545</v>
      </c>
      <c r="Y78" s="8">
        <f t="shared" ref="Y78" si="221">X78*(1-Y77)</f>
        <v>792.56942924110706</v>
      </c>
      <c r="Z78" s="8">
        <f t="shared" ref="Z78" si="222">Y78*(1-Z77)</f>
        <v>783.13407889299856</v>
      </c>
      <c r="AA78" s="8">
        <f t="shared" ref="AA78" si="223">Z78*(1-AA77)</f>
        <v>773.69872854489017</v>
      </c>
      <c r="AB78" s="8">
        <f t="shared" ref="AB78" si="224">AA78*(1-AB77)</f>
        <v>764.26337819678167</v>
      </c>
      <c r="AC78" s="185">
        <f t="shared" ref="AC78" si="225">AB78*(1-AC77)</f>
        <v>754.82802784867329</v>
      </c>
    </row>
    <row r="79" spans="1:29">
      <c r="A79" s="195"/>
      <c r="AC79" s="187"/>
    </row>
    <row r="80" spans="1:29">
      <c r="A80" s="1" t="s">
        <v>365</v>
      </c>
      <c r="B80" s="8">
        <v>1255.7082337710517</v>
      </c>
      <c r="C80" s="8">
        <v>1166.7622338789354</v>
      </c>
      <c r="D80" s="8">
        <v>1103.976822190383</v>
      </c>
      <c r="E80" s="8">
        <v>1056.8877634239684</v>
      </c>
      <c r="F80" s="8">
        <v>1015.0308222982667</v>
      </c>
      <c r="G80" s="8">
        <v>967.9417635318523</v>
      </c>
      <c r="H80" s="8">
        <v>931.31694004686335</v>
      </c>
      <c r="I80" s="8">
        <v>894.69211656187429</v>
      </c>
      <c r="J80" s="8">
        <v>883.95319510431204</v>
      </c>
      <c r="K80" s="8">
        <v>872.76954364728704</v>
      </c>
      <c r="L80" s="8">
        <v>861.58589219026499</v>
      </c>
      <c r="M80" s="8">
        <v>850.40224073324293</v>
      </c>
      <c r="N80" s="8">
        <v>839.21858927621793</v>
      </c>
      <c r="O80" s="8">
        <v>828.03493781919485</v>
      </c>
      <c r="P80" s="8">
        <v>816.85128636216984</v>
      </c>
      <c r="Q80" s="8">
        <v>805.66763490514779</v>
      </c>
      <c r="R80" s="8">
        <v>794.48398344812574</v>
      </c>
      <c r="S80" s="8">
        <v>783.30033199110073</v>
      </c>
      <c r="T80" s="8">
        <v>772.11668053407766</v>
      </c>
      <c r="U80" s="8">
        <v>760.93302907705277</v>
      </c>
      <c r="V80" s="8">
        <v>749.7493776200306</v>
      </c>
      <c r="W80" s="8">
        <v>738.56572616300855</v>
      </c>
      <c r="X80" s="8">
        <v>727.38207470598354</v>
      </c>
      <c r="Y80" s="8">
        <v>716.19842324896058</v>
      </c>
      <c r="Z80" s="8">
        <v>705.01477179193557</v>
      </c>
      <c r="AA80" s="8">
        <v>693.83112033491352</v>
      </c>
      <c r="AB80" s="8">
        <v>682.64746887789147</v>
      </c>
      <c r="AC80" s="185">
        <v>671.46381742086646</v>
      </c>
    </row>
    <row r="81" spans="1:29">
      <c r="A81" s="1" t="s">
        <v>366</v>
      </c>
      <c r="B81" s="194" t="s">
        <v>71</v>
      </c>
      <c r="C81" s="14">
        <f t="shared" ref="C81" si="226">1-(C80/B80)</f>
        <v>7.0833333333333415E-2</v>
      </c>
      <c r="D81" s="14">
        <f t="shared" ref="D81" si="227">1-(D80/C80)</f>
        <v>5.3811659192824934E-2</v>
      </c>
      <c r="E81" s="14">
        <f t="shared" ref="E81" si="228">1-(E80/D80)</f>
        <v>4.2654028436019065E-2</v>
      </c>
      <c r="F81" s="14">
        <f t="shared" ref="F81" si="229">1-(F80/E80)</f>
        <v>3.9603960396039639E-2</v>
      </c>
      <c r="G81" s="14">
        <f t="shared" ref="G81" si="230">1-(G80/F80)</f>
        <v>4.6391752577319534E-2</v>
      </c>
      <c r="H81" s="14">
        <f t="shared" ref="H81" si="231">1-(H80/G80)</f>
        <v>3.7837837837837784E-2</v>
      </c>
      <c r="I81" s="14">
        <f t="shared" ref="I81" si="232">1-(I80/H80)</f>
        <v>3.932584269662931E-2</v>
      </c>
      <c r="J81" s="14">
        <f t="shared" ref="J81" si="233">1-(J80/I80)</f>
        <v>1.2002923976607516E-2</v>
      </c>
      <c r="K81" s="14">
        <f t="shared" ref="K81" si="234">1-(K80/J80)</f>
        <v>1.2651859305407354E-2</v>
      </c>
      <c r="L81" s="14">
        <f t="shared" ref="L81" si="235">1-(L80/K80)</f>
        <v>1.2813979977218004E-2</v>
      </c>
      <c r="M81" s="14">
        <f t="shared" ref="M81" si="236">1-(M80/L80)</f>
        <v>1.298030940199324E-2</v>
      </c>
      <c r="N81" s="14">
        <f t="shared" ref="N81" si="237">1-(N80/M80)</f>
        <v>1.3151013627835884E-2</v>
      </c>
      <c r="O81" s="14">
        <f t="shared" ref="O81" si="238">1-(O80/N80)</f>
        <v>1.3326267554044979E-2</v>
      </c>
      <c r="P81" s="14">
        <f t="shared" ref="P81" si="239">1-(P80/O80)</f>
        <v>1.3506255528878408E-2</v>
      </c>
      <c r="Q81" s="14">
        <f t="shared" ref="Q81" si="240">1-(Q80/P80)</f>
        <v>1.3691171996347395E-2</v>
      </c>
      <c r="R81" s="14">
        <f t="shared" ref="R81" si="241">1-(R80/Q80)</f>
        <v>1.3881222196965526E-2</v>
      </c>
      <c r="S81" s="14">
        <f t="shared" ref="S81" si="242">1-(S80/R80)</f>
        <v>1.4076622927610249E-2</v>
      </c>
      <c r="T81" s="14">
        <f t="shared" ref="T81" si="243">1-(T80/S80)</f>
        <v>1.4277603366508074E-2</v>
      </c>
      <c r="U81" s="14">
        <f t="shared" ref="U81" si="244">1-(U80/T80)</f>
        <v>1.4484405969948821E-2</v>
      </c>
      <c r="V81" s="14">
        <f t="shared" ref="V81" si="245">1-(V80/U80)</f>
        <v>1.4697287447999141E-2</v>
      </c>
      <c r="W81" s="14">
        <f t="shared" ref="W81" si="246">1-(W80/V80)</f>
        <v>1.4916519827629537E-2</v>
      </c>
      <c r="X81" s="14">
        <f t="shared" ref="X81" si="247">1-(X80/W80)</f>
        <v>1.5142391612356865E-2</v>
      </c>
      <c r="Y81" s="14">
        <f t="shared" ref="Y81" si="248">1-(Y80/X80)</f>
        <v>1.5375209048894334E-2</v>
      </c>
      <c r="Z81" s="14">
        <f t="shared" ref="Z81" si="249">1-(Z80/Y80)</f>
        <v>1.5615297512512671E-2</v>
      </c>
      <c r="AA81" s="14">
        <f t="shared" ref="AA81" si="250">1-(AA80/Z80)</f>
        <v>1.5863003024172873E-2</v>
      </c>
      <c r="AB81" s="14">
        <f t="shared" ref="AB81" si="251">1-(AB80/AA80)</f>
        <v>1.6118693914484061E-2</v>
      </c>
      <c r="AC81" s="186">
        <f t="shared" ref="AC81" si="252">1-(AC80/AB80)</f>
        <v>1.6382762651135696E-2</v>
      </c>
    </row>
    <row r="82" spans="1:29">
      <c r="A82" s="1" t="s">
        <v>367</v>
      </c>
      <c r="B82" s="8">
        <f>P12</f>
        <v>1251.0078431313846</v>
      </c>
      <c r="C82" s="8">
        <f>B82*(1-C81)</f>
        <v>1162.3947875762447</v>
      </c>
      <c r="D82" s="8">
        <f t="shared" ref="D82" si="253">C82*(1-D81)</f>
        <v>1099.8443954196757</v>
      </c>
      <c r="E82" s="8">
        <f t="shared" ref="E82" si="254">D82*(1-E81)</f>
        <v>1052.9316013022487</v>
      </c>
      <c r="F82" s="8">
        <f t="shared" ref="F82" si="255">E82*(1-F81)</f>
        <v>1011.2313398645359</v>
      </c>
      <c r="G82" s="8">
        <f t="shared" ref="G82" si="256">F82*(1-G81)</f>
        <v>964.31854574710906</v>
      </c>
      <c r="H82" s="8">
        <f t="shared" ref="H82" si="257">G82*(1-H81)</f>
        <v>927.83081698911042</v>
      </c>
      <c r="I82" s="8">
        <f t="shared" ref="I82" si="258">H82*(1-I81)</f>
        <v>891.34308823111155</v>
      </c>
      <c r="J82" s="8">
        <f t="shared" ref="J82" si="259">I82*(1-J81)</f>
        <v>880.64436490599894</v>
      </c>
      <c r="K82" s="8">
        <f t="shared" ref="K82" si="260">J82*(1-K81)</f>
        <v>869.50257630310841</v>
      </c>
      <c r="L82" s="8">
        <f t="shared" ref="L82" si="261">K82*(1-L81)</f>
        <v>858.36078770022095</v>
      </c>
      <c r="M82" s="8">
        <f t="shared" ref="M82" si="262">L82*(1-M81)</f>
        <v>847.21899909733349</v>
      </c>
      <c r="N82" s="8">
        <f t="shared" ref="N82" si="263">M82*(1-N81)</f>
        <v>836.07721049444297</v>
      </c>
      <c r="O82" s="8">
        <f t="shared" ref="O82" si="264">N82*(1-O81)</f>
        <v>824.93542189155448</v>
      </c>
      <c r="P82" s="8">
        <f t="shared" ref="P82" si="265">O82*(1-P81)</f>
        <v>813.79363328866407</v>
      </c>
      <c r="Q82" s="8">
        <f t="shared" ref="Q82" si="266">P82*(1-Q81)</f>
        <v>802.6518446857765</v>
      </c>
      <c r="R82" s="8">
        <f t="shared" ref="R82" si="267">Q82*(1-R81)</f>
        <v>791.51005608288892</v>
      </c>
      <c r="S82" s="8">
        <f t="shared" ref="S82" si="268">R82*(1-S81)</f>
        <v>780.36826747999851</v>
      </c>
      <c r="T82" s="8">
        <f t="shared" ref="T82" si="269">S82*(1-T81)</f>
        <v>769.22647887711003</v>
      </c>
      <c r="U82" s="8">
        <f t="shared" ref="U82" si="270">T82*(1-U81)</f>
        <v>758.08469027421972</v>
      </c>
      <c r="V82" s="8">
        <f t="shared" ref="V82" si="271">U82*(1-V81)</f>
        <v>746.94290167133215</v>
      </c>
      <c r="W82" s="8">
        <f t="shared" ref="W82" si="272">V82*(1-W81)</f>
        <v>735.80111306844458</v>
      </c>
      <c r="X82" s="8">
        <f t="shared" ref="X82" si="273">W82*(1-X81)</f>
        <v>724.65932446555416</v>
      </c>
      <c r="Y82" s="8">
        <f t="shared" ref="Y82" si="274">X82*(1-Y81)</f>
        <v>713.51753586266568</v>
      </c>
      <c r="Z82" s="8">
        <f t="shared" ref="Z82" si="275">Y82*(1-Z81)</f>
        <v>702.37574725977527</v>
      </c>
      <c r="AA82" s="8">
        <f t="shared" ref="AA82" si="276">Z82*(1-AA81)</f>
        <v>691.23395865688781</v>
      </c>
      <c r="AB82" s="8">
        <f t="shared" ref="AB82" si="277">AA82*(1-AB81)</f>
        <v>680.09217005400035</v>
      </c>
      <c r="AC82" s="185">
        <f t="shared" ref="AC82" si="278">AB82*(1-AC81)</f>
        <v>668.95038145110982</v>
      </c>
    </row>
    <row r="83" spans="1:29">
      <c r="A83" s="1"/>
      <c r="AC83" s="187"/>
    </row>
    <row r="84" spans="1:29" s="183" customFormat="1">
      <c r="A84" s="24" t="s">
        <v>375</v>
      </c>
      <c r="B84" s="188">
        <f>(100*B74+100*B78+50*B82)/250</f>
        <v>1189.7161210503662</v>
      </c>
      <c r="C84" s="188">
        <f>(100*C74+100*C78+50*C82)/250</f>
        <v>1133.6455991477744</v>
      </c>
      <c r="D84" s="188">
        <f t="shared" ref="D84:AB84" si="279">(100*D74+100*D78+50*D82)/250</f>
        <v>1082.7876099248965</v>
      </c>
      <c r="E84" s="188">
        <f t="shared" si="279"/>
        <v>1035.9075981180035</v>
      </c>
      <c r="F84" s="188">
        <f t="shared" si="279"/>
        <v>989.99202215374783</v>
      </c>
      <c r="G84" s="188">
        <f t="shared" si="279"/>
        <v>942.95586137934436</v>
      </c>
      <c r="H84" s="188">
        <f t="shared" si="279"/>
        <v>897.9266274503434</v>
      </c>
      <c r="I84" s="188">
        <f t="shared" si="279"/>
        <v>852.81929897303587</v>
      </c>
      <c r="J84" s="188">
        <f t="shared" si="279"/>
        <v>844.25767206488297</v>
      </c>
      <c r="K84" s="188">
        <f t="shared" si="279"/>
        <v>835.60743210117448</v>
      </c>
      <c r="L84" s="188">
        <f t="shared" si="279"/>
        <v>826.95719213746679</v>
      </c>
      <c r="M84" s="188">
        <f t="shared" si="279"/>
        <v>818.30695217375887</v>
      </c>
      <c r="N84" s="188">
        <f t="shared" si="279"/>
        <v>809.6567122100505</v>
      </c>
      <c r="O84" s="188">
        <f t="shared" si="279"/>
        <v>801.00647224634258</v>
      </c>
      <c r="P84" s="188">
        <f t="shared" si="279"/>
        <v>792.3562322826341</v>
      </c>
      <c r="Q84" s="188">
        <f t="shared" si="279"/>
        <v>783.70599231892618</v>
      </c>
      <c r="R84" s="188">
        <f t="shared" si="279"/>
        <v>775.05575235521837</v>
      </c>
      <c r="S84" s="188">
        <f t="shared" si="279"/>
        <v>766.40551239151</v>
      </c>
      <c r="T84" s="188">
        <f t="shared" si="279"/>
        <v>757.75527242780186</v>
      </c>
      <c r="U84" s="188">
        <f t="shared" si="279"/>
        <v>749.10503246409337</v>
      </c>
      <c r="V84" s="188">
        <f t="shared" si="279"/>
        <v>740.45479250038568</v>
      </c>
      <c r="W84" s="188">
        <f t="shared" si="279"/>
        <v>731.80455253667776</v>
      </c>
      <c r="X84" s="188">
        <f t="shared" si="279"/>
        <v>723.1543125729695</v>
      </c>
      <c r="Y84" s="188">
        <f t="shared" si="279"/>
        <v>714.50407260926136</v>
      </c>
      <c r="Z84" s="188">
        <f t="shared" si="279"/>
        <v>705.85383264555298</v>
      </c>
      <c r="AA84" s="188">
        <f t="shared" si="279"/>
        <v>697.20359268184518</v>
      </c>
      <c r="AB84" s="188">
        <f t="shared" si="279"/>
        <v>688.55335271813738</v>
      </c>
      <c r="AC84" s="189">
        <f>(100*AC74+100*AC78+50*AC82)/250</f>
        <v>679.90311275442889</v>
      </c>
    </row>
    <row r="85" spans="1:29">
      <c r="A85" s="3"/>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190"/>
    </row>
  </sheetData>
  <mergeCells count="1">
    <mergeCell ref="A50:B51"/>
  </mergeCells>
  <pageMargins left="0.7" right="0.7" top="0.75" bottom="0.75" header="0.3" footer="0.3"/>
  <pageSetup orientation="portrait" horizontalDpi="90" verticalDpi="90" r:id="rId1"/>
  <ignoredErrors>
    <ignoredError sqref="E56" evalErro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27"/>
  <sheetViews>
    <sheetView tabSelected="1" workbookViewId="0">
      <selection activeCell="R14" sqref="R14"/>
    </sheetView>
  </sheetViews>
  <sheetFormatPr defaultRowHeight="15"/>
  <cols>
    <col min="1" max="1" width="31.7109375" bestFit="1" customWidth="1"/>
    <col min="2" max="2" width="11.28515625" bestFit="1" customWidth="1"/>
    <col min="4" max="4" width="11" bestFit="1" customWidth="1"/>
    <col min="5" max="5" width="10.7109375" customWidth="1"/>
    <col min="6" max="6" width="10.42578125" customWidth="1"/>
    <col min="7" max="7" width="10.7109375" customWidth="1"/>
    <col min="8" max="8" width="12.7109375" customWidth="1"/>
    <col min="9" max="9" width="10.28515625" customWidth="1"/>
    <col min="10" max="10" width="10" customWidth="1"/>
    <col min="11" max="11" width="10.140625" customWidth="1"/>
    <col min="12" max="12" width="9.7109375" customWidth="1"/>
    <col min="14" max="14" width="12.140625" bestFit="1" customWidth="1"/>
    <col min="15" max="15" width="11.42578125" customWidth="1"/>
    <col min="16" max="16" width="11.7109375" customWidth="1"/>
  </cols>
  <sheetData>
    <row r="1" spans="1:14">
      <c r="A1" s="228" t="s">
        <v>192</v>
      </c>
      <c r="B1" s="229"/>
      <c r="C1" s="229"/>
      <c r="E1" s="229" t="s">
        <v>193</v>
      </c>
      <c r="F1" s="229"/>
      <c r="G1" s="229"/>
      <c r="H1" s="229"/>
    </row>
    <row r="2" spans="1:14" ht="88.9" customHeight="1">
      <c r="A2" s="1"/>
      <c r="B2" s="4" t="s">
        <v>194</v>
      </c>
      <c r="C2" s="6" t="s">
        <v>195</v>
      </c>
      <c r="D2" s="44" t="s">
        <v>196</v>
      </c>
      <c r="E2" s="46" t="s">
        <v>376</v>
      </c>
      <c r="F2" s="44" t="s">
        <v>198</v>
      </c>
      <c r="G2" s="46" t="s">
        <v>377</v>
      </c>
      <c r="H2" s="44" t="s">
        <v>301</v>
      </c>
      <c r="I2" s="17" t="s">
        <v>199</v>
      </c>
      <c r="J2" s="18" t="s">
        <v>54</v>
      </c>
    </row>
    <row r="3" spans="1:14">
      <c r="A3" t="s">
        <v>200</v>
      </c>
      <c r="B3">
        <v>233</v>
      </c>
      <c r="D3" s="34"/>
      <c r="E3" s="47"/>
      <c r="F3" s="34"/>
      <c r="G3" s="47"/>
      <c r="H3" s="34"/>
    </row>
    <row r="4" spans="1:14">
      <c r="A4" s="5" t="s">
        <v>378</v>
      </c>
      <c r="B4" s="5" t="s">
        <v>379</v>
      </c>
      <c r="C4" s="9" t="s">
        <v>202</v>
      </c>
      <c r="D4" s="68" t="s">
        <v>124</v>
      </c>
      <c r="E4" s="71" t="s">
        <v>203</v>
      </c>
      <c r="F4" s="68" t="s">
        <v>124</v>
      </c>
      <c r="G4" s="71" t="s">
        <v>203</v>
      </c>
      <c r="H4" s="68" t="s">
        <v>124</v>
      </c>
      <c r="I4" s="69" t="s">
        <v>124</v>
      </c>
    </row>
    <row r="5" spans="1:14">
      <c r="A5" t="s">
        <v>380</v>
      </c>
      <c r="B5" s="23">
        <v>12300</v>
      </c>
      <c r="C5" s="7">
        <f t="shared" ref="C5:C18" si="0">B5/$B$19</f>
        <v>7.4190240665902643E-2</v>
      </c>
      <c r="D5" s="84">
        <f>$B$25*C5</f>
        <v>63.287652791592365</v>
      </c>
      <c r="E5" s="41" t="s">
        <v>71</v>
      </c>
      <c r="F5" s="84">
        <f>D5</f>
        <v>63.287652791592365</v>
      </c>
      <c r="G5" s="41" t="s">
        <v>71</v>
      </c>
      <c r="H5" s="84">
        <f>F5</f>
        <v>63.287652791592365</v>
      </c>
      <c r="I5" s="86">
        <f>H5</f>
        <v>63.287652791592365</v>
      </c>
    </row>
    <row r="6" spans="1:14">
      <c r="A6" t="s">
        <v>381</v>
      </c>
      <c r="B6" s="23">
        <v>54000</v>
      </c>
      <c r="C6" s="7">
        <f t="shared" si="0"/>
        <v>0.32571325170396287</v>
      </c>
      <c r="D6" s="84">
        <f t="shared" ref="D6:D18" si="1">$B$25*C6</f>
        <v>277.84823176796652</v>
      </c>
      <c r="E6" s="41" t="s">
        <v>71</v>
      </c>
      <c r="F6" s="84">
        <f>D6</f>
        <v>277.84823176796652</v>
      </c>
      <c r="G6" s="41" t="s">
        <v>71</v>
      </c>
      <c r="H6" s="84">
        <f t="shared" ref="H6:H11" si="2">F6</f>
        <v>277.84823176796652</v>
      </c>
      <c r="I6" s="86">
        <f t="shared" ref="I6:I18" si="3">H6</f>
        <v>277.84823176796652</v>
      </c>
    </row>
    <row r="7" spans="1:14">
      <c r="A7" t="s">
        <v>382</v>
      </c>
      <c r="B7" s="23">
        <v>17200</v>
      </c>
      <c r="C7" s="7">
        <f t="shared" si="0"/>
        <v>0.10374570239459557</v>
      </c>
      <c r="D7" s="84">
        <f t="shared" si="1"/>
        <v>88.499807155722664</v>
      </c>
      <c r="E7" s="55">
        <f>15000000/(B3*1000)</f>
        <v>64.377682403433482</v>
      </c>
      <c r="F7" s="84">
        <f>D7+E7</f>
        <v>152.87748955915615</v>
      </c>
      <c r="G7" s="41" t="s">
        <v>71</v>
      </c>
      <c r="H7" s="84">
        <f t="shared" si="2"/>
        <v>152.87748955915615</v>
      </c>
      <c r="I7" s="86">
        <f t="shared" si="3"/>
        <v>152.87748955915615</v>
      </c>
      <c r="J7" t="s">
        <v>383</v>
      </c>
    </row>
    <row r="8" spans="1:14">
      <c r="A8" t="s">
        <v>384</v>
      </c>
      <c r="B8" s="23">
        <v>71200</v>
      </c>
      <c r="C8" s="7">
        <f t="shared" si="0"/>
        <v>0.42945895409855844</v>
      </c>
      <c r="D8" s="84">
        <f t="shared" si="1"/>
        <v>366.34803892368922</v>
      </c>
      <c r="E8" s="41" t="s">
        <v>71</v>
      </c>
      <c r="F8" s="84">
        <f>D8</f>
        <v>366.34803892368922</v>
      </c>
      <c r="G8" s="41" t="s">
        <v>71</v>
      </c>
      <c r="H8" s="84">
        <f t="shared" si="2"/>
        <v>366.34803892368922</v>
      </c>
      <c r="I8" s="86">
        <f t="shared" si="3"/>
        <v>366.34803892368922</v>
      </c>
    </row>
    <row r="9" spans="1:14">
      <c r="A9" t="s">
        <v>385</v>
      </c>
      <c r="B9" s="23">
        <v>20200</v>
      </c>
      <c r="C9" s="7">
        <f t="shared" si="0"/>
        <v>0.12184088304481573</v>
      </c>
      <c r="D9" s="84">
        <f t="shared" si="1"/>
        <v>103.93582003172081</v>
      </c>
      <c r="E9" s="41" t="s">
        <v>71</v>
      </c>
      <c r="F9" s="84">
        <f t="shared" ref="F9:F11" si="4">D9</f>
        <v>103.93582003172081</v>
      </c>
      <c r="G9" s="41" t="s">
        <v>71</v>
      </c>
      <c r="H9" s="84">
        <f>F9</f>
        <v>103.93582003172081</v>
      </c>
      <c r="I9" s="86">
        <f t="shared" si="3"/>
        <v>103.93582003172081</v>
      </c>
    </row>
    <row r="10" spans="1:14">
      <c r="A10" t="s">
        <v>274</v>
      </c>
      <c r="B10" s="23">
        <v>1900</v>
      </c>
      <c r="C10" s="7">
        <f t="shared" si="0"/>
        <v>1.1460281078472767E-2</v>
      </c>
      <c r="D10" s="84">
        <f t="shared" si="1"/>
        <v>9.776141488132156</v>
      </c>
      <c r="E10" s="41" t="s">
        <v>71</v>
      </c>
      <c r="F10" s="84">
        <f t="shared" si="4"/>
        <v>9.776141488132156</v>
      </c>
      <c r="G10" s="41" t="s">
        <v>71</v>
      </c>
      <c r="H10" s="84">
        <f t="shared" si="2"/>
        <v>9.776141488132156</v>
      </c>
      <c r="I10" s="86">
        <f t="shared" si="3"/>
        <v>9.776141488132156</v>
      </c>
    </row>
    <row r="11" spans="1:14">
      <c r="A11" t="s">
        <v>275</v>
      </c>
      <c r="B11" s="23">
        <v>12270</v>
      </c>
      <c r="C11" s="7">
        <f t="shared" si="0"/>
        <v>7.4009288859400446E-2</v>
      </c>
      <c r="D11" s="84">
        <f t="shared" si="1"/>
        <v>63.133292662832389</v>
      </c>
      <c r="E11" s="41" t="s">
        <v>71</v>
      </c>
      <c r="F11" s="84">
        <f t="shared" si="4"/>
        <v>63.133292662832389</v>
      </c>
      <c r="G11" s="41" t="s">
        <v>71</v>
      </c>
      <c r="H11" s="84">
        <f t="shared" si="2"/>
        <v>63.133292662832389</v>
      </c>
      <c r="I11" s="86">
        <f t="shared" si="3"/>
        <v>63.133292662832389</v>
      </c>
    </row>
    <row r="12" spans="1:14">
      <c r="A12" s="5" t="s">
        <v>276</v>
      </c>
      <c r="B12" s="28">
        <v>134970</v>
      </c>
      <c r="C12" s="48">
        <f t="shared" si="0"/>
        <v>0.81410217745340496</v>
      </c>
      <c r="D12" s="83">
        <f t="shared" si="1"/>
        <v>694.46621929115634</v>
      </c>
      <c r="E12" s="51" t="s">
        <v>71</v>
      </c>
      <c r="F12" s="83">
        <f>SUM(F5:F11)</f>
        <v>1037.2066672250896</v>
      </c>
      <c r="G12" s="51" t="s">
        <v>71</v>
      </c>
      <c r="H12" s="83">
        <f>SUM(H5,H7:H11)</f>
        <v>759.35843545712305</v>
      </c>
      <c r="I12" s="85">
        <f>SUM(I5,I7:I11)</f>
        <v>759.35843545712305</v>
      </c>
      <c r="N12" s="213"/>
    </row>
    <row r="13" spans="1:14">
      <c r="A13" t="s">
        <v>278</v>
      </c>
      <c r="B13" s="23">
        <v>9448</v>
      </c>
      <c r="C13" s="7">
        <f t="shared" si="0"/>
        <v>5.6987755594426683E-2</v>
      </c>
      <c r="D13" s="84">
        <f t="shared" si="1"/>
        <v>48.613149884143475</v>
      </c>
      <c r="E13" s="41" t="s">
        <v>71</v>
      </c>
      <c r="F13" s="84">
        <f>D13</f>
        <v>48.613149884143475</v>
      </c>
      <c r="G13" s="41" t="s">
        <v>71</v>
      </c>
      <c r="H13" s="84">
        <f>F13</f>
        <v>48.613149884143475</v>
      </c>
      <c r="I13" s="86">
        <f t="shared" si="3"/>
        <v>48.613149884143475</v>
      </c>
      <c r="N13" s="8"/>
    </row>
    <row r="14" spans="1:14">
      <c r="A14" t="s">
        <v>250</v>
      </c>
      <c r="B14" s="23">
        <v>600</v>
      </c>
      <c r="C14" s="7">
        <f t="shared" si="0"/>
        <v>3.6190361300440315E-3</v>
      </c>
      <c r="D14" s="84">
        <f t="shared" si="1"/>
        <v>3.0872025751996279</v>
      </c>
      <c r="E14" s="41" t="s">
        <v>71</v>
      </c>
      <c r="F14" s="84">
        <f t="shared" ref="F14:F16" si="5">D14</f>
        <v>3.0872025751996279</v>
      </c>
      <c r="G14" s="41" t="s">
        <v>71</v>
      </c>
      <c r="H14" s="84">
        <f>F14</f>
        <v>3.0872025751996279</v>
      </c>
      <c r="I14" s="86">
        <f t="shared" si="3"/>
        <v>3.0872025751996279</v>
      </c>
    </row>
    <row r="15" spans="1:14">
      <c r="A15" t="s">
        <v>386</v>
      </c>
      <c r="B15" s="23">
        <v>1200</v>
      </c>
      <c r="C15" s="7">
        <f t="shared" si="0"/>
        <v>7.238072260088063E-3</v>
      </c>
      <c r="D15" s="84">
        <f t="shared" si="1"/>
        <v>6.1744051503992559</v>
      </c>
      <c r="E15" s="41" t="s">
        <v>71</v>
      </c>
      <c r="F15" s="84">
        <f t="shared" si="5"/>
        <v>6.1744051503992559</v>
      </c>
      <c r="G15" s="115">
        <f>'Spur Line Assumptions'!H24</f>
        <v>25.777777777777779</v>
      </c>
      <c r="H15" s="84">
        <f>F15+G15</f>
        <v>31.952182928177034</v>
      </c>
      <c r="I15" s="86">
        <f t="shared" si="3"/>
        <v>31.952182928177034</v>
      </c>
    </row>
    <row r="16" spans="1:14">
      <c r="A16" t="s">
        <v>387</v>
      </c>
      <c r="B16" s="23">
        <v>4500</v>
      </c>
      <c r="C16" s="7">
        <f t="shared" si="0"/>
        <v>2.7142770975330237E-2</v>
      </c>
      <c r="D16" s="84">
        <f t="shared" si="1"/>
        <v>23.15401931399721</v>
      </c>
      <c r="E16" s="41" t="s">
        <v>71</v>
      </c>
      <c r="F16" s="84">
        <f t="shared" si="5"/>
        <v>23.15401931399721</v>
      </c>
      <c r="G16" s="41" t="s">
        <v>71</v>
      </c>
      <c r="H16" s="84">
        <f>F16</f>
        <v>23.15401931399721</v>
      </c>
      <c r="I16" s="86">
        <f t="shared" si="3"/>
        <v>23.15401931399721</v>
      </c>
    </row>
    <row r="17" spans="1:29">
      <c r="A17" t="s">
        <v>388</v>
      </c>
      <c r="B17" s="36">
        <f>B13+B14+B15+B16</f>
        <v>15748</v>
      </c>
      <c r="C17" s="7">
        <f t="shared" si="0"/>
        <v>9.4987634959889017E-2</v>
      </c>
      <c r="D17" s="84">
        <f t="shared" si="1"/>
        <v>81.028776923739571</v>
      </c>
      <c r="E17" s="41" t="s">
        <v>71</v>
      </c>
      <c r="F17" s="84">
        <f>F13+F14+F15+F16</f>
        <v>81.028776923739571</v>
      </c>
      <c r="G17" s="41" t="s">
        <v>71</v>
      </c>
      <c r="H17" s="84">
        <f>H13+H14+H15+H16</f>
        <v>106.80655470151734</v>
      </c>
      <c r="I17" s="86">
        <f t="shared" si="3"/>
        <v>106.80655470151734</v>
      </c>
    </row>
    <row r="18" spans="1:29">
      <c r="A18" s="5" t="s">
        <v>389</v>
      </c>
      <c r="B18" s="33">
        <v>15072</v>
      </c>
      <c r="C18" s="48">
        <f t="shared" si="0"/>
        <v>9.0910187586706076E-2</v>
      </c>
      <c r="D18" s="83">
        <f t="shared" si="1"/>
        <v>77.550528689014655</v>
      </c>
      <c r="E18" s="51" t="s">
        <v>71</v>
      </c>
      <c r="F18" s="83">
        <f>D18</f>
        <v>77.550528689014655</v>
      </c>
      <c r="G18" s="51" t="s">
        <v>71</v>
      </c>
      <c r="H18" s="83">
        <f>F18</f>
        <v>77.550528689014655</v>
      </c>
      <c r="I18" s="85">
        <f t="shared" si="3"/>
        <v>77.550528689014655</v>
      </c>
    </row>
    <row r="19" spans="1:29">
      <c r="A19" s="66" t="s">
        <v>220</v>
      </c>
      <c r="B19" s="75">
        <f>B12+B17+B18</f>
        <v>165790</v>
      </c>
      <c r="C19" s="67">
        <f>B19/$B$19</f>
        <v>1</v>
      </c>
      <c r="D19" s="89">
        <f>$B$25*C19</f>
        <v>853.04552490391052</v>
      </c>
      <c r="E19" s="73" t="s">
        <v>71</v>
      </c>
      <c r="F19" s="89">
        <f>F18+F17+F12</f>
        <v>1195.7859728378439</v>
      </c>
      <c r="G19" s="73" t="s">
        <v>71</v>
      </c>
      <c r="H19" s="89">
        <f>H18+H17+H12</f>
        <v>943.71551884765506</v>
      </c>
      <c r="I19" s="90">
        <f>I18+I17+I12</f>
        <v>943.71551884765506</v>
      </c>
    </row>
    <row r="21" spans="1:29" ht="14.45" customHeight="1">
      <c r="A21" s="227" t="s">
        <v>221</v>
      </c>
      <c r="B21" s="22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row>
    <row r="22" spans="1:29" ht="14.45" customHeight="1">
      <c r="A22" s="227"/>
      <c r="B22" s="22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4" spans="1:29">
      <c r="A24" t="s">
        <v>95</v>
      </c>
      <c r="B24">
        <v>2023</v>
      </c>
      <c r="C24">
        <v>2024</v>
      </c>
      <c r="D24">
        <v>2025</v>
      </c>
      <c r="E24">
        <v>2026</v>
      </c>
      <c r="F24">
        <v>2027</v>
      </c>
      <c r="G24">
        <v>2028</v>
      </c>
      <c r="H24">
        <v>2029</v>
      </c>
      <c r="I24">
        <v>2030</v>
      </c>
      <c r="J24">
        <v>2031</v>
      </c>
      <c r="K24">
        <v>2032</v>
      </c>
      <c r="L24">
        <v>2033</v>
      </c>
      <c r="M24">
        <v>2034</v>
      </c>
      <c r="N24">
        <v>2035</v>
      </c>
      <c r="O24">
        <v>2036</v>
      </c>
      <c r="P24">
        <v>2037</v>
      </c>
      <c r="Q24">
        <v>2038</v>
      </c>
      <c r="R24">
        <v>2039</v>
      </c>
      <c r="S24">
        <v>2040</v>
      </c>
      <c r="T24">
        <v>2041</v>
      </c>
      <c r="U24">
        <v>2042</v>
      </c>
      <c r="V24">
        <v>2043</v>
      </c>
      <c r="W24">
        <v>2044</v>
      </c>
      <c r="X24">
        <v>2045</v>
      </c>
      <c r="Y24">
        <v>2046</v>
      </c>
      <c r="Z24">
        <v>2047</v>
      </c>
      <c r="AA24">
        <v>2048</v>
      </c>
      <c r="AB24">
        <v>2049</v>
      </c>
      <c r="AC24">
        <v>2050</v>
      </c>
    </row>
    <row r="25" spans="1:29">
      <c r="A25" t="s">
        <v>318</v>
      </c>
      <c r="B25" s="8">
        <v>853.04552490391052</v>
      </c>
      <c r="C25" s="8">
        <v>833.30925311950125</v>
      </c>
      <c r="D25" s="8">
        <v>817.9588195094052</v>
      </c>
      <c r="E25" s="8">
        <v>809.18714316077887</v>
      </c>
      <c r="F25" s="8">
        <v>798.22254772499593</v>
      </c>
      <c r="G25" s="8">
        <v>791.64379046352622</v>
      </c>
      <c r="H25" s="8">
        <v>785.06503320205638</v>
      </c>
      <c r="I25" s="8">
        <v>780.67919502774328</v>
      </c>
      <c r="J25" s="8">
        <v>775.19689730985181</v>
      </c>
      <c r="K25" s="8">
        <v>770.8110591355387</v>
      </c>
      <c r="L25" s="8">
        <v>766.42522096122548</v>
      </c>
      <c r="M25" s="8">
        <v>763.13584233049062</v>
      </c>
      <c r="N25" s="8">
        <v>758.75000415617751</v>
      </c>
      <c r="O25" s="8">
        <v>754.36416598186429</v>
      </c>
      <c r="P25" s="8">
        <v>749.97832780755107</v>
      </c>
      <c r="Q25" s="8">
        <v>746.68894917681621</v>
      </c>
      <c r="R25" s="8">
        <v>742.3031110025031</v>
      </c>
      <c r="S25" s="8">
        <v>737.91727282818988</v>
      </c>
      <c r="T25" s="8">
        <v>733.53143465387677</v>
      </c>
      <c r="U25" s="8">
        <v>730.24205602314191</v>
      </c>
      <c r="V25" s="8">
        <v>725.85621784882869</v>
      </c>
      <c r="W25" s="8">
        <v>721.47037967451558</v>
      </c>
      <c r="X25" s="8">
        <v>717.08454150020236</v>
      </c>
      <c r="Y25" s="8">
        <v>713.7951628694675</v>
      </c>
      <c r="Z25" s="8">
        <v>709.4093246951544</v>
      </c>
      <c r="AA25" s="8">
        <v>706.11994606441954</v>
      </c>
      <c r="AB25" s="8">
        <v>705.02348652084117</v>
      </c>
      <c r="AC25" s="8">
        <v>702.83056743368456</v>
      </c>
    </row>
    <row r="26" spans="1:29">
      <c r="A26" t="s">
        <v>223</v>
      </c>
      <c r="B26" s="15" t="s">
        <v>71</v>
      </c>
      <c r="C26" s="14">
        <f>1-(C25/B25)</f>
        <v>2.3136246786632397E-2</v>
      </c>
      <c r="D26" s="14">
        <f t="shared" ref="D26:AC26" si="6">1-(D25/C25)</f>
        <v>1.8421052631578894E-2</v>
      </c>
      <c r="E26" s="14">
        <f t="shared" si="6"/>
        <v>1.072386058981234E-2</v>
      </c>
      <c r="F26" s="14">
        <f t="shared" si="6"/>
        <v>1.3550135501355087E-2</v>
      </c>
      <c r="G26" s="14">
        <f t="shared" si="6"/>
        <v>8.2417582417582125E-3</v>
      </c>
      <c r="H26" s="14">
        <f t="shared" si="6"/>
        <v>8.3102493074793671E-3</v>
      </c>
      <c r="I26" s="14">
        <f t="shared" si="6"/>
        <v>5.5865921787708883E-3</v>
      </c>
      <c r="J26" s="14">
        <f t="shared" si="6"/>
        <v>7.0224719101124045E-3</v>
      </c>
      <c r="K26" s="14">
        <f t="shared" si="6"/>
        <v>5.657708628005631E-3</v>
      </c>
      <c r="L26" s="14">
        <f t="shared" si="6"/>
        <v>5.6899004267425557E-3</v>
      </c>
      <c r="M26" s="14">
        <f t="shared" si="6"/>
        <v>4.2918454935622075E-3</v>
      </c>
      <c r="N26" s="14">
        <f t="shared" si="6"/>
        <v>5.7471264367815467E-3</v>
      </c>
      <c r="O26" s="14">
        <f t="shared" si="6"/>
        <v>5.7803468208093012E-3</v>
      </c>
      <c r="P26" s="14">
        <f t="shared" si="6"/>
        <v>5.8139534883722144E-3</v>
      </c>
      <c r="Q26" s="14">
        <f t="shared" si="6"/>
        <v>4.3859649122807154E-3</v>
      </c>
      <c r="R26" s="14">
        <f t="shared" si="6"/>
        <v>5.873715124816381E-3</v>
      </c>
      <c r="S26" s="14">
        <f t="shared" si="6"/>
        <v>5.9084194977844229E-3</v>
      </c>
      <c r="T26" s="14">
        <f t="shared" si="6"/>
        <v>5.9435364041603433E-3</v>
      </c>
      <c r="U26" s="14">
        <f t="shared" si="6"/>
        <v>4.484304932735439E-3</v>
      </c>
      <c r="V26" s="14">
        <f t="shared" si="6"/>
        <v>6.0060060060060927E-3</v>
      </c>
      <c r="W26" s="14">
        <f t="shared" si="6"/>
        <v>6.0422960725075026E-3</v>
      </c>
      <c r="X26" s="14">
        <f t="shared" si="6"/>
        <v>6.0790273556231567E-3</v>
      </c>
      <c r="Y26" s="14">
        <f t="shared" si="6"/>
        <v>4.5871559633027248E-3</v>
      </c>
      <c r="Z26" s="14">
        <f t="shared" si="6"/>
        <v>6.1443932411673341E-3</v>
      </c>
      <c r="AA26" s="14">
        <f t="shared" si="6"/>
        <v>4.6367851622874934E-3</v>
      </c>
      <c r="AB26" s="14">
        <f t="shared" si="6"/>
        <v>1.5527950310559868E-3</v>
      </c>
      <c r="AC26" s="14">
        <f t="shared" si="6"/>
        <v>3.1104199066874783E-3</v>
      </c>
    </row>
    <row r="27" spans="1:29">
      <c r="A27" t="s">
        <v>224</v>
      </c>
      <c r="B27" s="95">
        <f>I19</f>
        <v>943.71551884765506</v>
      </c>
      <c r="C27" s="8">
        <f>B27*(1-C26)</f>
        <v>921.88148370722092</v>
      </c>
      <c r="D27" s="8">
        <f t="shared" ref="D27:AC27" si="7">C27*(1-D26)</f>
        <v>904.89945637577216</v>
      </c>
      <c r="E27" s="8">
        <f t="shared" si="7"/>
        <v>895.19544075780141</v>
      </c>
      <c r="F27" s="8">
        <f t="shared" si="7"/>
        <v>883.06542123533791</v>
      </c>
      <c r="G27" s="8">
        <f t="shared" si="7"/>
        <v>875.7874095218599</v>
      </c>
      <c r="H27" s="8">
        <f t="shared" si="7"/>
        <v>868.50939780838166</v>
      </c>
      <c r="I27" s="8">
        <f t="shared" si="7"/>
        <v>863.6573899993964</v>
      </c>
      <c r="J27" s="8">
        <f t="shared" si="7"/>
        <v>857.59238023816465</v>
      </c>
      <c r="K27" s="8">
        <f t="shared" si="7"/>
        <v>852.74037242917927</v>
      </c>
      <c r="L27" s="8">
        <f t="shared" si="7"/>
        <v>847.8883646201939</v>
      </c>
      <c r="M27" s="8">
        <f t="shared" si="7"/>
        <v>844.24935876345489</v>
      </c>
      <c r="N27" s="8">
        <f t="shared" si="7"/>
        <v>839.39735095446952</v>
      </c>
      <c r="O27" s="8">
        <f t="shared" si="7"/>
        <v>834.54534314548414</v>
      </c>
      <c r="P27" s="8">
        <f t="shared" si="7"/>
        <v>829.69333533649865</v>
      </c>
      <c r="Q27" s="8">
        <f t="shared" si="7"/>
        <v>826.05432947975964</v>
      </c>
      <c r="R27" s="8">
        <f t="shared" si="7"/>
        <v>821.20232167077438</v>
      </c>
      <c r="S27" s="8">
        <f t="shared" si="7"/>
        <v>816.35031386178889</v>
      </c>
      <c r="T27" s="8">
        <f t="shared" si="7"/>
        <v>811.49830605280363</v>
      </c>
      <c r="U27" s="8">
        <f t="shared" si="7"/>
        <v>807.85930019606462</v>
      </c>
      <c r="V27" s="8">
        <f t="shared" si="7"/>
        <v>803.00729238707913</v>
      </c>
      <c r="W27" s="8">
        <f t="shared" si="7"/>
        <v>798.15528457809376</v>
      </c>
      <c r="X27" s="8">
        <f t="shared" si="7"/>
        <v>793.30327676910838</v>
      </c>
      <c r="Y27" s="8">
        <f t="shared" si="7"/>
        <v>789.66427091236937</v>
      </c>
      <c r="Z27" s="8">
        <f t="shared" si="7"/>
        <v>784.81226310338411</v>
      </c>
      <c r="AA27" s="8">
        <f t="shared" si="7"/>
        <v>781.17325724664511</v>
      </c>
      <c r="AB27" s="8">
        <f t="shared" si="7"/>
        <v>779.96025529439873</v>
      </c>
      <c r="AC27" s="8">
        <f t="shared" si="7"/>
        <v>777.53425138990599</v>
      </c>
    </row>
  </sheetData>
  <mergeCells count="3">
    <mergeCell ref="A21:B22"/>
    <mergeCell ref="A1:C1"/>
    <mergeCell ref="E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33"/>
  <sheetViews>
    <sheetView workbookViewId="0">
      <selection activeCell="A24" sqref="A24"/>
    </sheetView>
  </sheetViews>
  <sheetFormatPr defaultRowHeight="15"/>
  <cols>
    <col min="1" max="1" width="30.5703125" bestFit="1" customWidth="1"/>
    <col min="2" max="2" width="9.5703125" bestFit="1" customWidth="1"/>
    <col min="4" max="4" width="11" bestFit="1" customWidth="1"/>
    <col min="5" max="5" width="10.42578125" customWidth="1"/>
    <col min="6" max="6" width="10.140625" customWidth="1"/>
    <col min="7" max="7" width="10" customWidth="1"/>
    <col min="8" max="8" width="9.5703125" bestFit="1" customWidth="1"/>
    <col min="9" max="9" width="9.7109375" customWidth="1"/>
    <col min="10" max="10" width="10" bestFit="1" customWidth="1"/>
    <col min="11" max="11" width="11.42578125" customWidth="1"/>
    <col min="12" max="13" width="11.5703125" customWidth="1"/>
    <col min="14" max="14" width="10.7109375" customWidth="1"/>
  </cols>
  <sheetData>
    <row r="1" spans="1:7">
      <c r="A1" s="228" t="s">
        <v>192</v>
      </c>
      <c r="B1" s="229"/>
      <c r="C1" s="229"/>
      <c r="E1" s="229" t="s">
        <v>193</v>
      </c>
      <c r="F1" s="229"/>
    </row>
    <row r="2" spans="1:7" ht="72.599999999999994" customHeight="1">
      <c r="A2" s="1"/>
      <c r="B2" s="4" t="s">
        <v>194</v>
      </c>
      <c r="C2" s="6" t="s">
        <v>195</v>
      </c>
      <c r="D2" s="44" t="s">
        <v>196</v>
      </c>
      <c r="E2" s="46" t="s">
        <v>197</v>
      </c>
      <c r="F2" s="44" t="s">
        <v>198</v>
      </c>
      <c r="G2" s="17" t="s">
        <v>199</v>
      </c>
    </row>
    <row r="3" spans="1:7">
      <c r="A3" t="s">
        <v>200</v>
      </c>
      <c r="B3">
        <v>727</v>
      </c>
      <c r="D3" s="34"/>
      <c r="E3" s="47"/>
      <c r="F3" s="34"/>
    </row>
    <row r="4" spans="1:7">
      <c r="A4" s="3" t="s">
        <v>390</v>
      </c>
      <c r="B4" s="9" t="s">
        <v>124</v>
      </c>
      <c r="C4" s="5" t="s">
        <v>202</v>
      </c>
      <c r="D4" s="68" t="s">
        <v>124</v>
      </c>
      <c r="E4" s="61" t="s">
        <v>203</v>
      </c>
      <c r="F4" s="68" t="s">
        <v>124</v>
      </c>
      <c r="G4" s="69" t="s">
        <v>124</v>
      </c>
    </row>
    <row r="5" spans="1:7">
      <c r="A5" s="1" t="s">
        <v>391</v>
      </c>
      <c r="B5" s="8">
        <v>129.54057771664375</v>
      </c>
      <c r="C5" s="7">
        <f t="shared" ref="C5:C22" si="0">B5/$B$25</f>
        <v>0.12457706436531529</v>
      </c>
      <c r="D5" s="84">
        <f>$B$31*C5</f>
        <v>119.92927837593032</v>
      </c>
      <c r="E5" s="41">
        <v>0</v>
      </c>
      <c r="F5" s="84">
        <f t="shared" ref="F5:F13" si="1">D5+E5</f>
        <v>119.92927837593032</v>
      </c>
      <c r="G5" s="86">
        <f>F5</f>
        <v>119.92927837593032</v>
      </c>
    </row>
    <row r="6" spans="1:7">
      <c r="A6" s="1" t="s">
        <v>392</v>
      </c>
      <c r="B6" s="8">
        <v>156.48005502063273</v>
      </c>
      <c r="C6" s="7">
        <f t="shared" si="0"/>
        <v>0.15048432105061407</v>
      </c>
      <c r="D6" s="84">
        <f t="shared" ref="D6:D23" si="2">$B$31*C6</f>
        <v>144.8699736379142</v>
      </c>
      <c r="E6" s="41">
        <v>0</v>
      </c>
      <c r="F6" s="84">
        <f t="shared" si="1"/>
        <v>144.8699736379142</v>
      </c>
      <c r="G6" s="86">
        <f t="shared" ref="G6:G24" si="3">F6</f>
        <v>144.8699736379142</v>
      </c>
    </row>
    <row r="7" spans="1:7">
      <c r="A7" s="1" t="s">
        <v>393</v>
      </c>
      <c r="B7" s="8">
        <v>158.58321870701513</v>
      </c>
      <c r="C7" s="7">
        <f t="shared" si="0"/>
        <v>0.15250689932336475</v>
      </c>
      <c r="D7" s="84">
        <f t="shared" si="2"/>
        <v>146.81709250723119</v>
      </c>
      <c r="E7" s="41">
        <v>0</v>
      </c>
      <c r="F7" s="84">
        <f t="shared" si="1"/>
        <v>146.81709250723119</v>
      </c>
      <c r="G7" s="86">
        <f t="shared" si="3"/>
        <v>146.81709250723119</v>
      </c>
    </row>
    <row r="8" spans="1:7">
      <c r="A8" s="1" t="s">
        <v>394</v>
      </c>
      <c r="B8" s="8">
        <v>132.83768913342504</v>
      </c>
      <c r="C8" s="7">
        <f t="shared" si="0"/>
        <v>0.12774784273011802</v>
      </c>
      <c r="D8" s="84">
        <f t="shared" si="2"/>
        <v>122.98175969035339</v>
      </c>
      <c r="E8" s="41">
        <v>0</v>
      </c>
      <c r="F8" s="84">
        <f t="shared" si="1"/>
        <v>122.98175969035339</v>
      </c>
      <c r="G8" s="86">
        <f t="shared" si="3"/>
        <v>122.98175969035339</v>
      </c>
    </row>
    <row r="9" spans="1:7">
      <c r="A9" s="1" t="s">
        <v>395</v>
      </c>
      <c r="B9" s="8">
        <v>53.65612104539202</v>
      </c>
      <c r="C9" s="7">
        <f t="shared" si="0"/>
        <v>5.1600217961712311E-2</v>
      </c>
      <c r="D9" s="84">
        <f t="shared" si="2"/>
        <v>49.675090159789008</v>
      </c>
      <c r="E9" s="41">
        <v>0</v>
      </c>
      <c r="F9" s="84">
        <f t="shared" si="1"/>
        <v>49.675090159789008</v>
      </c>
      <c r="G9" s="86">
        <f t="shared" si="3"/>
        <v>49.675090159789008</v>
      </c>
    </row>
    <row r="10" spans="1:7">
      <c r="A10" s="1" t="s">
        <v>396</v>
      </c>
      <c r="B10" s="8">
        <v>56.854195323246216</v>
      </c>
      <c r="C10" s="7">
        <f t="shared" si="0"/>
        <v>5.467575392256601E-2</v>
      </c>
      <c r="D10" s="84">
        <f t="shared" si="2"/>
        <v>52.635882423465929</v>
      </c>
      <c r="E10" s="41">
        <v>0</v>
      </c>
      <c r="F10" s="84">
        <f t="shared" si="1"/>
        <v>52.635882423465929</v>
      </c>
      <c r="G10" s="86">
        <f t="shared" si="3"/>
        <v>52.635882423465929</v>
      </c>
    </row>
    <row r="11" spans="1:7">
      <c r="A11" s="1" t="s">
        <v>397</v>
      </c>
      <c r="B11" s="8">
        <v>26.895460797799174</v>
      </c>
      <c r="C11" s="7">
        <f t="shared" si="0"/>
        <v>2.5864926727988125E-2</v>
      </c>
      <c r="D11" s="84">
        <f t="shared" si="2"/>
        <v>24.899944572763392</v>
      </c>
      <c r="E11" s="41">
        <v>0</v>
      </c>
      <c r="F11" s="84">
        <f t="shared" si="1"/>
        <v>24.899944572763392</v>
      </c>
      <c r="G11" s="86">
        <f t="shared" si="3"/>
        <v>24.899944572763392</v>
      </c>
    </row>
    <row r="12" spans="1:7">
      <c r="A12" s="1" t="s">
        <v>398</v>
      </c>
      <c r="B12" s="8">
        <v>38.291609353507567</v>
      </c>
      <c r="C12" s="7">
        <f t="shared" si="0"/>
        <v>3.6824417237954966E-2</v>
      </c>
      <c r="D12" s="84">
        <f t="shared" si="2"/>
        <v>35.450552703758369</v>
      </c>
      <c r="E12" s="41">
        <v>0</v>
      </c>
      <c r="F12" s="84">
        <f t="shared" si="1"/>
        <v>35.450552703758369</v>
      </c>
      <c r="G12" s="86">
        <f t="shared" si="3"/>
        <v>35.450552703758369</v>
      </c>
    </row>
    <row r="13" spans="1:7">
      <c r="A13" s="3" t="s">
        <v>399</v>
      </c>
      <c r="B13" s="63">
        <v>26.74002751031637</v>
      </c>
      <c r="C13" s="48">
        <f t="shared" si="0"/>
        <v>2.5715449066234807E-2</v>
      </c>
      <c r="D13" s="83">
        <f t="shared" si="2"/>
        <v>24.756043701453507</v>
      </c>
      <c r="E13" s="117">
        <f>'Spur Line Assumptions'!H25</f>
        <v>22.321428571428573</v>
      </c>
      <c r="F13" s="83">
        <f t="shared" si="1"/>
        <v>47.077472272882076</v>
      </c>
      <c r="G13" s="85">
        <f t="shared" si="3"/>
        <v>47.077472272882076</v>
      </c>
    </row>
    <row r="14" spans="1:7">
      <c r="A14" s="1" t="s">
        <v>233</v>
      </c>
      <c r="B14" s="8">
        <f>SUM(B5:B13)</f>
        <v>779.87895460797813</v>
      </c>
      <c r="C14" s="7">
        <f t="shared" si="0"/>
        <v>0.74999689238586842</v>
      </c>
      <c r="D14" s="84">
        <f t="shared" si="2"/>
        <v>722.01561777265943</v>
      </c>
      <c r="E14" s="41">
        <v>0</v>
      </c>
      <c r="F14" s="84">
        <f>SUM(F5:F13)</f>
        <v>744.33704634408775</v>
      </c>
      <c r="G14" s="86">
        <f>SUM(G5:G13)</f>
        <v>744.33704634408775</v>
      </c>
    </row>
    <row r="15" spans="1:7">
      <c r="A15" s="1"/>
      <c r="B15" s="8"/>
      <c r="C15" s="8"/>
      <c r="D15" s="84"/>
      <c r="E15" s="42"/>
      <c r="F15" s="84"/>
      <c r="G15" s="22"/>
    </row>
    <row r="16" spans="1:7">
      <c r="A16" s="3" t="s">
        <v>400</v>
      </c>
      <c r="B16" s="63"/>
      <c r="C16" s="63"/>
      <c r="D16" s="83"/>
      <c r="E16" s="70"/>
      <c r="F16" s="83"/>
      <c r="G16" s="82"/>
    </row>
    <row r="17" spans="1:32">
      <c r="A17" s="1" t="s">
        <v>401</v>
      </c>
      <c r="B17" s="8">
        <v>27.559834938101787</v>
      </c>
      <c r="C17" s="7">
        <f t="shared" si="0"/>
        <v>2.6503844521146118E-2</v>
      </c>
      <c r="D17" s="84">
        <f t="shared" si="2"/>
        <v>25.515025288185306</v>
      </c>
      <c r="E17" s="41">
        <v>0</v>
      </c>
      <c r="F17" s="84">
        <f t="shared" ref="F17:F21" si="4">D17+E17</f>
        <v>25.515025288185306</v>
      </c>
      <c r="G17" s="86">
        <f t="shared" si="3"/>
        <v>25.515025288185306</v>
      </c>
    </row>
    <row r="18" spans="1:32">
      <c r="A18" s="1" t="s">
        <v>402</v>
      </c>
      <c r="B18" s="8">
        <v>4.3108665749656119</v>
      </c>
      <c r="C18" s="7">
        <f t="shared" si="0"/>
        <v>4.1456901941141914E-3</v>
      </c>
      <c r="D18" s="84">
        <f t="shared" si="2"/>
        <v>3.9910206255326792</v>
      </c>
      <c r="E18" s="41">
        <v>0</v>
      </c>
      <c r="F18" s="84">
        <f t="shared" si="4"/>
        <v>3.9910206255326792</v>
      </c>
      <c r="G18" s="86">
        <f t="shared" si="3"/>
        <v>3.9910206255326792</v>
      </c>
    </row>
    <row r="19" spans="1:32">
      <c r="A19" s="1" t="s">
        <v>403</v>
      </c>
      <c r="B19" s="8">
        <v>1.1650618982118295</v>
      </c>
      <c r="C19" s="7">
        <f t="shared" si="0"/>
        <v>1.1204210575669177E-3</v>
      </c>
      <c r="D19" s="84">
        <f t="shared" si="2"/>
        <v>1.0786198053050986</v>
      </c>
      <c r="E19" s="41">
        <v>0</v>
      </c>
      <c r="F19" s="84">
        <f t="shared" si="4"/>
        <v>1.0786198053050986</v>
      </c>
      <c r="G19" s="86">
        <f t="shared" si="3"/>
        <v>1.0786198053050986</v>
      </c>
    </row>
    <row r="20" spans="1:32">
      <c r="A20" s="1" t="s">
        <v>250</v>
      </c>
      <c r="B20" s="8">
        <v>0.4126547455295736</v>
      </c>
      <c r="C20" s="7">
        <f t="shared" si="0"/>
        <v>3.968433497875742E-4</v>
      </c>
      <c r="D20" s="84">
        <f t="shared" si="2"/>
        <v>0.38203771144218374</v>
      </c>
      <c r="E20" s="41">
        <v>0</v>
      </c>
      <c r="F20" s="84">
        <f t="shared" si="4"/>
        <v>0.38203771144218374</v>
      </c>
      <c r="G20" s="86">
        <f t="shared" si="3"/>
        <v>0.38203771144218374</v>
      </c>
    </row>
    <row r="21" spans="1:32">
      <c r="A21" s="1" t="s">
        <v>404</v>
      </c>
      <c r="B21" s="8">
        <v>116.98211829436039</v>
      </c>
      <c r="C21" s="7">
        <f t="shared" si="0"/>
        <v>0.11249979842011344</v>
      </c>
      <c r="D21" s="84">
        <f t="shared" si="2"/>
        <v>108.30259735770652</v>
      </c>
      <c r="E21" s="41">
        <v>0</v>
      </c>
      <c r="F21" s="84">
        <f t="shared" si="4"/>
        <v>108.30259735770652</v>
      </c>
      <c r="G21" s="86">
        <f t="shared" si="3"/>
        <v>108.30259735770652</v>
      </c>
    </row>
    <row r="22" spans="1:32">
      <c r="A22" s="1" t="s">
        <v>405</v>
      </c>
      <c r="B22" s="8">
        <v>21.056396148555709</v>
      </c>
      <c r="C22" s="7">
        <f t="shared" si="0"/>
        <v>2.0249593328493951E-2</v>
      </c>
      <c r="D22" s="84">
        <f t="shared" si="2"/>
        <v>19.494110955856495</v>
      </c>
      <c r="E22" s="41">
        <v>0</v>
      </c>
      <c r="F22" s="84">
        <f>D22+E22</f>
        <v>19.494110955856495</v>
      </c>
      <c r="G22" s="86">
        <f t="shared" si="3"/>
        <v>19.494110955856495</v>
      </c>
    </row>
    <row r="23" spans="1:32">
      <c r="A23" s="1" t="s">
        <v>406</v>
      </c>
      <c r="B23" s="8">
        <f>SUM(B17:B22,B14)</f>
        <v>951.36588720770305</v>
      </c>
      <c r="C23" s="7">
        <f>B23/$B$25</f>
        <v>0.91491308325709064</v>
      </c>
      <c r="D23" s="84">
        <f t="shared" si="2"/>
        <v>880.77902951668773</v>
      </c>
      <c r="E23" s="41">
        <v>0</v>
      </c>
      <c r="F23" s="84">
        <f>SUM(F17:F22,F14)</f>
        <v>903.10045808811606</v>
      </c>
      <c r="G23" s="86">
        <f>SUM(G17:G22,G14)</f>
        <v>903.10045808811606</v>
      </c>
    </row>
    <row r="24" spans="1:32">
      <c r="A24" s="3" t="s">
        <v>407</v>
      </c>
      <c r="B24" s="63">
        <v>1.093</v>
      </c>
      <c r="C24" s="63">
        <v>1.093</v>
      </c>
      <c r="D24" s="83">
        <f>$B$31*C24</f>
        <v>1052.2217868330813</v>
      </c>
      <c r="E24" s="70">
        <v>1.093</v>
      </c>
      <c r="F24" s="83">
        <v>1.093</v>
      </c>
      <c r="G24" s="85">
        <f t="shared" si="3"/>
        <v>1.093</v>
      </c>
    </row>
    <row r="25" spans="1:32">
      <c r="A25" s="21" t="s">
        <v>408</v>
      </c>
      <c r="B25" s="66">
        <f>B23*B24</f>
        <v>1039.8429147180193</v>
      </c>
      <c r="C25" s="67">
        <f>B25/$B$25</f>
        <v>1</v>
      </c>
      <c r="D25" s="89">
        <f>$B$31*C25</f>
        <v>962.69147926173957</v>
      </c>
      <c r="E25" s="73">
        <v>0</v>
      </c>
      <c r="F25" s="89">
        <f>F23*F24</f>
        <v>987.08880069031079</v>
      </c>
      <c r="G25" s="90">
        <f>G23*G24</f>
        <v>987.08880069031079</v>
      </c>
    </row>
    <row r="27" spans="1:32" ht="14.45" customHeight="1">
      <c r="A27" s="227" t="s">
        <v>221</v>
      </c>
      <c r="B27" s="22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1:32" ht="14.45" customHeight="1">
      <c r="A28" s="227"/>
      <c r="B28" s="227"/>
      <c r="C28" s="37"/>
      <c r="D28" s="37" t="s">
        <v>409</v>
      </c>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30" spans="1:32">
      <c r="A30" t="s">
        <v>95</v>
      </c>
      <c r="B30">
        <v>2023</v>
      </c>
      <c r="C30">
        <v>2024</v>
      </c>
      <c r="D30">
        <v>2025</v>
      </c>
      <c r="E30">
        <v>2026</v>
      </c>
      <c r="F30">
        <v>2027</v>
      </c>
      <c r="G30">
        <v>2028</v>
      </c>
      <c r="H30">
        <v>2029</v>
      </c>
      <c r="I30">
        <v>2030</v>
      </c>
      <c r="J30">
        <v>2031</v>
      </c>
      <c r="K30">
        <v>2032</v>
      </c>
      <c r="L30">
        <v>2033</v>
      </c>
      <c r="M30">
        <v>2034</v>
      </c>
      <c r="N30">
        <v>2035</v>
      </c>
      <c r="O30">
        <v>2036</v>
      </c>
      <c r="P30">
        <v>2037</v>
      </c>
      <c r="Q30">
        <v>2038</v>
      </c>
      <c r="R30">
        <v>2039</v>
      </c>
      <c r="S30">
        <v>2040</v>
      </c>
      <c r="T30">
        <v>2041</v>
      </c>
      <c r="U30">
        <v>2042</v>
      </c>
      <c r="V30">
        <v>2043</v>
      </c>
      <c r="W30">
        <v>2044</v>
      </c>
      <c r="X30">
        <v>2045</v>
      </c>
      <c r="Y30">
        <v>2046</v>
      </c>
      <c r="Z30">
        <v>2047</v>
      </c>
      <c r="AA30">
        <v>2048</v>
      </c>
      <c r="AB30">
        <v>2049</v>
      </c>
      <c r="AC30">
        <v>2050</v>
      </c>
    </row>
    <row r="31" spans="1:32">
      <c r="A31" t="s">
        <v>318</v>
      </c>
      <c r="B31" s="8">
        <v>962.69147926173957</v>
      </c>
      <c r="C31" s="8">
        <v>949.53396473880014</v>
      </c>
      <c r="D31" s="8">
        <v>940.76228839017381</v>
      </c>
      <c r="E31" s="8">
        <v>934.18353112870409</v>
      </c>
      <c r="F31" s="8">
        <v>926.50831432365601</v>
      </c>
      <c r="G31" s="8">
        <v>921.02601660576454</v>
      </c>
      <c r="H31" s="8">
        <v>915.54371888787307</v>
      </c>
      <c r="I31" s="8">
        <v>912.25434025713821</v>
      </c>
      <c r="J31" s="8">
        <v>906.77204253924674</v>
      </c>
      <c r="K31" s="8">
        <v>903.48266390851188</v>
      </c>
      <c r="L31" s="8">
        <v>899.09682573419877</v>
      </c>
      <c r="M31" s="8">
        <v>895.8074471034638</v>
      </c>
      <c r="N31" s="8">
        <v>891.42160892915069</v>
      </c>
      <c r="O31" s="8">
        <v>888.13223029841583</v>
      </c>
      <c r="P31" s="8">
        <v>883.74639212410261</v>
      </c>
      <c r="Q31" s="8">
        <v>880.45701349336775</v>
      </c>
      <c r="R31" s="8">
        <v>876.07117531905465</v>
      </c>
      <c r="S31" s="8">
        <v>872.78179668831967</v>
      </c>
      <c r="T31" s="8">
        <v>869.49241805758481</v>
      </c>
      <c r="U31" s="8">
        <v>865.10657988327171</v>
      </c>
      <c r="V31" s="8">
        <v>861.81720125253685</v>
      </c>
      <c r="W31" s="8">
        <v>857.43136307822363</v>
      </c>
      <c r="X31" s="8">
        <v>854.14198444748877</v>
      </c>
      <c r="Y31" s="8">
        <v>849.75614627317566</v>
      </c>
      <c r="Z31" s="8">
        <v>846.4667676424408</v>
      </c>
      <c r="AA31" s="8">
        <v>842.08092946812758</v>
      </c>
      <c r="AB31" s="8">
        <v>839.88801038097097</v>
      </c>
      <c r="AC31" s="8">
        <v>837.69509129381436</v>
      </c>
      <c r="AD31" s="8">
        <v>842.08092946812758</v>
      </c>
      <c r="AE31" s="8">
        <v>839.88801038097097</v>
      </c>
      <c r="AF31" s="8">
        <v>837.69509129381436</v>
      </c>
    </row>
    <row r="32" spans="1:32">
      <c r="A32" t="s">
        <v>223</v>
      </c>
      <c r="B32" s="15" t="s">
        <v>71</v>
      </c>
      <c r="C32" s="14">
        <f>1-(C31/B31)</f>
        <v>1.3667425968109326E-2</v>
      </c>
      <c r="D32" s="14">
        <f t="shared" ref="D32:AF32" si="5">1-(D31/C31)</f>
        <v>9.2378752886835835E-3</v>
      </c>
      <c r="E32" s="14">
        <f t="shared" si="5"/>
        <v>6.9930069930069783E-3</v>
      </c>
      <c r="F32" s="14">
        <f t="shared" si="5"/>
        <v>8.2159624413146171E-3</v>
      </c>
      <c r="G32" s="14">
        <f t="shared" si="5"/>
        <v>5.9171597633136397E-3</v>
      </c>
      <c r="H32" s="14">
        <f t="shared" si="5"/>
        <v>5.9523809523809312E-3</v>
      </c>
      <c r="I32" s="14">
        <f t="shared" si="5"/>
        <v>3.5928143712574689E-3</v>
      </c>
      <c r="J32" s="14">
        <f t="shared" si="5"/>
        <v>6.0096153846154188E-3</v>
      </c>
      <c r="K32" s="14">
        <f t="shared" si="5"/>
        <v>3.6275695284159193E-3</v>
      </c>
      <c r="L32" s="14">
        <f t="shared" si="5"/>
        <v>4.8543689320387218E-3</v>
      </c>
      <c r="M32" s="14">
        <f t="shared" si="5"/>
        <v>3.6585365853659679E-3</v>
      </c>
      <c r="N32" s="14">
        <f t="shared" si="5"/>
        <v>4.8959608323132509E-3</v>
      </c>
      <c r="O32" s="14">
        <f t="shared" si="5"/>
        <v>3.6900369003689537E-3</v>
      </c>
      <c r="P32" s="14">
        <f t="shared" si="5"/>
        <v>4.9382716049383157E-3</v>
      </c>
      <c r="Q32" s="14">
        <f t="shared" si="5"/>
        <v>3.7220843672456372E-3</v>
      </c>
      <c r="R32" s="14">
        <f t="shared" si="5"/>
        <v>4.9813200498131094E-3</v>
      </c>
      <c r="S32" s="14">
        <f t="shared" si="5"/>
        <v>3.754693366708528E-3</v>
      </c>
      <c r="T32" s="14">
        <f t="shared" si="5"/>
        <v>3.7688442211054607E-3</v>
      </c>
      <c r="U32" s="14">
        <f t="shared" si="5"/>
        <v>5.0441361916770955E-3</v>
      </c>
      <c r="V32" s="14">
        <f t="shared" si="5"/>
        <v>3.8022813688213253E-3</v>
      </c>
      <c r="W32" s="14">
        <f t="shared" si="5"/>
        <v>5.0890585241730735E-3</v>
      </c>
      <c r="X32" s="14">
        <f t="shared" si="5"/>
        <v>3.8363171355498826E-3</v>
      </c>
      <c r="Y32" s="14">
        <f t="shared" si="5"/>
        <v>5.1347881899871384E-3</v>
      </c>
      <c r="Z32" s="14">
        <f t="shared" si="5"/>
        <v>3.870967741935516E-3</v>
      </c>
      <c r="AA32" s="14">
        <f t="shared" si="5"/>
        <v>5.1813471502590858E-3</v>
      </c>
      <c r="AB32" s="14">
        <f t="shared" si="5"/>
        <v>2.6041666666667407E-3</v>
      </c>
      <c r="AC32" s="14">
        <f t="shared" si="5"/>
        <v>2.6109660574412663E-3</v>
      </c>
      <c r="AD32" s="14">
        <f t="shared" si="5"/>
        <v>-5.2356020942410098E-3</v>
      </c>
      <c r="AE32" s="14">
        <f t="shared" si="5"/>
        <v>2.6041666666667407E-3</v>
      </c>
      <c r="AF32" s="14">
        <f t="shared" si="5"/>
        <v>2.6109660574412663E-3</v>
      </c>
    </row>
    <row r="33" spans="1:32">
      <c r="A33" t="s">
        <v>224</v>
      </c>
      <c r="B33" s="95">
        <f>G25</f>
        <v>987.08880069031079</v>
      </c>
      <c r="C33" s="8">
        <f>B33*(1-C32)</f>
        <v>973.5978375829261</v>
      </c>
      <c r="D33" s="8">
        <f t="shared" ref="D33:AF33" si="6">C33*(1-D32)</f>
        <v>964.60386217800306</v>
      </c>
      <c r="E33" s="8">
        <f t="shared" si="6"/>
        <v>957.85838062431071</v>
      </c>
      <c r="F33" s="8">
        <f t="shared" si="6"/>
        <v>949.9886521450029</v>
      </c>
      <c r="G33" s="8">
        <f t="shared" si="6"/>
        <v>944.36741751692591</v>
      </c>
      <c r="H33" s="8">
        <f t="shared" si="6"/>
        <v>938.74618288884903</v>
      </c>
      <c r="I33" s="8">
        <f t="shared" si="6"/>
        <v>935.37344211200286</v>
      </c>
      <c r="J33" s="8">
        <f t="shared" si="6"/>
        <v>929.75220748392587</v>
      </c>
      <c r="K33" s="8">
        <f t="shared" si="6"/>
        <v>926.3794667070797</v>
      </c>
      <c r="L33" s="8">
        <f t="shared" si="6"/>
        <v>921.88247900461829</v>
      </c>
      <c r="M33" s="8">
        <f t="shared" si="6"/>
        <v>918.509738227772</v>
      </c>
      <c r="N33" s="8">
        <f t="shared" si="6"/>
        <v>914.01275052531048</v>
      </c>
      <c r="O33" s="8">
        <f t="shared" si="6"/>
        <v>910.64000974846431</v>
      </c>
      <c r="P33" s="8">
        <f t="shared" si="6"/>
        <v>906.14302204600267</v>
      </c>
      <c r="Q33" s="8">
        <f t="shared" si="6"/>
        <v>902.7702812691565</v>
      </c>
      <c r="R33" s="8">
        <f t="shared" si="6"/>
        <v>898.27329356669497</v>
      </c>
      <c r="S33" s="8">
        <f t="shared" si="6"/>
        <v>894.90055278984869</v>
      </c>
      <c r="T33" s="8">
        <f t="shared" si="6"/>
        <v>891.52781201300263</v>
      </c>
      <c r="U33" s="8">
        <f t="shared" si="6"/>
        <v>887.03082431054111</v>
      </c>
      <c r="V33" s="8">
        <f t="shared" si="6"/>
        <v>883.65808353369493</v>
      </c>
      <c r="W33" s="8">
        <f t="shared" si="6"/>
        <v>879.1610958312333</v>
      </c>
      <c r="X33" s="8">
        <f t="shared" si="6"/>
        <v>875.78835505438713</v>
      </c>
      <c r="Y33" s="8">
        <f t="shared" si="6"/>
        <v>871.2913673519256</v>
      </c>
      <c r="Z33" s="8">
        <f t="shared" si="6"/>
        <v>867.91862657507943</v>
      </c>
      <c r="AA33" s="8">
        <f t="shared" si="6"/>
        <v>863.4216388726179</v>
      </c>
      <c r="AB33" s="8">
        <f t="shared" si="6"/>
        <v>861.17314502138709</v>
      </c>
      <c r="AC33" s="8">
        <f t="shared" si="6"/>
        <v>858.92465117015627</v>
      </c>
      <c r="AD33" s="8">
        <f t="shared" si="6"/>
        <v>863.42163887261802</v>
      </c>
      <c r="AE33" s="8">
        <f t="shared" si="6"/>
        <v>861.1731450213872</v>
      </c>
      <c r="AF33" s="8">
        <f t="shared" si="6"/>
        <v>858.92465117015638</v>
      </c>
    </row>
  </sheetData>
  <mergeCells count="3">
    <mergeCell ref="A27:B28"/>
    <mergeCell ref="A1:C1"/>
    <mergeCell ref="E1:F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28"/>
  <sheetViews>
    <sheetView workbookViewId="0">
      <selection sqref="A1:C1"/>
    </sheetView>
  </sheetViews>
  <sheetFormatPr defaultRowHeight="15"/>
  <cols>
    <col min="1" max="1" width="31.7109375" bestFit="1" customWidth="1"/>
    <col min="2" max="2" width="11.28515625" bestFit="1" customWidth="1"/>
    <col min="3" max="3" width="10.140625" customWidth="1"/>
    <col min="4" max="4" width="11" bestFit="1" customWidth="1"/>
    <col min="5" max="5" width="10.85546875" customWidth="1"/>
    <col min="6" max="6" width="10.28515625" customWidth="1"/>
    <col min="7" max="7" width="11.7109375" customWidth="1"/>
    <col min="8" max="8" width="10.5703125" customWidth="1"/>
    <col min="9" max="9" width="10.28515625" customWidth="1"/>
    <col min="12" max="13" width="12" bestFit="1" customWidth="1"/>
    <col min="14" max="14" width="11" customWidth="1"/>
  </cols>
  <sheetData>
    <row r="1" spans="1:10">
      <c r="A1" s="228" t="s">
        <v>192</v>
      </c>
      <c r="B1" s="229"/>
      <c r="C1" s="229"/>
      <c r="E1" s="229" t="s">
        <v>193</v>
      </c>
      <c r="F1" s="229"/>
      <c r="G1" s="229"/>
      <c r="H1" s="229"/>
    </row>
    <row r="2" spans="1:10" ht="75">
      <c r="A2" s="1"/>
      <c r="B2" s="4" t="s">
        <v>194</v>
      </c>
      <c r="C2" s="6" t="s">
        <v>195</v>
      </c>
      <c r="D2" s="44" t="s">
        <v>410</v>
      </c>
      <c r="E2" s="46" t="s">
        <v>411</v>
      </c>
      <c r="F2" s="44" t="s">
        <v>198</v>
      </c>
      <c r="G2" s="46" t="s">
        <v>377</v>
      </c>
      <c r="H2" s="44" t="s">
        <v>301</v>
      </c>
      <c r="I2" s="17" t="s">
        <v>199</v>
      </c>
      <c r="J2" t="s">
        <v>54</v>
      </c>
    </row>
    <row r="3" spans="1:10">
      <c r="A3" t="s">
        <v>412</v>
      </c>
      <c r="B3">
        <v>21.4</v>
      </c>
      <c r="D3" s="34"/>
      <c r="E3" s="47"/>
      <c r="F3" s="34"/>
      <c r="G3" s="47"/>
      <c r="H3" s="34"/>
    </row>
    <row r="4" spans="1:10">
      <c r="A4" s="27" t="s">
        <v>378</v>
      </c>
      <c r="B4" s="5" t="s">
        <v>379</v>
      </c>
      <c r="C4" s="9" t="s">
        <v>202</v>
      </c>
      <c r="D4" s="68" t="s">
        <v>124</v>
      </c>
      <c r="E4" s="71" t="s">
        <v>306</v>
      </c>
      <c r="F4" s="68" t="s">
        <v>124</v>
      </c>
      <c r="G4" s="71" t="s">
        <v>203</v>
      </c>
      <c r="H4" s="68" t="s">
        <v>124</v>
      </c>
      <c r="I4" s="69" t="s">
        <v>124</v>
      </c>
    </row>
    <row r="5" spans="1:10">
      <c r="A5" t="s">
        <v>380</v>
      </c>
      <c r="B5" s="23">
        <v>6861</v>
      </c>
      <c r="C5" s="7">
        <f t="shared" ref="C5:C19" si="0">B5/$B$20</f>
        <v>0.17716321945929198</v>
      </c>
      <c r="D5" s="84">
        <f>$D$20*C5</f>
        <v>348.92719953226435</v>
      </c>
      <c r="E5" s="40">
        <f t="shared" ref="E5:E14" si="1">inf</f>
        <v>2.5000000000000001E-2</v>
      </c>
      <c r="F5" s="35">
        <f>D5*(1+E5)</f>
        <v>357.65037952057094</v>
      </c>
      <c r="G5" s="41" t="s">
        <v>71</v>
      </c>
      <c r="H5" s="35">
        <f>F5</f>
        <v>357.65037952057094</v>
      </c>
      <c r="I5" s="19">
        <f>H5</f>
        <v>357.65037952057094</v>
      </c>
    </row>
    <row r="6" spans="1:10">
      <c r="A6" t="s">
        <v>413</v>
      </c>
      <c r="B6" s="23">
        <v>11974</v>
      </c>
      <c r="C6" s="7">
        <f t="shared" si="0"/>
        <v>0.30918997082139077</v>
      </c>
      <c r="D6" s="84">
        <f t="shared" ref="D6:D18" si="2">$D$20*C6</f>
        <v>608.95704521197104</v>
      </c>
      <c r="E6" s="40">
        <f t="shared" si="1"/>
        <v>2.5000000000000001E-2</v>
      </c>
      <c r="F6" s="35">
        <f t="shared" ref="F6:F11" si="3">D6*(1+E6)</f>
        <v>624.18097134227025</v>
      </c>
      <c r="G6" s="41" t="s">
        <v>71</v>
      </c>
      <c r="H6" s="35">
        <f t="shared" ref="H6:H19" si="4">F6</f>
        <v>624.18097134227025</v>
      </c>
      <c r="I6" s="19">
        <f t="shared" ref="I6:I19" si="5">H6</f>
        <v>624.18097134227025</v>
      </c>
    </row>
    <row r="7" spans="1:10">
      <c r="A7" t="s">
        <v>414</v>
      </c>
      <c r="B7" s="23">
        <v>5521</v>
      </c>
      <c r="C7" s="7">
        <f t="shared" si="0"/>
        <v>0.14256203682185556</v>
      </c>
      <c r="D7" s="84">
        <f t="shared" si="2"/>
        <v>280.77934245993754</v>
      </c>
      <c r="E7" s="40">
        <f t="shared" si="1"/>
        <v>2.5000000000000001E-2</v>
      </c>
      <c r="F7" s="35">
        <f t="shared" si="3"/>
        <v>287.79882602143596</v>
      </c>
      <c r="G7" s="41" t="s">
        <v>71</v>
      </c>
      <c r="H7" s="35">
        <f t="shared" si="4"/>
        <v>287.79882602143596</v>
      </c>
      <c r="I7" s="19">
        <f t="shared" si="5"/>
        <v>287.79882602143596</v>
      </c>
    </row>
    <row r="8" spans="1:10">
      <c r="A8" t="s">
        <v>384</v>
      </c>
      <c r="B8" s="23">
        <v>17495</v>
      </c>
      <c r="C8" s="7">
        <f t="shared" si="0"/>
        <v>0.4517520076432463</v>
      </c>
      <c r="D8" s="84">
        <f t="shared" si="2"/>
        <v>889.73638767190846</v>
      </c>
      <c r="E8" s="40">
        <f t="shared" si="1"/>
        <v>2.5000000000000001E-2</v>
      </c>
      <c r="F8" s="35">
        <f t="shared" si="3"/>
        <v>911.9797973637061</v>
      </c>
      <c r="G8" s="41" t="s">
        <v>71</v>
      </c>
      <c r="H8" s="35">
        <f t="shared" si="4"/>
        <v>911.9797973637061</v>
      </c>
      <c r="I8" s="19">
        <f t="shared" si="5"/>
        <v>911.9797973637061</v>
      </c>
    </row>
    <row r="9" spans="1:10">
      <c r="A9" t="s">
        <v>385</v>
      </c>
      <c r="B9" s="23">
        <v>6668</v>
      </c>
      <c r="C9" s="7">
        <f t="shared" si="0"/>
        <v>0.17217961628837761</v>
      </c>
      <c r="D9" s="84">
        <f t="shared" si="2"/>
        <v>339.11187384945902</v>
      </c>
      <c r="E9" s="40">
        <f t="shared" si="1"/>
        <v>2.5000000000000001E-2</v>
      </c>
      <c r="F9" s="35">
        <f t="shared" si="3"/>
        <v>347.58967069569547</v>
      </c>
      <c r="G9" s="41" t="s">
        <v>71</v>
      </c>
      <c r="H9" s="35">
        <f>F9</f>
        <v>347.58967069569547</v>
      </c>
      <c r="I9" s="19">
        <f t="shared" si="5"/>
        <v>347.58967069569547</v>
      </c>
    </row>
    <row r="10" spans="1:10">
      <c r="A10" t="s">
        <v>274</v>
      </c>
      <c r="B10" s="23">
        <v>180</v>
      </c>
      <c r="C10" s="7">
        <f t="shared" si="0"/>
        <v>4.6479200557750407E-3</v>
      </c>
      <c r="D10" s="84">
        <f t="shared" si="2"/>
        <v>9.1541897559841967</v>
      </c>
      <c r="E10" s="40">
        <f t="shared" si="1"/>
        <v>2.5000000000000001E-2</v>
      </c>
      <c r="F10" s="35">
        <f t="shared" si="3"/>
        <v>9.3830444998838001</v>
      </c>
      <c r="G10" s="41" t="s">
        <v>71</v>
      </c>
      <c r="H10" s="35">
        <f t="shared" si="4"/>
        <v>9.3830444998838001</v>
      </c>
      <c r="I10" s="19">
        <f t="shared" si="5"/>
        <v>9.3830444998838001</v>
      </c>
    </row>
    <row r="11" spans="1:10">
      <c r="A11" t="s">
        <v>275</v>
      </c>
      <c r="B11" s="23">
        <v>1923</v>
      </c>
      <c r="C11" s="7">
        <f t="shared" si="0"/>
        <v>4.9655279262530015E-2</v>
      </c>
      <c r="D11" s="84">
        <f t="shared" si="2"/>
        <v>97.79726055976451</v>
      </c>
      <c r="E11" s="40">
        <f t="shared" si="1"/>
        <v>2.5000000000000001E-2</v>
      </c>
      <c r="F11" s="35">
        <f t="shared" si="3"/>
        <v>100.24219207375862</v>
      </c>
      <c r="G11" s="41" t="s">
        <v>71</v>
      </c>
      <c r="H11" s="35">
        <f t="shared" si="4"/>
        <v>100.24219207375862</v>
      </c>
      <c r="I11" s="19">
        <f t="shared" si="5"/>
        <v>100.24219207375862</v>
      </c>
    </row>
    <row r="12" spans="1:10">
      <c r="A12" s="5" t="s">
        <v>276</v>
      </c>
      <c r="B12" s="33">
        <f>B5+B8+B9+B10+B11</f>
        <v>33127</v>
      </c>
      <c r="C12" s="48">
        <f t="shared" si="0"/>
        <v>0.85539804270922093</v>
      </c>
      <c r="D12" s="83">
        <f t="shared" si="2"/>
        <v>1684.7269113693806</v>
      </c>
      <c r="E12" s="49">
        <f t="shared" si="1"/>
        <v>2.5000000000000001E-2</v>
      </c>
      <c r="F12" s="50">
        <f>F5+F8+F9+F10+F11</f>
        <v>1726.8450841536151</v>
      </c>
      <c r="G12" s="51" t="s">
        <v>71</v>
      </c>
      <c r="H12" s="50">
        <f>H5+H8+H9+H10+H11</f>
        <v>1726.8450841536151</v>
      </c>
      <c r="I12" s="65">
        <f t="shared" si="5"/>
        <v>1726.8450841536151</v>
      </c>
    </row>
    <row r="13" spans="1:10">
      <c r="A13" t="s">
        <v>278</v>
      </c>
      <c r="B13" s="36">
        <v>1586</v>
      </c>
      <c r="C13" s="7">
        <f t="shared" si="0"/>
        <v>4.0953340046995634E-2</v>
      </c>
      <c r="D13" s="84">
        <f t="shared" si="2"/>
        <v>80.658583072171865</v>
      </c>
      <c r="E13" s="40">
        <f t="shared" si="1"/>
        <v>2.5000000000000001E-2</v>
      </c>
      <c r="F13" s="35">
        <f>D13*(1+E13)</f>
        <v>82.675047648976161</v>
      </c>
      <c r="G13" s="41" t="s">
        <v>71</v>
      </c>
      <c r="H13" s="35">
        <f t="shared" si="4"/>
        <v>82.675047648976161</v>
      </c>
      <c r="I13" s="19">
        <f t="shared" si="5"/>
        <v>82.675047648976161</v>
      </c>
    </row>
    <row r="14" spans="1:10">
      <c r="A14" t="s">
        <v>250</v>
      </c>
      <c r="B14" s="36">
        <v>300</v>
      </c>
      <c r="C14" s="7">
        <f t="shared" si="0"/>
        <v>7.7465334262917344E-3</v>
      </c>
      <c r="D14" s="84">
        <f t="shared" si="2"/>
        <v>15.25698292664033</v>
      </c>
      <c r="E14" s="40">
        <f t="shared" si="1"/>
        <v>2.5000000000000001E-2</v>
      </c>
      <c r="F14" s="35">
        <f>D14*(1+E14)</f>
        <v>15.638407499806336</v>
      </c>
      <c r="G14" s="41" t="s">
        <v>71</v>
      </c>
      <c r="H14" s="35">
        <f t="shared" si="4"/>
        <v>15.638407499806336</v>
      </c>
      <c r="I14" s="19">
        <f t="shared" si="5"/>
        <v>15.638407499806336</v>
      </c>
    </row>
    <row r="15" spans="1:10">
      <c r="A15" t="s">
        <v>415</v>
      </c>
      <c r="B15" s="36"/>
      <c r="C15" s="36"/>
      <c r="D15" s="84">
        <f t="shared" si="2"/>
        <v>0</v>
      </c>
      <c r="E15" s="53"/>
      <c r="F15" s="29"/>
      <c r="G15" s="53"/>
      <c r="H15" s="29"/>
      <c r="I15" s="36"/>
    </row>
    <row r="16" spans="1:10">
      <c r="A16" t="s">
        <v>386</v>
      </c>
      <c r="B16" s="36">
        <v>720</v>
      </c>
      <c r="C16" s="7">
        <f t="shared" si="0"/>
        <v>1.8591680223100163E-2</v>
      </c>
      <c r="D16" s="84">
        <f t="shared" si="2"/>
        <v>36.616759023936787</v>
      </c>
      <c r="E16" s="40">
        <f>inf</f>
        <v>2.5000000000000001E-2</v>
      </c>
      <c r="F16" s="35">
        <f>D16*(1+E16)</f>
        <v>37.5321779995352</v>
      </c>
      <c r="G16" s="118">
        <f>'Spur Line Assumptions'!H26</f>
        <v>26.484018264840184</v>
      </c>
      <c r="H16" s="35">
        <f>F16+G16</f>
        <v>64.016196264375381</v>
      </c>
      <c r="I16" s="19">
        <f t="shared" si="5"/>
        <v>64.016196264375381</v>
      </c>
    </row>
    <row r="17" spans="1:29">
      <c r="A17" t="s">
        <v>387</v>
      </c>
      <c r="B17" s="36">
        <v>125</v>
      </c>
      <c r="C17" s="7">
        <f t="shared" si="0"/>
        <v>3.2277222609548894E-3</v>
      </c>
      <c r="D17" s="84">
        <f t="shared" si="2"/>
        <v>6.3570762194334707</v>
      </c>
      <c r="E17" s="40">
        <f>inf</f>
        <v>2.5000000000000001E-2</v>
      </c>
      <c r="F17" s="35">
        <f>D17*(1+E17)</f>
        <v>6.5160031249193064</v>
      </c>
      <c r="G17" s="41" t="s">
        <v>71</v>
      </c>
      <c r="H17" s="35">
        <f>F17</f>
        <v>6.5160031249193064</v>
      </c>
      <c r="I17" s="19">
        <f t="shared" si="5"/>
        <v>6.5160031249193064</v>
      </c>
    </row>
    <row r="18" spans="1:29">
      <c r="A18" t="s">
        <v>388</v>
      </c>
      <c r="B18" s="36">
        <v>14705</v>
      </c>
      <c r="C18" s="7">
        <f t="shared" si="0"/>
        <v>0.37970924677873319</v>
      </c>
      <c r="D18" s="84">
        <f t="shared" si="2"/>
        <v>747.84644645415347</v>
      </c>
      <c r="E18" s="40">
        <f>inf</f>
        <v>2.5000000000000001E-2</v>
      </c>
      <c r="F18" s="35">
        <f>D18*(1+E18)</f>
        <v>766.54260761550722</v>
      </c>
      <c r="G18" s="41" t="s">
        <v>71</v>
      </c>
      <c r="H18" s="35">
        <f t="shared" si="4"/>
        <v>766.54260761550722</v>
      </c>
      <c r="I18" s="19">
        <f t="shared" si="5"/>
        <v>766.54260761550722</v>
      </c>
    </row>
    <row r="19" spans="1:29">
      <c r="A19" s="5" t="s">
        <v>389</v>
      </c>
      <c r="B19" s="33">
        <v>2869</v>
      </c>
      <c r="C19" s="48">
        <f t="shared" si="0"/>
        <v>7.4082681333436623E-2</v>
      </c>
      <c r="D19" s="83">
        <f>$D$20*C19</f>
        <v>145.90761338843703</v>
      </c>
      <c r="E19" s="49">
        <f>inf</f>
        <v>2.5000000000000001E-2</v>
      </c>
      <c r="F19" s="50">
        <f>D19*(1+E19)</f>
        <v>149.55530372314794</v>
      </c>
      <c r="G19" s="51" t="s">
        <v>71</v>
      </c>
      <c r="H19" s="50">
        <f t="shared" si="4"/>
        <v>149.55530372314794</v>
      </c>
      <c r="I19" s="65">
        <f t="shared" si="5"/>
        <v>149.55530372314794</v>
      </c>
    </row>
    <row r="20" spans="1:29">
      <c r="A20" s="5" t="s">
        <v>220</v>
      </c>
      <c r="B20" s="33">
        <f>B12+B13+B14+B16+B19+B17</f>
        <v>38727</v>
      </c>
      <c r="C20" s="48">
        <f>B20/$B$20</f>
        <v>1</v>
      </c>
      <c r="D20" s="114">
        <f>B26</f>
        <v>1969.5239260000001</v>
      </c>
      <c r="E20" s="49">
        <f>inf</f>
        <v>2.5000000000000001E-2</v>
      </c>
      <c r="F20" s="50">
        <f>F12+F13+F14+F16+F19+F17</f>
        <v>2018.7620241500001</v>
      </c>
      <c r="G20" s="51" t="s">
        <v>71</v>
      </c>
      <c r="H20" s="50">
        <f>H12+H13+H14+H16+H19+H17</f>
        <v>2045.2460424148403</v>
      </c>
      <c r="I20" s="65">
        <f>H20</f>
        <v>2045.2460424148403</v>
      </c>
    </row>
    <row r="22" spans="1:29" ht="14.45" customHeight="1">
      <c r="A22" s="227" t="s">
        <v>221</v>
      </c>
      <c r="B22" s="22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row>
    <row r="23" spans="1:29" ht="14.45" customHeight="1">
      <c r="A23" s="227"/>
      <c r="B23" s="22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row>
    <row r="25" spans="1:29">
      <c r="A25" t="s">
        <v>95</v>
      </c>
      <c r="B25">
        <v>2023</v>
      </c>
      <c r="C25">
        <v>2024</v>
      </c>
      <c r="D25">
        <v>2025</v>
      </c>
      <c r="E25">
        <v>2026</v>
      </c>
      <c r="F25">
        <v>2027</v>
      </c>
      <c r="G25">
        <v>2028</v>
      </c>
      <c r="H25">
        <v>2029</v>
      </c>
      <c r="I25">
        <v>2030</v>
      </c>
      <c r="J25">
        <v>2031</v>
      </c>
      <c r="K25">
        <v>2032</v>
      </c>
      <c r="L25">
        <v>2033</v>
      </c>
      <c r="M25">
        <v>2034</v>
      </c>
      <c r="N25">
        <v>2035</v>
      </c>
      <c r="O25">
        <v>2036</v>
      </c>
      <c r="P25">
        <v>2037</v>
      </c>
      <c r="Q25">
        <v>2038</v>
      </c>
      <c r="R25">
        <v>2039</v>
      </c>
      <c r="S25">
        <v>2040</v>
      </c>
      <c r="T25">
        <v>2041</v>
      </c>
      <c r="U25">
        <v>2042</v>
      </c>
      <c r="V25">
        <v>2043</v>
      </c>
      <c r="W25">
        <v>2044</v>
      </c>
      <c r="X25">
        <v>2045</v>
      </c>
      <c r="Y25">
        <v>2046</v>
      </c>
      <c r="Z25">
        <v>2047</v>
      </c>
      <c r="AA25">
        <v>2048</v>
      </c>
      <c r="AB25">
        <v>2049</v>
      </c>
      <c r="AC25">
        <v>2050</v>
      </c>
    </row>
    <row r="26" spans="1:29">
      <c r="A26" t="s">
        <v>416</v>
      </c>
      <c r="B26" s="15">
        <v>1969.5239260000001</v>
      </c>
      <c r="C26" s="15">
        <v>1942.9808350000001</v>
      </c>
      <c r="D26">
        <v>1927.2650149999999</v>
      </c>
      <c r="E26">
        <v>1909.456177</v>
      </c>
      <c r="F26">
        <v>1885.9259030000001</v>
      </c>
      <c r="G26">
        <v>1861.1741939999999</v>
      </c>
      <c r="H26">
        <v>1837.3740230000001</v>
      </c>
      <c r="I26">
        <v>1819.2113039999999</v>
      </c>
      <c r="J26">
        <v>1803.0771480000001</v>
      </c>
      <c r="K26">
        <v>1787.01001</v>
      </c>
      <c r="L26">
        <v>1771.6263429999999</v>
      </c>
      <c r="M26">
        <v>1758.69812</v>
      </c>
      <c r="N26">
        <v>1744.740112</v>
      </c>
      <c r="O26">
        <v>1733.0711670000001</v>
      </c>
      <c r="P26">
        <v>1725.535889</v>
      </c>
      <c r="Q26">
        <v>1718.401611</v>
      </c>
      <c r="R26">
        <v>1711.2769780000001</v>
      </c>
      <c r="S26">
        <v>1703.7022710000001</v>
      </c>
      <c r="T26">
        <v>1694.87085</v>
      </c>
      <c r="U26">
        <v>1685.7460940000001</v>
      </c>
      <c r="V26">
        <v>1676.181885</v>
      </c>
      <c r="W26">
        <v>1665.9257809999999</v>
      </c>
      <c r="X26">
        <v>1655.6898189999999</v>
      </c>
      <c r="Y26">
        <v>1646.3782960000001</v>
      </c>
      <c r="Z26">
        <v>1636.6669919999999</v>
      </c>
      <c r="AA26">
        <v>1627.838745</v>
      </c>
      <c r="AB26">
        <v>1620.196533</v>
      </c>
      <c r="AC26">
        <v>1611.729004</v>
      </c>
    </row>
    <row r="27" spans="1:29">
      <c r="A27" t="s">
        <v>223</v>
      </c>
      <c r="B27" s="15" t="s">
        <v>71</v>
      </c>
      <c r="C27" s="14">
        <f>1-(C26/B26)</f>
        <v>1.3476907109175151E-2</v>
      </c>
      <c r="D27" s="14">
        <f t="shared" ref="D27" si="6">1-(D26/C26)</f>
        <v>8.0885100444133551E-3</v>
      </c>
      <c r="E27" s="14">
        <f t="shared" ref="E27:AC27" si="7">1-(E26/D26)</f>
        <v>9.2404717884633225E-3</v>
      </c>
      <c r="F27" s="14">
        <f t="shared" si="7"/>
        <v>1.2323023844919567E-2</v>
      </c>
      <c r="G27" s="14">
        <f t="shared" si="7"/>
        <v>1.3124433447054717E-2</v>
      </c>
      <c r="H27" s="14">
        <f t="shared" si="7"/>
        <v>1.2787718138756787E-2</v>
      </c>
      <c r="I27" s="14">
        <f t="shared" si="7"/>
        <v>9.8851506403386802E-3</v>
      </c>
      <c r="J27" s="14">
        <f t="shared" si="7"/>
        <v>8.8687641531935979E-3</v>
      </c>
      <c r="K27" s="14">
        <f t="shared" si="7"/>
        <v>8.9109542638383665E-3</v>
      </c>
      <c r="L27" s="14">
        <f t="shared" si="7"/>
        <v>8.6086070665043479E-3</v>
      </c>
      <c r="M27" s="14">
        <f t="shared" si="7"/>
        <v>7.2973756859517902E-3</v>
      </c>
      <c r="N27" s="14">
        <f t="shared" si="7"/>
        <v>7.9365570709770683E-3</v>
      </c>
      <c r="O27" s="14">
        <f t="shared" si="7"/>
        <v>6.6880705726560796E-3</v>
      </c>
      <c r="P27" s="14">
        <f t="shared" si="7"/>
        <v>4.3479333933204023E-3</v>
      </c>
      <c r="Q27" s="14">
        <f t="shared" si="7"/>
        <v>4.1345288993870355E-3</v>
      </c>
      <c r="R27" s="14">
        <f t="shared" si="7"/>
        <v>4.1460814249666411E-3</v>
      </c>
      <c r="S27" s="14">
        <f t="shared" si="7"/>
        <v>4.4263477493005077E-3</v>
      </c>
      <c r="T27" s="14">
        <f t="shared" si="7"/>
        <v>5.1836645112977031E-3</v>
      </c>
      <c r="U27" s="14">
        <f t="shared" si="7"/>
        <v>5.3837470860980119E-3</v>
      </c>
      <c r="V27" s="14">
        <f t="shared" si="7"/>
        <v>5.6735762485474739E-3</v>
      </c>
      <c r="W27" s="14">
        <f t="shared" si="7"/>
        <v>6.118729770188458E-3</v>
      </c>
      <c r="X27" s="14">
        <f t="shared" si="7"/>
        <v>6.1443085380764595E-3</v>
      </c>
      <c r="Y27" s="14">
        <f t="shared" si="7"/>
        <v>5.6239537702924558E-3</v>
      </c>
      <c r="Z27" s="14">
        <f t="shared" si="7"/>
        <v>5.8985860197467987E-3</v>
      </c>
      <c r="AA27" s="14">
        <f t="shared" si="7"/>
        <v>5.3940398646470378E-3</v>
      </c>
      <c r="AB27" s="14">
        <f t="shared" si="7"/>
        <v>4.6946984297268068E-3</v>
      </c>
      <c r="AC27" s="14">
        <f t="shared" si="7"/>
        <v>5.2262357235892676E-3</v>
      </c>
    </row>
    <row r="28" spans="1:29">
      <c r="A28" t="s">
        <v>224</v>
      </c>
      <c r="B28" s="8">
        <f>I20</f>
        <v>2045.2460424148403</v>
      </c>
      <c r="C28" s="8">
        <f>B28-B28*C27</f>
        <v>2017.6824514858074</v>
      </c>
      <c r="D28" s="8">
        <f>C28-C28*D27</f>
        <v>2001.3624067105279</v>
      </c>
      <c r="E28" s="8">
        <f>D28-D28*E27</f>
        <v>1982.8688738528283</v>
      </c>
      <c r="F28" s="8">
        <f t="shared" ref="F28:AC28" si="8">E28-E28*F27</f>
        <v>1958.4339334389911</v>
      </c>
      <c r="G28" s="8">
        <f t="shared" si="8"/>
        <v>1932.7305976191174</v>
      </c>
      <c r="H28" s="8">
        <f t="shared" si="8"/>
        <v>1908.0153834986131</v>
      </c>
      <c r="I28" s="8">
        <f t="shared" si="8"/>
        <v>1889.1543640086456</v>
      </c>
      <c r="J28" s="8">
        <f t="shared" si="8"/>
        <v>1872.3998995052766</v>
      </c>
      <c r="K28" s="8">
        <f t="shared" si="8"/>
        <v>1855.7150296371694</v>
      </c>
      <c r="L28" s="8">
        <f t="shared" si="8"/>
        <v>1839.7399081196165</v>
      </c>
      <c r="M28" s="8">
        <f t="shared" si="8"/>
        <v>1826.3146348456294</v>
      </c>
      <c r="N28" s="8">
        <f t="shared" si="8"/>
        <v>1811.8199845166164</v>
      </c>
      <c r="O28" s="8">
        <f t="shared" si="8"/>
        <v>1799.7024045952205</v>
      </c>
      <c r="P28" s="8">
        <f t="shared" si="8"/>
        <v>1791.8774184122419</v>
      </c>
      <c r="Q28" s="8">
        <f t="shared" si="8"/>
        <v>1784.4688494416575</v>
      </c>
      <c r="R28" s="8">
        <f t="shared" si="8"/>
        <v>1777.0702962915559</v>
      </c>
      <c r="S28" s="8">
        <f t="shared" si="8"/>
        <v>1769.2043651852171</v>
      </c>
      <c r="T28" s="8">
        <f t="shared" si="8"/>
        <v>1760.0334033041734</v>
      </c>
      <c r="U28" s="8">
        <f t="shared" si="8"/>
        <v>1750.5578285976994</v>
      </c>
      <c r="V28" s="8">
        <f t="shared" si="8"/>
        <v>1740.6259052796586</v>
      </c>
      <c r="W28" s="8">
        <f t="shared" si="8"/>
        <v>1729.9754857342627</v>
      </c>
      <c r="X28" s="8">
        <f t="shared" si="8"/>
        <v>1719.3459825866028</v>
      </c>
      <c r="Y28" s="8">
        <f t="shared" si="8"/>
        <v>1709.6764602653977</v>
      </c>
      <c r="Z28" s="8">
        <f t="shared" si="8"/>
        <v>1699.5917865985862</v>
      </c>
      <c r="AA28" s="8">
        <f t="shared" si="8"/>
        <v>1690.4241207480468</v>
      </c>
      <c r="AB28" s="8">
        <f t="shared" si="8"/>
        <v>1682.4880892827987</v>
      </c>
      <c r="AC28" s="8">
        <f t="shared" si="8"/>
        <v>1673.6950099260755</v>
      </c>
    </row>
  </sheetData>
  <mergeCells count="3">
    <mergeCell ref="A22:B23"/>
    <mergeCell ref="A1:C1"/>
    <mergeCell ref="E1:H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28"/>
  <sheetViews>
    <sheetView workbookViewId="0">
      <selection sqref="A1:C1"/>
    </sheetView>
  </sheetViews>
  <sheetFormatPr defaultRowHeight="15"/>
  <cols>
    <col min="1" max="1" width="31.7109375" bestFit="1" customWidth="1"/>
    <col min="2" max="2" width="11.7109375" bestFit="1" customWidth="1"/>
    <col min="3" max="3" width="11.140625" customWidth="1"/>
    <col min="4" max="4" width="11.28515625" customWidth="1"/>
    <col min="5" max="5" width="10.85546875" customWidth="1"/>
    <col min="6" max="6" width="11" customWidth="1"/>
    <col min="7" max="7" width="10.42578125" customWidth="1"/>
    <col min="8" max="9" width="10.7109375" customWidth="1"/>
    <col min="10" max="10" width="10" customWidth="1"/>
    <col min="11" max="14" width="12.140625" bestFit="1" customWidth="1"/>
    <col min="15" max="15" width="10.85546875" customWidth="1"/>
    <col min="16" max="21" width="10.5703125" bestFit="1" customWidth="1"/>
    <col min="22" max="32" width="9.5703125" bestFit="1" customWidth="1"/>
  </cols>
  <sheetData>
    <row r="1" spans="1:7">
      <c r="A1" s="228" t="s">
        <v>192</v>
      </c>
      <c r="B1" s="229"/>
      <c r="C1" s="229"/>
      <c r="D1" t="s">
        <v>193</v>
      </c>
    </row>
    <row r="2" spans="1:7" ht="75">
      <c r="A2" s="1"/>
      <c r="B2" s="4" t="s">
        <v>194</v>
      </c>
      <c r="C2" s="6" t="s">
        <v>195</v>
      </c>
      <c r="D2" s="44" t="s">
        <v>196</v>
      </c>
      <c r="E2" s="46" t="s">
        <v>268</v>
      </c>
      <c r="F2" s="44" t="s">
        <v>198</v>
      </c>
      <c r="G2" s="17" t="s">
        <v>199</v>
      </c>
    </row>
    <row r="3" spans="1:7">
      <c r="A3" s="5" t="s">
        <v>200</v>
      </c>
      <c r="B3" s="5">
        <v>600</v>
      </c>
      <c r="C3" s="5"/>
      <c r="D3" s="74" t="s">
        <v>124</v>
      </c>
      <c r="E3" s="61" t="s">
        <v>203</v>
      </c>
      <c r="F3" s="74" t="s">
        <v>124</v>
      </c>
      <c r="G3" s="27" t="s">
        <v>124</v>
      </c>
    </row>
    <row r="4" spans="1:7">
      <c r="A4" s="1" t="s">
        <v>380</v>
      </c>
      <c r="B4" s="20">
        <v>583524</v>
      </c>
      <c r="C4" s="7">
        <f t="shared" ref="C4:C18" si="0">B4/B$18</f>
        <v>0.15709153076452537</v>
      </c>
      <c r="D4" s="56">
        <f t="shared" ref="D4:D9" si="1">$B$26*C4</f>
        <v>1231.466910543875</v>
      </c>
      <c r="E4" s="47" t="s">
        <v>71</v>
      </c>
      <c r="F4" s="35">
        <f>D4</f>
        <v>1231.466910543875</v>
      </c>
      <c r="G4" s="19">
        <f>F4</f>
        <v>1231.466910543875</v>
      </c>
    </row>
    <row r="5" spans="1:7">
      <c r="A5" s="1" t="s">
        <v>417</v>
      </c>
      <c r="B5" s="20">
        <v>648360</v>
      </c>
      <c r="C5" s="7">
        <f t="shared" si="0"/>
        <v>0.17454614529391707</v>
      </c>
      <c r="D5" s="56">
        <f t="shared" si="1"/>
        <v>1368.2965672709722</v>
      </c>
      <c r="E5" s="47" t="s">
        <v>71</v>
      </c>
      <c r="F5" s="35">
        <f t="shared" ref="F5:F11" si="2">D5</f>
        <v>1368.2965672709722</v>
      </c>
      <c r="G5" s="19">
        <f t="shared" ref="G5:G17" si="3">F5</f>
        <v>1368.2965672709722</v>
      </c>
    </row>
    <row r="6" spans="1:7">
      <c r="A6" s="1" t="s">
        <v>418</v>
      </c>
      <c r="B6" s="20">
        <v>421434</v>
      </c>
      <c r="C6" s="7">
        <f t="shared" si="0"/>
        <v>0.11345499444104611</v>
      </c>
      <c r="D6" s="56">
        <f t="shared" si="1"/>
        <v>889.39276872613209</v>
      </c>
      <c r="E6" s="47" t="s">
        <v>71</v>
      </c>
      <c r="F6" s="35">
        <f t="shared" si="2"/>
        <v>889.39276872613209</v>
      </c>
      <c r="G6" s="19">
        <f t="shared" si="3"/>
        <v>889.39276872613209</v>
      </c>
    </row>
    <row r="7" spans="1:7">
      <c r="A7" s="1" t="s">
        <v>419</v>
      </c>
      <c r="B7" s="20">
        <v>389016</v>
      </c>
      <c r="C7" s="7">
        <f t="shared" si="0"/>
        <v>0.10472768717635024</v>
      </c>
      <c r="D7" s="56">
        <f t="shared" si="1"/>
        <v>820.97794036258335</v>
      </c>
      <c r="E7" s="47" t="s">
        <v>71</v>
      </c>
      <c r="F7" s="35">
        <f t="shared" si="2"/>
        <v>820.97794036258335</v>
      </c>
      <c r="G7" s="19">
        <f t="shared" si="3"/>
        <v>820.97794036258335</v>
      </c>
    </row>
    <row r="8" spans="1:7">
      <c r="A8" s="1" t="s">
        <v>384</v>
      </c>
      <c r="B8" s="20">
        <v>1458810</v>
      </c>
      <c r="C8" s="7">
        <f t="shared" si="0"/>
        <v>0.39272882691131344</v>
      </c>
      <c r="D8" s="56">
        <f t="shared" si="1"/>
        <v>3078.667276359688</v>
      </c>
      <c r="E8" s="47" t="s">
        <v>71</v>
      </c>
      <c r="F8" s="35">
        <f t="shared" si="2"/>
        <v>3078.667276359688</v>
      </c>
      <c r="G8" s="19">
        <f t="shared" si="3"/>
        <v>3078.667276359688</v>
      </c>
    </row>
    <row r="9" spans="1:7">
      <c r="A9" s="1" t="s">
        <v>385</v>
      </c>
      <c r="B9" s="20">
        <v>259344</v>
      </c>
      <c r="C9" s="7">
        <f t="shared" si="0"/>
        <v>6.9818458117566831E-2</v>
      </c>
      <c r="D9" s="56">
        <f t="shared" si="1"/>
        <v>547.31862690838898</v>
      </c>
      <c r="E9" s="47" t="s">
        <v>71</v>
      </c>
      <c r="F9" s="35">
        <f t="shared" si="2"/>
        <v>547.31862690838898</v>
      </c>
      <c r="G9" s="19">
        <f t="shared" si="3"/>
        <v>547.31862690838898</v>
      </c>
    </row>
    <row r="10" spans="1:7">
      <c r="A10" s="1" t="s">
        <v>274</v>
      </c>
      <c r="B10" s="20">
        <v>551000</v>
      </c>
      <c r="C10" s="7">
        <f t="shared" si="0"/>
        <v>0.14833568705186673</v>
      </c>
      <c r="D10" s="56">
        <f>$B$26*C10</f>
        <v>1162.8283801688965</v>
      </c>
      <c r="E10" s="47"/>
      <c r="F10" s="35">
        <f t="shared" si="2"/>
        <v>1162.8283801688965</v>
      </c>
      <c r="G10" s="19">
        <f t="shared" si="3"/>
        <v>1162.8283801688965</v>
      </c>
    </row>
    <row r="11" spans="1:7">
      <c r="A11" s="3" t="s">
        <v>275</v>
      </c>
      <c r="B11" s="77">
        <v>285267.8</v>
      </c>
      <c r="C11" s="48">
        <f t="shared" si="0"/>
        <v>7.6797450284527238E-2</v>
      </c>
      <c r="D11" s="72">
        <f>$B$26*C11</f>
        <v>602.02811939808487</v>
      </c>
      <c r="E11" s="61" t="s">
        <v>71</v>
      </c>
      <c r="F11" s="50">
        <f t="shared" si="2"/>
        <v>602.02811939808487</v>
      </c>
      <c r="G11" s="65">
        <f t="shared" si="3"/>
        <v>602.02811939808487</v>
      </c>
    </row>
    <row r="12" spans="1:7">
      <c r="A12" s="1" t="s">
        <v>276</v>
      </c>
      <c r="B12" s="78">
        <f>B4+B8+B9+B10+B11</f>
        <v>3137945.8</v>
      </c>
      <c r="C12" s="7">
        <f t="shared" si="0"/>
        <v>0.84477195312979958</v>
      </c>
      <c r="D12" s="56">
        <f>D4+D8+D9+D10+D11</f>
        <v>6622.3093133789334</v>
      </c>
      <c r="E12" s="47" t="s">
        <v>71</v>
      </c>
      <c r="F12" s="35">
        <f>F4+F8+F9+F10+F11</f>
        <v>6622.3093133789334</v>
      </c>
      <c r="G12" s="19">
        <f t="shared" si="3"/>
        <v>6622.3093133789334</v>
      </c>
    </row>
    <row r="13" spans="1:7">
      <c r="A13" s="1" t="s">
        <v>278</v>
      </c>
      <c r="B13" s="38">
        <v>235346</v>
      </c>
      <c r="C13" s="7">
        <f t="shared" si="0"/>
        <v>6.3357913983500228E-2</v>
      </c>
      <c r="D13" s="56">
        <f>$B$26*C13</f>
        <v>496.67333567918172</v>
      </c>
      <c r="E13" s="47"/>
      <c r="F13" s="35">
        <f>D13</f>
        <v>496.67333567918172</v>
      </c>
      <c r="G13" s="19">
        <f t="shared" si="3"/>
        <v>496.67333567918172</v>
      </c>
    </row>
    <row r="14" spans="1:7">
      <c r="A14" s="1" t="s">
        <v>250</v>
      </c>
      <c r="B14" s="38">
        <v>1050</v>
      </c>
      <c r="C14" s="7">
        <f t="shared" si="0"/>
        <v>2.8267236189557181E-4</v>
      </c>
      <c r="D14" s="56">
        <f>$B$26*C14</f>
        <v>2.2159161509570624</v>
      </c>
      <c r="E14" s="47" t="s">
        <v>71</v>
      </c>
      <c r="F14" s="35">
        <f>D14</f>
        <v>2.2159161509570624</v>
      </c>
      <c r="G14" s="19">
        <f t="shared" si="3"/>
        <v>2.2159161509570624</v>
      </c>
    </row>
    <row r="15" spans="1:7">
      <c r="A15" s="3" t="s">
        <v>386</v>
      </c>
      <c r="B15" s="39">
        <v>2520</v>
      </c>
      <c r="C15" s="48">
        <f t="shared" si="0"/>
        <v>6.7841366854937233E-4</v>
      </c>
      <c r="D15" s="72">
        <f>$B$26*C15</f>
        <v>5.3181987622969498</v>
      </c>
      <c r="E15" s="70">
        <f>'Spur Line Assumptions'!H27</f>
        <v>12.5</v>
      </c>
      <c r="F15" s="50">
        <f>D15+E15</f>
        <v>17.818198762296952</v>
      </c>
      <c r="G15" s="65">
        <f t="shared" si="3"/>
        <v>17.818198762296952</v>
      </c>
    </row>
    <row r="16" spans="1:7">
      <c r="A16" s="1" t="s">
        <v>388</v>
      </c>
      <c r="B16" s="38">
        <f>SUM(B13:B15)</f>
        <v>238916</v>
      </c>
      <c r="C16" s="7">
        <f t="shared" si="0"/>
        <v>6.431900001394518E-2</v>
      </c>
      <c r="D16" s="56">
        <f>SUM(D13:D15)</f>
        <v>504.20745059243575</v>
      </c>
      <c r="E16" s="47" t="s">
        <v>71</v>
      </c>
      <c r="F16" s="35">
        <f>SUM(F13:F15)</f>
        <v>516.70745059243575</v>
      </c>
      <c r="G16" s="19">
        <f t="shared" si="3"/>
        <v>516.70745059243575</v>
      </c>
    </row>
    <row r="17" spans="1:29">
      <c r="A17" s="1" t="s">
        <v>389</v>
      </c>
      <c r="B17" s="38">
        <v>337686</v>
      </c>
      <c r="C17" s="7">
        <f t="shared" si="0"/>
        <v>9.0909046856255296E-2</v>
      </c>
      <c r="D17" s="56">
        <f>$B$26*C17</f>
        <v>712.65129652579674</v>
      </c>
      <c r="E17" s="47"/>
      <c r="F17" s="35">
        <f>D17</f>
        <v>712.65129652579674</v>
      </c>
      <c r="G17" s="19">
        <f t="shared" si="3"/>
        <v>712.65129652579674</v>
      </c>
    </row>
    <row r="18" spans="1:29">
      <c r="A18" s="3" t="s">
        <v>220</v>
      </c>
      <c r="B18" s="79">
        <f>B12+B16+B17</f>
        <v>3714547.8</v>
      </c>
      <c r="C18" s="48">
        <f t="shared" si="0"/>
        <v>1</v>
      </c>
      <c r="D18" s="72">
        <f>D12+D16+D17+D5+D6+D7</f>
        <v>10917.835336856853</v>
      </c>
      <c r="E18" s="61"/>
      <c r="F18" s="50">
        <f>F12+F16+F17+F5+F6+F7</f>
        <v>10930.335336856853</v>
      </c>
      <c r="G18" s="65">
        <f>F18</f>
        <v>10930.335336856853</v>
      </c>
    </row>
    <row r="22" spans="1:29" ht="14.45" customHeight="1">
      <c r="A22" s="234" t="s">
        <v>420</v>
      </c>
      <c r="B22" s="234"/>
      <c r="C22" s="234"/>
      <c r="D22" s="234"/>
      <c r="E22" s="234"/>
      <c r="F22" s="234"/>
      <c r="G22" s="234"/>
      <c r="H22" s="234"/>
      <c r="I22" s="234"/>
      <c r="J22" s="234"/>
      <c r="K22" s="37"/>
      <c r="L22" s="37"/>
      <c r="M22" s="37"/>
      <c r="N22" s="37"/>
      <c r="O22" s="37"/>
      <c r="P22" s="37"/>
      <c r="Q22" s="37"/>
      <c r="R22" s="37"/>
      <c r="S22" s="37"/>
      <c r="T22" s="37"/>
      <c r="U22" s="37"/>
      <c r="V22" s="37"/>
      <c r="W22" s="37"/>
      <c r="X22" s="37"/>
      <c r="Y22" s="37"/>
      <c r="Z22" s="37"/>
      <c r="AA22" s="37"/>
      <c r="AB22" s="37"/>
      <c r="AC22" s="37"/>
    </row>
    <row r="23" spans="1:29" ht="14.45" customHeight="1">
      <c r="A23" s="234"/>
      <c r="B23" s="234"/>
      <c r="C23" s="234"/>
      <c r="D23" s="234"/>
      <c r="E23" s="234"/>
      <c r="F23" s="234"/>
      <c r="G23" s="234"/>
      <c r="H23" s="234"/>
      <c r="I23" s="234"/>
      <c r="J23" s="234"/>
      <c r="K23" s="37"/>
      <c r="L23" s="37"/>
      <c r="M23" s="37"/>
      <c r="N23" s="37"/>
      <c r="O23" s="37"/>
      <c r="P23" s="37"/>
      <c r="Q23" s="37"/>
      <c r="R23" s="37"/>
      <c r="S23" s="37"/>
      <c r="T23" s="37"/>
      <c r="U23" s="37"/>
      <c r="V23" s="37"/>
      <c r="W23" s="37"/>
      <c r="X23" s="37"/>
      <c r="Y23" s="37"/>
      <c r="Z23" s="37"/>
      <c r="AA23" s="37"/>
      <c r="AB23" s="37"/>
      <c r="AC23" s="37"/>
    </row>
    <row r="25" spans="1:29">
      <c r="A25" t="s">
        <v>95</v>
      </c>
      <c r="B25">
        <v>2023</v>
      </c>
      <c r="C25">
        <v>2024</v>
      </c>
      <c r="D25">
        <v>2025</v>
      </c>
      <c r="E25">
        <v>2026</v>
      </c>
      <c r="F25">
        <v>2027</v>
      </c>
      <c r="G25">
        <v>2028</v>
      </c>
      <c r="H25">
        <v>2029</v>
      </c>
      <c r="I25">
        <v>2030</v>
      </c>
      <c r="J25">
        <v>2031</v>
      </c>
      <c r="K25">
        <v>2032</v>
      </c>
      <c r="L25">
        <v>2033</v>
      </c>
      <c r="M25">
        <v>2034</v>
      </c>
      <c r="N25">
        <v>2035</v>
      </c>
      <c r="O25">
        <v>2036</v>
      </c>
      <c r="P25">
        <v>2037</v>
      </c>
      <c r="Q25">
        <v>2038</v>
      </c>
      <c r="R25">
        <v>2039</v>
      </c>
      <c r="S25">
        <v>2040</v>
      </c>
      <c r="T25">
        <v>2041</v>
      </c>
      <c r="U25">
        <v>2042</v>
      </c>
      <c r="V25">
        <v>2043</v>
      </c>
      <c r="W25">
        <v>2044</v>
      </c>
      <c r="X25">
        <v>2045</v>
      </c>
      <c r="Y25">
        <v>2046</v>
      </c>
      <c r="Z25">
        <v>2047</v>
      </c>
      <c r="AA25">
        <v>2048</v>
      </c>
      <c r="AB25">
        <v>2049</v>
      </c>
      <c r="AC25">
        <v>2050</v>
      </c>
    </row>
    <row r="26" spans="1:29">
      <c r="A26" t="s">
        <v>421</v>
      </c>
      <c r="B26" s="8">
        <v>7839.1680604971652</v>
      </c>
      <c r="C26" s="8">
        <v>7789.2324923502265</v>
      </c>
      <c r="D26" s="8">
        <v>7739.3025975512483</v>
      </c>
      <c r="E26" s="8">
        <v>7724.0842130815508</v>
      </c>
      <c r="F26" s="8">
        <v>7708.5984824314719</v>
      </c>
      <c r="G26" s="8">
        <v>7692.8495426663421</v>
      </c>
      <c r="H26" s="8">
        <v>7676.8289933446431</v>
      </c>
      <c r="I26" s="8">
        <v>7660.5361491786507</v>
      </c>
      <c r="J26" s="8">
        <v>7609.4629521052402</v>
      </c>
      <c r="K26" s="8">
        <v>7558.3919557530708</v>
      </c>
      <c r="L26" s="8">
        <v>7507.325135956231</v>
      </c>
      <c r="M26" s="8">
        <v>7456.2485736103245</v>
      </c>
      <c r="N26" s="8">
        <v>7405.1793363620463</v>
      </c>
      <c r="O26" s="8">
        <v>7354.1083310664981</v>
      </c>
      <c r="P26" s="8">
        <v>7303.0415124195333</v>
      </c>
      <c r="Q26" s="8">
        <v>7251.9702351851201</v>
      </c>
      <c r="R26" s="8">
        <v>7200.9001660877157</v>
      </c>
      <c r="S26" s="8">
        <v>7149.8318829938098</v>
      </c>
      <c r="T26" s="8">
        <v>7098.7560590380435</v>
      </c>
      <c r="U26" s="8">
        <v>7047.6856944881383</v>
      </c>
      <c r="V26" s="8">
        <v>6996.6150599384355</v>
      </c>
      <c r="W26" s="8">
        <v>6945.5443933760362</v>
      </c>
      <c r="X26" s="8">
        <v>6894.4801368007447</v>
      </c>
      <c r="Y26" s="8">
        <v>6843.4087575836147</v>
      </c>
      <c r="Z26" s="8">
        <v>6792.3384239789684</v>
      </c>
      <c r="AA26" s="8">
        <v>6741.2643443388561</v>
      </c>
      <c r="AB26" s="8">
        <v>6690.19404373629</v>
      </c>
      <c r="AC26" s="8">
        <v>6639.1238615247603</v>
      </c>
    </row>
    <row r="27" spans="1:29">
      <c r="A27" t="s">
        <v>223</v>
      </c>
      <c r="B27" s="8" t="s">
        <v>71</v>
      </c>
      <c r="C27" s="8">
        <f>1-(C26/B26)</f>
        <v>6.3700086235645159E-3</v>
      </c>
      <c r="D27" s="8">
        <f t="shared" ref="D27:AC27" si="4">1-(D26/C26)</f>
        <v>6.4101174086168555E-3</v>
      </c>
      <c r="E27" s="8">
        <f t="shared" si="4"/>
        <v>1.9663767216586692E-3</v>
      </c>
      <c r="F27" s="8">
        <f t="shared" si="4"/>
        <v>2.0048630003091095E-3</v>
      </c>
      <c r="G27" s="8">
        <f t="shared" si="4"/>
        <v>2.0430354234979298E-3</v>
      </c>
      <c r="H27" s="8">
        <f t="shared" si="4"/>
        <v>2.0825247176413653E-3</v>
      </c>
      <c r="I27" s="8">
        <f t="shared" si="4"/>
        <v>2.1223403803989349E-3</v>
      </c>
      <c r="J27" s="8">
        <f t="shared" si="4"/>
        <v>6.6670525507390721E-3</v>
      </c>
      <c r="K27" s="8">
        <f t="shared" si="4"/>
        <v>6.711511268747361E-3</v>
      </c>
      <c r="L27" s="8">
        <f t="shared" si="4"/>
        <v>6.7563074389084266E-3</v>
      </c>
      <c r="M27" s="8">
        <f t="shared" si="4"/>
        <v>6.8035633758921632E-3</v>
      </c>
      <c r="N27" s="8">
        <f t="shared" si="4"/>
        <v>6.8491865237736427E-3</v>
      </c>
      <c r="O27" s="8">
        <f t="shared" si="4"/>
        <v>6.8966601584882214E-3</v>
      </c>
      <c r="P27" s="8">
        <f t="shared" si="4"/>
        <v>6.9439850962270677E-3</v>
      </c>
      <c r="Q27" s="8">
        <f t="shared" si="4"/>
        <v>6.9931517091285089E-3</v>
      </c>
      <c r="R27" s="8">
        <f t="shared" si="4"/>
        <v>7.0422336883875225E-3</v>
      </c>
      <c r="S27" s="8">
        <f t="shared" si="4"/>
        <v>7.0919304414758244E-3</v>
      </c>
      <c r="T27" s="8">
        <f t="shared" si="4"/>
        <v>7.1436398493861519E-3</v>
      </c>
      <c r="U27" s="8">
        <f t="shared" si="4"/>
        <v>7.1942695488012021E-3</v>
      </c>
      <c r="V27" s="8">
        <f t="shared" si="4"/>
        <v>7.2464404293234308E-3</v>
      </c>
      <c r="W27" s="8">
        <f t="shared" si="4"/>
        <v>7.2993391982963951E-3</v>
      </c>
      <c r="X27" s="8">
        <f t="shared" si="4"/>
        <v>7.3520884301008227E-3</v>
      </c>
      <c r="Y27" s="8">
        <f t="shared" si="4"/>
        <v>7.4075750750989267E-3</v>
      </c>
      <c r="Z27" s="8">
        <f t="shared" si="4"/>
        <v>7.4627039555472674E-3</v>
      </c>
      <c r="AA27" s="8">
        <f t="shared" si="4"/>
        <v>7.5193661522821031E-3</v>
      </c>
      <c r="AB27" s="8">
        <f t="shared" si="4"/>
        <v>7.5757748092838417E-3</v>
      </c>
      <c r="AC27" s="8">
        <f t="shared" si="4"/>
        <v>7.6335875876940573E-3</v>
      </c>
    </row>
    <row r="28" spans="1:29">
      <c r="A28" t="s">
        <v>282</v>
      </c>
      <c r="B28" s="8">
        <f>G18</f>
        <v>10930.335336856853</v>
      </c>
      <c r="C28" s="8">
        <f t="shared" ref="C28:AC28" si="5">B28*(1-C27)</f>
        <v>10860.709006502622</v>
      </c>
      <c r="D28" s="8">
        <f t="shared" si="5"/>
        <v>10791.090586630118</v>
      </c>
      <c r="E28" s="8">
        <f t="shared" si="5"/>
        <v>10769.87123729926</v>
      </c>
      <c r="F28" s="8">
        <f t="shared" si="5"/>
        <v>10748.279120937505</v>
      </c>
      <c r="G28" s="8">
        <f t="shared" si="5"/>
        <v>10726.320005951786</v>
      </c>
      <c r="H28" s="8">
        <f t="shared" si="5"/>
        <v>10703.982179410061</v>
      </c>
      <c r="I28" s="8">
        <f t="shared" si="5"/>
        <v>10681.264685799628</v>
      </c>
      <c r="J28" s="8">
        <f t="shared" si="5"/>
        <v>10610.052132831048</v>
      </c>
      <c r="K28" s="8">
        <f t="shared" si="5"/>
        <v>10538.842648379556</v>
      </c>
      <c r="L28" s="8">
        <f t="shared" si="5"/>
        <v>10467.638987396824</v>
      </c>
      <c r="M28" s="8">
        <f t="shared" si="5"/>
        <v>10396.421742150109</v>
      </c>
      <c r="N28" s="8">
        <f t="shared" si="5"/>
        <v>10325.214710458307</v>
      </c>
      <c r="O28" s="8">
        <f t="shared" si="5"/>
        <v>10254.005213536853</v>
      </c>
      <c r="P28" s="8">
        <f t="shared" si="5"/>
        <v>10182.801554157419</v>
      </c>
      <c r="Q28" s="8">
        <f t="shared" si="5"/>
        <v>10111.591678065246</v>
      </c>
      <c r="R28" s="8">
        <f t="shared" si="5"/>
        <v>10040.383486506757</v>
      </c>
      <c r="S28" s="8">
        <f t="shared" si="5"/>
        <v>9969.1777852147079</v>
      </c>
      <c r="T28" s="8">
        <f t="shared" si="5"/>
        <v>9897.961569522633</v>
      </c>
      <c r="U28" s="8">
        <f t="shared" si="5"/>
        <v>9826.7529660078126</v>
      </c>
      <c r="V28" s="8">
        <f t="shared" si="5"/>
        <v>9755.5439860259594</v>
      </c>
      <c r="W28" s="8">
        <f t="shared" si="5"/>
        <v>9684.3349614080562</v>
      </c>
      <c r="X28" s="8">
        <f t="shared" si="5"/>
        <v>9613.1348743850667</v>
      </c>
      <c r="Y28" s="8">
        <f t="shared" si="5"/>
        <v>9541.9248560960077</v>
      </c>
      <c r="Z28" s="8">
        <f t="shared" si="5"/>
        <v>9470.7162957288856</v>
      </c>
      <c r="AA28" s="8">
        <f t="shared" si="5"/>
        <v>9399.5025121769158</v>
      </c>
      <c r="AB28" s="8">
        <f t="shared" si="5"/>
        <v>9328.2939978253653</v>
      </c>
      <c r="AC28" s="8">
        <f t="shared" si="5"/>
        <v>9257.0856485492041</v>
      </c>
    </row>
  </sheetData>
  <mergeCells count="2">
    <mergeCell ref="A1:C1"/>
    <mergeCell ref="A22:J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
  <sheetViews>
    <sheetView workbookViewId="0"/>
  </sheetViews>
  <sheetFormatPr defaultRowHeight="15"/>
  <cols>
    <col min="1" max="1" width="24.42578125" bestFit="1" customWidth="1"/>
  </cols>
  <sheetData>
    <row r="1" spans="1:2">
      <c r="A1" t="s">
        <v>422</v>
      </c>
      <c r="B1" s="93">
        <v>2.5000000000000001E-2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6"/>
  <sheetViews>
    <sheetView topLeftCell="A37" workbookViewId="0"/>
  </sheetViews>
  <sheetFormatPr defaultColWidth="9.140625" defaultRowHeight="15"/>
  <cols>
    <col min="1" max="1" width="39.85546875" style="146" customWidth="1"/>
    <col min="2" max="2" width="33.28515625" style="146" customWidth="1"/>
    <col min="3" max="6" width="21.140625" style="146" customWidth="1"/>
    <col min="7" max="7" width="18.5703125" style="146" customWidth="1"/>
    <col min="8" max="8" width="20.7109375" style="146" customWidth="1"/>
    <col min="9" max="9" width="22.28515625" style="146" customWidth="1"/>
    <col min="10" max="12" width="21.140625" style="146" customWidth="1"/>
    <col min="13" max="13" width="16.42578125" style="146" customWidth="1"/>
    <col min="14" max="14" width="18.42578125" style="146" customWidth="1"/>
    <col min="15" max="16384" width="9.140625" style="146"/>
  </cols>
  <sheetData>
    <row r="1" spans="1:7" ht="21">
      <c r="A1" s="145" t="s">
        <v>57</v>
      </c>
      <c r="B1" s="145"/>
    </row>
    <row r="2" spans="1:7">
      <c r="A2" s="147" t="s">
        <v>58</v>
      </c>
      <c r="B2" s="147"/>
    </row>
    <row r="4" spans="1:7" ht="18.75">
      <c r="A4" s="148" t="s">
        <v>59</v>
      </c>
      <c r="B4" s="148"/>
    </row>
    <row r="5" spans="1:7">
      <c r="A5" s="150" t="s">
        <v>60</v>
      </c>
      <c r="B5" s="154" t="s">
        <v>61</v>
      </c>
      <c r="C5" s="221" t="s">
        <v>62</v>
      </c>
      <c r="D5" s="222"/>
      <c r="E5" s="222"/>
      <c r="F5" s="222"/>
      <c r="G5" s="223"/>
    </row>
    <row r="6" spans="1:7">
      <c r="A6" s="151" t="s">
        <v>63</v>
      </c>
      <c r="B6" s="155" t="s">
        <v>64</v>
      </c>
      <c r="C6" s="224" t="s">
        <v>64</v>
      </c>
      <c r="D6" s="225"/>
      <c r="E6" s="225"/>
      <c r="F6" s="225"/>
      <c r="G6" s="226"/>
    </row>
    <row r="7" spans="1:7" ht="45">
      <c r="A7" s="152"/>
      <c r="B7" s="169" t="s">
        <v>65</v>
      </c>
      <c r="C7" s="158" t="s">
        <v>66</v>
      </c>
      <c r="D7" s="156" t="s">
        <v>67</v>
      </c>
      <c r="E7" s="156" t="s">
        <v>68</v>
      </c>
      <c r="F7" s="156" t="s">
        <v>69</v>
      </c>
      <c r="G7" s="156" t="s">
        <v>70</v>
      </c>
    </row>
    <row r="8" spans="1:7">
      <c r="A8" s="124" t="s">
        <v>32</v>
      </c>
      <c r="B8" s="160">
        <f>'FOM Cost Curves'!B7</f>
        <v>70.784547535000428</v>
      </c>
      <c r="C8" s="161">
        <v>142.64229044018549</v>
      </c>
      <c r="D8" s="157">
        <v>118.54912405083087</v>
      </c>
      <c r="E8" s="157">
        <v>70.784547535000428</v>
      </c>
      <c r="F8" s="157" t="s">
        <v>71</v>
      </c>
      <c r="G8" s="157" t="s">
        <v>71</v>
      </c>
    </row>
    <row r="9" spans="1:7">
      <c r="A9" s="124" t="s">
        <v>33</v>
      </c>
      <c r="B9" s="160">
        <f>'FOM Cost Curves'!B8</f>
        <v>41.785000000000004</v>
      </c>
      <c r="C9" s="174">
        <v>43.981372885723864</v>
      </c>
      <c r="D9" s="157" t="s">
        <v>71</v>
      </c>
      <c r="E9" s="157">
        <v>41.785000000000004</v>
      </c>
      <c r="F9" s="157" t="s">
        <v>71</v>
      </c>
      <c r="G9" s="157" t="s">
        <v>71</v>
      </c>
    </row>
    <row r="10" spans="1:7">
      <c r="A10" s="124" t="s">
        <v>34</v>
      </c>
      <c r="B10" s="160">
        <f>'FOM Cost Curves'!B9</f>
        <v>41.785000000000004</v>
      </c>
      <c r="C10" s="161">
        <v>43.981372885723864</v>
      </c>
      <c r="D10" s="157">
        <v>43.725935534347073</v>
      </c>
      <c r="E10" s="157">
        <v>41.785000000000004</v>
      </c>
      <c r="F10" s="157" t="s">
        <v>71</v>
      </c>
      <c r="G10" s="157" t="s">
        <v>71</v>
      </c>
    </row>
    <row r="11" spans="1:7">
      <c r="A11" s="124" t="s">
        <v>35</v>
      </c>
      <c r="B11" s="160">
        <f>'FOM Cost Curves'!B10</f>
        <v>41.785000000000004</v>
      </c>
      <c r="C11" s="161">
        <v>43.981372885723864</v>
      </c>
      <c r="D11" s="157" t="s">
        <v>71</v>
      </c>
      <c r="E11" s="157">
        <v>41.785000000000004</v>
      </c>
      <c r="F11" s="157" t="s">
        <v>71</v>
      </c>
      <c r="G11" s="157" t="s">
        <v>71</v>
      </c>
    </row>
    <row r="12" spans="1:7">
      <c r="A12" s="124" t="s">
        <v>36</v>
      </c>
      <c r="B12" s="160">
        <f>'FOM Cost Curves'!B11</f>
        <v>41.785000000000004</v>
      </c>
      <c r="C12" s="161">
        <v>43.981372885723864</v>
      </c>
      <c r="D12" s="157" t="s">
        <v>71</v>
      </c>
      <c r="E12" s="157">
        <v>41.785000000000004</v>
      </c>
      <c r="F12" s="157" t="s">
        <v>71</v>
      </c>
      <c r="G12" s="157" t="s">
        <v>71</v>
      </c>
    </row>
    <row r="13" spans="1:7">
      <c r="A13" s="124" t="s">
        <v>37</v>
      </c>
      <c r="B13" s="160">
        <f>'FOM Cost Curves'!B12</f>
        <v>19.354429860626116</v>
      </c>
      <c r="C13" s="161">
        <v>25.212024835302788</v>
      </c>
      <c r="D13" s="157">
        <v>23.936620368279968</v>
      </c>
      <c r="E13" s="157">
        <v>19.354429860626116</v>
      </c>
      <c r="F13" s="157" t="s">
        <v>71</v>
      </c>
      <c r="G13" s="157" t="s">
        <v>71</v>
      </c>
    </row>
    <row r="14" spans="1:7">
      <c r="A14" s="124" t="s">
        <v>38</v>
      </c>
      <c r="B14" s="160">
        <f>'FOM Cost Curves'!B13</f>
        <v>19.354429860626116</v>
      </c>
      <c r="C14" s="161">
        <v>25.212024835302788</v>
      </c>
      <c r="D14" s="157" t="s">
        <v>71</v>
      </c>
      <c r="E14" s="157">
        <v>19.354429860626116</v>
      </c>
      <c r="F14" s="157" t="s">
        <v>71</v>
      </c>
      <c r="G14" s="157" t="s">
        <v>71</v>
      </c>
    </row>
    <row r="15" spans="1:7">
      <c r="A15" s="124" t="s">
        <v>39</v>
      </c>
      <c r="B15" s="160">
        <f>'FOM Cost Curves'!B14</f>
        <v>25.481981878572736</v>
      </c>
      <c r="C15" s="161">
        <v>32.320365642238698</v>
      </c>
      <c r="D15" s="162" t="s">
        <v>71</v>
      </c>
      <c r="E15" s="157">
        <v>25.481981878572736</v>
      </c>
      <c r="F15" s="157" t="s">
        <v>71</v>
      </c>
      <c r="G15" s="157" t="s">
        <v>71</v>
      </c>
    </row>
    <row r="16" spans="1:7">
      <c r="A16" s="124" t="s">
        <v>40</v>
      </c>
      <c r="B16" s="160">
        <f>'FOM Cost Curves'!B15</f>
        <v>151</v>
      </c>
      <c r="C16" s="161">
        <v>410.33432216626693</v>
      </c>
      <c r="D16" s="157">
        <v>222.91998737443862</v>
      </c>
      <c r="E16" s="157">
        <v>151</v>
      </c>
      <c r="F16" s="157" t="s">
        <v>71</v>
      </c>
      <c r="G16" s="157" t="s">
        <v>71</v>
      </c>
    </row>
    <row r="17" spans="1:9">
      <c r="A17" s="153" t="s">
        <v>72</v>
      </c>
      <c r="B17" s="160">
        <f>'FOM Cost Curves'!B16</f>
        <v>17.82</v>
      </c>
      <c r="C17" s="161">
        <v>20.683132113826897</v>
      </c>
      <c r="D17" s="157">
        <v>17.230191323112891</v>
      </c>
      <c r="E17" s="157">
        <v>17.82</v>
      </c>
      <c r="F17" s="157" t="s">
        <v>71</v>
      </c>
      <c r="G17" s="157" t="s">
        <v>71</v>
      </c>
    </row>
    <row r="18" spans="1:9">
      <c r="A18" s="153" t="s">
        <v>73</v>
      </c>
      <c r="B18" s="160">
        <f>'FOM Cost Curves'!B17</f>
        <v>17.82</v>
      </c>
      <c r="C18" s="161">
        <v>20.683132113826897</v>
      </c>
      <c r="D18" s="157">
        <v>17.230191323112891</v>
      </c>
      <c r="E18" s="157">
        <v>17.82</v>
      </c>
      <c r="F18" s="157" t="s">
        <v>71</v>
      </c>
      <c r="G18" s="157" t="s">
        <v>71</v>
      </c>
    </row>
    <row r="19" spans="1:9">
      <c r="A19" s="153" t="s">
        <v>43</v>
      </c>
      <c r="B19" s="160">
        <f>'FOM Cost Curves'!B18</f>
        <v>20.100916701068275</v>
      </c>
      <c r="C19" s="161">
        <v>24.415605380345085</v>
      </c>
      <c r="D19" s="157">
        <v>25.293920862329724</v>
      </c>
      <c r="E19" s="157">
        <v>20.122756181982876</v>
      </c>
      <c r="F19" s="157" t="s">
        <v>71</v>
      </c>
      <c r="G19" s="157" t="s">
        <v>71</v>
      </c>
    </row>
    <row r="20" spans="1:9">
      <c r="A20" s="153" t="s">
        <v>44</v>
      </c>
      <c r="B20" s="160">
        <f>'FOM Cost Curves'!B19</f>
        <v>32.842705844276296</v>
      </c>
      <c r="C20" s="161">
        <v>38.228133837969708</v>
      </c>
      <c r="D20" s="157">
        <v>34.387664694413786</v>
      </c>
      <c r="E20" s="157">
        <v>32.761219261942024</v>
      </c>
      <c r="F20" s="157" t="s">
        <v>71</v>
      </c>
      <c r="G20" s="157" t="s">
        <v>71</v>
      </c>
      <c r="H20" s="178"/>
    </row>
    <row r="21" spans="1:9">
      <c r="A21" s="153" t="s">
        <v>45</v>
      </c>
      <c r="B21" s="160">
        <f>'FOM Cost Curves'!B20</f>
        <v>45.584494987484256</v>
      </c>
      <c r="C21" s="161" t="s">
        <v>71</v>
      </c>
      <c r="D21" s="157" t="s">
        <v>71</v>
      </c>
      <c r="E21" s="157">
        <v>45.485092971746674</v>
      </c>
      <c r="F21" s="157" t="s">
        <v>71</v>
      </c>
      <c r="G21" s="157" t="s">
        <v>71</v>
      </c>
      <c r="H21" s="178"/>
    </row>
    <row r="22" spans="1:9">
      <c r="A22" s="153" t="s">
        <v>46</v>
      </c>
      <c r="B22" s="160">
        <f>'FOM Cost Curves'!B21</f>
        <v>98.064325314945634</v>
      </c>
      <c r="C22" s="163" t="s">
        <v>71</v>
      </c>
      <c r="D22" s="162" t="s">
        <v>71</v>
      </c>
      <c r="E22" s="157">
        <v>98.064325314945634</v>
      </c>
      <c r="F22" s="157" t="s">
        <v>71</v>
      </c>
      <c r="G22" s="157" t="s">
        <v>71</v>
      </c>
      <c r="I22" s="179"/>
    </row>
    <row r="23" spans="1:9" ht="17.25">
      <c r="A23" s="153" t="s">
        <v>74</v>
      </c>
      <c r="B23" s="160" t="str">
        <f>'FOM Cost Curves'!B22</f>
        <v>--</v>
      </c>
      <c r="C23" s="161" t="s">
        <v>71</v>
      </c>
      <c r="D23" s="157">
        <v>69.019856396676801</v>
      </c>
      <c r="E23" s="157" t="s">
        <v>71</v>
      </c>
      <c r="F23" s="157" t="s">
        <v>71</v>
      </c>
      <c r="G23" s="157" t="s">
        <v>71</v>
      </c>
    </row>
    <row r="24" spans="1:9" ht="17.25">
      <c r="A24" s="153" t="s">
        <v>75</v>
      </c>
      <c r="B24" s="160" t="str">
        <f>'FOM Cost Curves'!B23</f>
        <v>--</v>
      </c>
      <c r="C24" s="161" t="s">
        <v>71</v>
      </c>
      <c r="D24" s="157">
        <v>49.230541230609695</v>
      </c>
      <c r="E24" s="157">
        <v>32.237726132270552</v>
      </c>
      <c r="F24" s="157" t="s">
        <v>71</v>
      </c>
      <c r="G24" s="157" t="s">
        <v>71</v>
      </c>
    </row>
    <row r="25" spans="1:9" ht="17.25">
      <c r="A25" s="153" t="s">
        <v>76</v>
      </c>
      <c r="B25" s="160" t="str">
        <f>'FOM Cost Curves'!B24</f>
        <v>--</v>
      </c>
      <c r="C25" s="161" t="s">
        <v>71</v>
      </c>
      <c r="D25" s="157" t="s">
        <v>71</v>
      </c>
      <c r="E25" s="157" t="s">
        <v>71</v>
      </c>
      <c r="F25" s="157" t="s">
        <v>71</v>
      </c>
      <c r="G25" s="157" t="s">
        <v>71</v>
      </c>
    </row>
    <row r="26" spans="1:9">
      <c r="A26" s="153" t="s">
        <v>50</v>
      </c>
      <c r="B26" s="160">
        <f>'FOM Cost Curves'!B25</f>
        <v>9.5186624999999996</v>
      </c>
      <c r="C26" s="161">
        <v>4.6715350119160757</v>
      </c>
      <c r="D26" s="157">
        <v>8.2669898459646127</v>
      </c>
      <c r="E26" s="157">
        <v>28</v>
      </c>
      <c r="F26" s="157">
        <v>9.5186624999999996</v>
      </c>
      <c r="G26" s="157" t="s">
        <v>71</v>
      </c>
    </row>
    <row r="27" spans="1:9">
      <c r="A27" s="153" t="s">
        <v>51</v>
      </c>
      <c r="B27" s="160">
        <f>'FOM Cost Curves'!B26</f>
        <v>22.672487499999995</v>
      </c>
      <c r="C27" s="161">
        <v>16.831790271941887</v>
      </c>
      <c r="D27" s="157">
        <v>13.856865553462976</v>
      </c>
      <c r="E27" s="157">
        <v>21</v>
      </c>
      <c r="F27" s="157">
        <v>22.672487499999995</v>
      </c>
      <c r="G27" s="157" t="s">
        <v>71</v>
      </c>
    </row>
    <row r="28" spans="1:9">
      <c r="A28" s="153" t="s">
        <v>52</v>
      </c>
      <c r="B28" s="160">
        <f>'FOM Cost Curves'!B27</f>
        <v>14.530143749999999</v>
      </c>
      <c r="C28" s="161">
        <v>4.4456847187191153</v>
      </c>
      <c r="D28" s="157">
        <v>6.8962567897100131</v>
      </c>
      <c r="E28" s="157" t="s">
        <v>71</v>
      </c>
      <c r="F28" s="157">
        <v>14.530143749999999</v>
      </c>
      <c r="G28" s="157" t="s">
        <v>71</v>
      </c>
    </row>
    <row r="29" spans="1:9">
      <c r="A29" s="153" t="s">
        <v>53</v>
      </c>
      <c r="B29" s="160">
        <f>'FOM Cost Curves'!B28</f>
        <v>114</v>
      </c>
      <c r="C29" s="161" t="s">
        <v>71</v>
      </c>
      <c r="D29" s="157">
        <v>10.768906249999999</v>
      </c>
      <c r="E29" s="157">
        <v>114</v>
      </c>
      <c r="F29" s="157" t="s">
        <v>71</v>
      </c>
      <c r="G29" s="157" t="s">
        <v>71</v>
      </c>
    </row>
    <row r="30" spans="1:9">
      <c r="A30" s="146" t="s">
        <v>54</v>
      </c>
    </row>
    <row r="31" spans="1:9">
      <c r="A31" s="147" t="s">
        <v>77</v>
      </c>
    </row>
    <row r="32" spans="1:9">
      <c r="A32" s="197" t="s">
        <v>78</v>
      </c>
    </row>
    <row r="33" spans="1:7">
      <c r="A33" s="200" t="s">
        <v>79</v>
      </c>
    </row>
    <row r="35" spans="1:7" ht="18.75">
      <c r="A35" s="148" t="s">
        <v>8</v>
      </c>
      <c r="B35" s="148"/>
    </row>
    <row r="36" spans="1:7">
      <c r="A36" s="150" t="s">
        <v>60</v>
      </c>
      <c r="B36" s="154" t="s">
        <v>80</v>
      </c>
      <c r="C36" s="221" t="s">
        <v>62</v>
      </c>
      <c r="D36" s="222"/>
      <c r="E36" s="222"/>
      <c r="F36" s="222"/>
      <c r="G36" s="223"/>
    </row>
    <row r="37" spans="1:7">
      <c r="A37" s="151" t="s">
        <v>63</v>
      </c>
      <c r="B37" s="155" t="s">
        <v>81</v>
      </c>
      <c r="C37" s="224" t="s">
        <v>81</v>
      </c>
      <c r="D37" s="225"/>
      <c r="E37" s="225"/>
      <c r="F37" s="225"/>
      <c r="G37" s="226"/>
    </row>
    <row r="38" spans="1:7" ht="45">
      <c r="A38" s="152"/>
      <c r="B38" s="169" t="s">
        <v>82</v>
      </c>
      <c r="C38" s="158" t="s">
        <v>66</v>
      </c>
      <c r="D38" s="156" t="s">
        <v>67</v>
      </c>
      <c r="E38" s="156" t="s">
        <v>83</v>
      </c>
      <c r="F38" s="156" t="s">
        <v>84</v>
      </c>
      <c r="G38" s="156" t="s">
        <v>70</v>
      </c>
    </row>
    <row r="39" spans="1:7">
      <c r="A39" s="124" t="s">
        <v>32</v>
      </c>
      <c r="B39" s="164">
        <f t="shared" ref="B39:B56" si="0">E39</f>
        <v>0</v>
      </c>
      <c r="C39" s="165">
        <v>0</v>
      </c>
      <c r="D39" s="166">
        <v>0</v>
      </c>
      <c r="E39" s="166">
        <v>0</v>
      </c>
      <c r="F39" s="203" t="s">
        <v>71</v>
      </c>
      <c r="G39" s="203" t="s">
        <v>71</v>
      </c>
    </row>
    <row r="40" spans="1:7">
      <c r="A40" s="124" t="s">
        <v>33</v>
      </c>
      <c r="B40" s="164">
        <f t="shared" si="0"/>
        <v>0</v>
      </c>
      <c r="C40" s="163">
        <v>0</v>
      </c>
      <c r="D40" s="162" t="s">
        <v>71</v>
      </c>
      <c r="E40" s="166">
        <v>0</v>
      </c>
      <c r="F40" s="203" t="s">
        <v>71</v>
      </c>
      <c r="G40" s="203" t="s">
        <v>71</v>
      </c>
    </row>
    <row r="41" spans="1:7">
      <c r="A41" s="124" t="s">
        <v>34</v>
      </c>
      <c r="B41" s="164">
        <f t="shared" si="0"/>
        <v>0</v>
      </c>
      <c r="C41" s="165">
        <v>0</v>
      </c>
      <c r="D41" s="166">
        <v>0</v>
      </c>
      <c r="E41" s="166">
        <v>0</v>
      </c>
      <c r="F41" s="203" t="s">
        <v>71</v>
      </c>
      <c r="G41" s="203" t="s">
        <v>71</v>
      </c>
    </row>
    <row r="42" spans="1:7">
      <c r="A42" s="124" t="s">
        <v>35</v>
      </c>
      <c r="B42" s="164">
        <f t="shared" si="0"/>
        <v>0</v>
      </c>
      <c r="C42" s="165">
        <v>0</v>
      </c>
      <c r="D42" s="166">
        <v>0</v>
      </c>
      <c r="E42" s="166">
        <v>0</v>
      </c>
      <c r="F42" s="203" t="s">
        <v>71</v>
      </c>
      <c r="G42" s="203" t="s">
        <v>71</v>
      </c>
    </row>
    <row r="43" spans="1:7">
      <c r="A43" s="124" t="s">
        <v>36</v>
      </c>
      <c r="B43" s="164">
        <f t="shared" si="0"/>
        <v>0</v>
      </c>
      <c r="C43" s="165">
        <v>0</v>
      </c>
      <c r="D43" s="166">
        <v>0</v>
      </c>
      <c r="E43" s="166">
        <v>0</v>
      </c>
      <c r="F43" s="203" t="s">
        <v>71</v>
      </c>
      <c r="G43" s="203" t="s">
        <v>71</v>
      </c>
    </row>
    <row r="44" spans="1:7">
      <c r="A44" s="124" t="s">
        <v>37</v>
      </c>
      <c r="B44" s="164">
        <f t="shared" si="0"/>
        <v>0</v>
      </c>
      <c r="C44" s="165">
        <v>0</v>
      </c>
      <c r="D44" s="166">
        <v>0</v>
      </c>
      <c r="E44" s="166">
        <v>0</v>
      </c>
      <c r="F44" s="203" t="s">
        <v>71</v>
      </c>
      <c r="G44" s="203" t="s">
        <v>71</v>
      </c>
    </row>
    <row r="45" spans="1:7">
      <c r="A45" s="124" t="s">
        <v>38</v>
      </c>
      <c r="B45" s="164">
        <f t="shared" si="0"/>
        <v>0</v>
      </c>
      <c r="C45" s="165">
        <v>0</v>
      </c>
      <c r="D45" s="166">
        <v>0</v>
      </c>
      <c r="E45" s="166">
        <v>0</v>
      </c>
      <c r="F45" s="203" t="s">
        <v>71</v>
      </c>
      <c r="G45" s="203" t="s">
        <v>71</v>
      </c>
    </row>
    <row r="46" spans="1:7">
      <c r="A46" s="124" t="s">
        <v>39</v>
      </c>
      <c r="B46" s="164">
        <f t="shared" si="0"/>
        <v>0</v>
      </c>
      <c r="C46" s="165">
        <v>0</v>
      </c>
      <c r="D46" s="167">
        <v>0</v>
      </c>
      <c r="E46" s="166">
        <v>0</v>
      </c>
      <c r="F46" s="203" t="s">
        <v>71</v>
      </c>
      <c r="G46" s="203" t="s">
        <v>71</v>
      </c>
    </row>
    <row r="47" spans="1:7">
      <c r="A47" s="124" t="s">
        <v>40</v>
      </c>
      <c r="B47" s="164">
        <f t="shared" si="0"/>
        <v>5.8</v>
      </c>
      <c r="C47" s="165">
        <v>7.8453259742102022</v>
      </c>
      <c r="D47" s="166">
        <v>6.6745759191131278</v>
      </c>
      <c r="E47" s="166">
        <v>5.8</v>
      </c>
      <c r="F47" s="203" t="s">
        <v>71</v>
      </c>
      <c r="G47" s="203" t="s">
        <v>71</v>
      </c>
    </row>
    <row r="48" spans="1:7">
      <c r="A48" s="153" t="s">
        <v>72</v>
      </c>
      <c r="B48" s="164">
        <f t="shared" si="0"/>
        <v>0.51249999999999996</v>
      </c>
      <c r="C48" s="165">
        <v>1.7830286305023186</v>
      </c>
      <c r="D48" s="166">
        <v>0</v>
      </c>
      <c r="E48" s="166">
        <v>0.51249999999999996</v>
      </c>
      <c r="F48" s="203" t="s">
        <v>71</v>
      </c>
      <c r="G48" s="203" t="s">
        <v>71</v>
      </c>
    </row>
    <row r="49" spans="1:11">
      <c r="A49" s="153" t="s">
        <v>73</v>
      </c>
      <c r="B49" s="164">
        <f>E49</f>
        <v>0.51249999999999996</v>
      </c>
      <c r="C49" s="165">
        <v>1.7830286305023186</v>
      </c>
      <c r="D49" s="166">
        <v>0</v>
      </c>
      <c r="E49" s="166">
        <v>0.51249999999999996</v>
      </c>
      <c r="F49" s="203" t="s">
        <v>71</v>
      </c>
      <c r="G49" s="203" t="s">
        <v>71</v>
      </c>
    </row>
    <row r="50" spans="1:11">
      <c r="A50" s="153" t="s">
        <v>43</v>
      </c>
      <c r="B50" s="164">
        <f t="shared" si="0"/>
        <v>0</v>
      </c>
      <c r="C50" s="165">
        <v>0</v>
      </c>
      <c r="D50" s="166">
        <v>0</v>
      </c>
      <c r="E50" s="166">
        <v>0</v>
      </c>
      <c r="F50" s="203" t="s">
        <v>71</v>
      </c>
      <c r="G50" s="203" t="s">
        <v>71</v>
      </c>
    </row>
    <row r="51" spans="1:11">
      <c r="A51" s="153" t="s">
        <v>44</v>
      </c>
      <c r="B51" s="164">
        <f t="shared" si="0"/>
        <v>0</v>
      </c>
      <c r="C51" s="165">
        <v>0</v>
      </c>
      <c r="D51" s="166">
        <v>0</v>
      </c>
      <c r="E51" s="166">
        <v>0</v>
      </c>
      <c r="F51" s="203" t="s">
        <v>71</v>
      </c>
      <c r="G51" s="203" t="s">
        <v>71</v>
      </c>
    </row>
    <row r="52" spans="1:11">
      <c r="A52" s="153" t="s">
        <v>45</v>
      </c>
      <c r="B52" s="164">
        <f t="shared" si="0"/>
        <v>0</v>
      </c>
      <c r="C52" s="165">
        <v>0</v>
      </c>
      <c r="D52" s="166">
        <v>0</v>
      </c>
      <c r="E52" s="166">
        <v>0</v>
      </c>
      <c r="F52" s="203" t="s">
        <v>71</v>
      </c>
      <c r="G52" s="203" t="s">
        <v>71</v>
      </c>
    </row>
    <row r="53" spans="1:11">
      <c r="A53" s="153" t="s">
        <v>46</v>
      </c>
      <c r="B53" s="164">
        <f t="shared" si="0"/>
        <v>0</v>
      </c>
      <c r="C53" s="199" t="s">
        <v>71</v>
      </c>
      <c r="D53" s="166">
        <v>0</v>
      </c>
      <c r="E53" s="166">
        <v>0</v>
      </c>
      <c r="F53" s="203" t="s">
        <v>71</v>
      </c>
      <c r="G53" s="203" t="s">
        <v>71</v>
      </c>
    </row>
    <row r="54" spans="1:11">
      <c r="A54" s="153" t="s">
        <v>85</v>
      </c>
      <c r="B54" s="164">
        <v>0</v>
      </c>
      <c r="C54" s="198" t="s">
        <v>71</v>
      </c>
      <c r="D54" s="166">
        <v>0</v>
      </c>
      <c r="E54" s="203" t="s">
        <v>71</v>
      </c>
      <c r="F54" s="203" t="s">
        <v>71</v>
      </c>
      <c r="G54" s="203" t="s">
        <v>71</v>
      </c>
    </row>
    <row r="55" spans="1:11">
      <c r="A55" s="153" t="s">
        <v>47</v>
      </c>
      <c r="B55" s="164">
        <v>0</v>
      </c>
      <c r="C55" s="198" t="s">
        <v>71</v>
      </c>
      <c r="D55" s="166">
        <v>0</v>
      </c>
      <c r="E55" s="203" t="s">
        <v>71</v>
      </c>
      <c r="F55" s="203" t="s">
        <v>71</v>
      </c>
      <c r="G55" s="203" t="s">
        <v>71</v>
      </c>
    </row>
    <row r="56" spans="1:11">
      <c r="A56" s="153" t="s">
        <v>48</v>
      </c>
      <c r="B56" s="164">
        <f t="shared" si="0"/>
        <v>0</v>
      </c>
      <c r="C56" s="198" t="s">
        <v>71</v>
      </c>
      <c r="D56" s="166">
        <v>0</v>
      </c>
      <c r="E56" s="166">
        <v>0</v>
      </c>
      <c r="F56" s="203" t="s">
        <v>71</v>
      </c>
      <c r="G56" s="203" t="s">
        <v>71</v>
      </c>
    </row>
    <row r="57" spans="1:11">
      <c r="A57" s="153" t="s">
        <v>49</v>
      </c>
      <c r="B57" s="164">
        <v>0</v>
      </c>
      <c r="C57" s="198" t="s">
        <v>71</v>
      </c>
      <c r="D57" s="203" t="s">
        <v>71</v>
      </c>
      <c r="E57" s="203" t="s">
        <v>71</v>
      </c>
      <c r="F57" s="203" t="s">
        <v>71</v>
      </c>
      <c r="G57" s="203" t="s">
        <v>71</v>
      </c>
    </row>
    <row r="58" spans="1:11" ht="17.25">
      <c r="A58" s="153" t="s">
        <v>86</v>
      </c>
      <c r="B58" s="164">
        <f>G58</f>
        <v>1.0191062499999999</v>
      </c>
      <c r="C58" s="165">
        <v>7.7977785440634735</v>
      </c>
      <c r="D58" s="166">
        <v>8.469375277530343</v>
      </c>
      <c r="E58" s="166">
        <v>2</v>
      </c>
      <c r="F58" s="166">
        <v>48.833049999999993</v>
      </c>
      <c r="G58" s="167">
        <v>1.0191062499999999</v>
      </c>
      <c r="K58" s="159"/>
    </row>
    <row r="59" spans="1:11" ht="17.25">
      <c r="A59" s="153" t="s">
        <v>87</v>
      </c>
      <c r="B59" s="164">
        <f>G59</f>
        <v>6.1595278409090897</v>
      </c>
      <c r="C59" s="165">
        <v>2.9954880992438957</v>
      </c>
      <c r="D59" s="166">
        <v>3.580034737891074</v>
      </c>
      <c r="E59" s="166">
        <v>5</v>
      </c>
      <c r="F59" s="166">
        <v>4.1184499999999993</v>
      </c>
      <c r="G59" s="167">
        <v>6.1595278409090897</v>
      </c>
    </row>
    <row r="60" spans="1:11">
      <c r="A60" s="153" t="s">
        <v>52</v>
      </c>
      <c r="B60" s="164">
        <f>G60</f>
        <v>1.1556875</v>
      </c>
      <c r="C60" s="165">
        <v>6.3000344944415261</v>
      </c>
      <c r="D60" s="166">
        <v>7.5882052849972803</v>
      </c>
      <c r="E60" s="162" t="s">
        <v>71</v>
      </c>
      <c r="F60" s="166">
        <v>4.4538877715625</v>
      </c>
      <c r="G60" s="167">
        <v>1.1556875</v>
      </c>
      <c r="H60" s="149"/>
    </row>
    <row r="61" spans="1:11">
      <c r="A61" s="153" t="s">
        <v>53</v>
      </c>
      <c r="B61" s="164">
        <f>E61</f>
        <v>2.84</v>
      </c>
      <c r="C61" s="198" t="s">
        <v>71</v>
      </c>
      <c r="D61" s="166">
        <v>7.5382343749999992</v>
      </c>
      <c r="E61" s="166">
        <v>2.84</v>
      </c>
      <c r="F61" s="162">
        <v>0</v>
      </c>
      <c r="G61" s="203" t="s">
        <v>71</v>
      </c>
    </row>
    <row r="62" spans="1:11">
      <c r="A62" s="178" t="s">
        <v>54</v>
      </c>
    </row>
    <row r="63" spans="1:11">
      <c r="A63" s="197" t="s">
        <v>88</v>
      </c>
    </row>
    <row r="64" spans="1:11">
      <c r="A64" s="197" t="s">
        <v>89</v>
      </c>
    </row>
    <row r="65" spans="1:1">
      <c r="A65" s="197" t="s">
        <v>90</v>
      </c>
    </row>
    <row r="66" spans="1:1">
      <c r="A66" s="197"/>
    </row>
  </sheetData>
  <mergeCells count="4">
    <mergeCell ref="C5:G5"/>
    <mergeCell ref="C6:G6"/>
    <mergeCell ref="C36:G36"/>
    <mergeCell ref="C37:G37"/>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
  <sheetViews>
    <sheetView topLeftCell="A3" workbookViewId="0">
      <selection activeCell="F93" sqref="F93"/>
    </sheetView>
  </sheetViews>
  <sheetFormatPr defaultRowHeight="15"/>
  <cols>
    <col min="1" max="1" width="26" customWidth="1"/>
  </cols>
  <sheetData>
    <row r="1" spans="1:29" ht="21">
      <c r="A1" s="80" t="s">
        <v>91</v>
      </c>
    </row>
    <row r="2" spans="1:29">
      <c r="A2" s="200" t="s">
        <v>92</v>
      </c>
    </row>
    <row r="3" spans="1:29">
      <c r="A3" s="200" t="s">
        <v>93</v>
      </c>
    </row>
    <row r="4" spans="1:29">
      <c r="A4" s="200"/>
    </row>
    <row r="5" spans="1:29">
      <c r="A5" s="18" t="s">
        <v>94</v>
      </c>
    </row>
    <row r="6" spans="1:29">
      <c r="A6" s="112" t="s">
        <v>95</v>
      </c>
      <c r="B6" s="18">
        <v>2023</v>
      </c>
      <c r="C6" s="18">
        <v>2024</v>
      </c>
      <c r="D6" s="18">
        <v>2025</v>
      </c>
      <c r="E6" s="18">
        <v>2026</v>
      </c>
      <c r="F6" s="18">
        <v>2027</v>
      </c>
      <c r="G6" s="18">
        <v>2028</v>
      </c>
      <c r="H6" s="18">
        <v>2029</v>
      </c>
      <c r="I6" s="18">
        <v>2030</v>
      </c>
      <c r="J6" s="18">
        <v>2031</v>
      </c>
      <c r="K6" s="18">
        <v>2032</v>
      </c>
      <c r="L6" s="18">
        <v>2033</v>
      </c>
      <c r="M6" s="18">
        <v>2034</v>
      </c>
      <c r="N6" s="18">
        <v>2035</v>
      </c>
      <c r="O6" s="18">
        <v>2036</v>
      </c>
      <c r="P6" s="18">
        <v>2037</v>
      </c>
      <c r="Q6" s="18">
        <v>2038</v>
      </c>
      <c r="R6" s="18">
        <v>2039</v>
      </c>
      <c r="S6" s="18">
        <v>2040</v>
      </c>
      <c r="T6" s="18">
        <v>2041</v>
      </c>
      <c r="U6" s="18">
        <v>2042</v>
      </c>
      <c r="V6" s="18">
        <v>2043</v>
      </c>
      <c r="W6" s="18">
        <v>2044</v>
      </c>
      <c r="X6" s="18">
        <v>2045</v>
      </c>
      <c r="Y6" s="18">
        <v>2046</v>
      </c>
      <c r="Z6" s="18">
        <v>2047</v>
      </c>
      <c r="AA6" s="18">
        <v>2048</v>
      </c>
      <c r="AB6" s="18">
        <v>2049</v>
      </c>
      <c r="AC6" s="18">
        <v>2050</v>
      </c>
    </row>
    <row r="7" spans="1:29">
      <c r="A7" s="18" t="s">
        <v>96</v>
      </c>
      <c r="B7" s="95">
        <v>70.784547535000428</v>
      </c>
      <c r="C7" s="95">
        <v>69.035810123787158</v>
      </c>
      <c r="D7" s="95">
        <v>67.520984875428979</v>
      </c>
      <c r="E7" s="95">
        <v>66.18481431108637</v>
      </c>
      <c r="F7" s="95">
        <v>64.989569012122843</v>
      </c>
      <c r="G7" s="95">
        <v>63.90833811985523</v>
      </c>
      <c r="H7" s="95">
        <v>62.921251651514922</v>
      </c>
      <c r="I7" s="95">
        <v>62.013220123140378</v>
      </c>
      <c r="J7" s="95">
        <v>61.172514240301652</v>
      </c>
      <c r="K7" s="95">
        <v>60.389835788208792</v>
      </c>
      <c r="L7" s="95">
        <v>59.657688991943466</v>
      </c>
      <c r="M7" s="95">
        <v>58.969942792381737</v>
      </c>
      <c r="N7" s="95">
        <v>58.321518427600864</v>
      </c>
      <c r="O7" s="95">
        <v>57.708161596079727</v>
      </c>
      <c r="P7" s="95">
        <v>57.126273128637351</v>
      </c>
      <c r="Q7" s="95">
        <v>56.572781016387601</v>
      </c>
      <c r="R7" s="95">
        <v>56.045042236369717</v>
      </c>
      <c r="S7" s="95">
        <v>55.540766418130744</v>
      </c>
      <c r="T7" s="95">
        <v>55.057955768029409</v>
      </c>
      <c r="U7" s="95">
        <v>54.594857265331214</v>
      </c>
      <c r="V7" s="95">
        <v>54.149924239654865</v>
      </c>
      <c r="W7" s="95">
        <v>53.721785203686807</v>
      </c>
      <c r="X7" s="95">
        <v>53.309218356816146</v>
      </c>
      <c r="Y7" s="95">
        <v>52.911130564848037</v>
      </c>
      <c r="Z7" s="95">
        <v>52.526539904723286</v>
      </c>
      <c r="AA7" s="95">
        <v>52.154561072441297</v>
      </c>
      <c r="AB7" s="95">
        <v>51.794393108457953</v>
      </c>
      <c r="AC7" s="95">
        <v>51.445309012455674</v>
      </c>
    </row>
    <row r="8" spans="1:29">
      <c r="A8" s="18" t="s">
        <v>33</v>
      </c>
      <c r="B8" s="95">
        <v>41.785000000000004</v>
      </c>
      <c r="C8" s="95">
        <v>41.38</v>
      </c>
      <c r="D8" s="95">
        <v>40.975000000000001</v>
      </c>
      <c r="E8" s="95">
        <v>40.570000000000007</v>
      </c>
      <c r="F8" s="95">
        <v>40.165000000000006</v>
      </c>
      <c r="G8" s="95">
        <v>39.760000000000005</v>
      </c>
      <c r="H8" s="95">
        <v>39.355000000000004</v>
      </c>
      <c r="I8" s="95">
        <v>38.950000000000003</v>
      </c>
      <c r="J8" s="95">
        <v>38.657875000000004</v>
      </c>
      <c r="K8" s="95">
        <v>38.365750000000006</v>
      </c>
      <c r="L8" s="95">
        <v>38.073625000000007</v>
      </c>
      <c r="M8" s="95">
        <v>37.781500000000008</v>
      </c>
      <c r="N8" s="95">
        <v>37.489375000000003</v>
      </c>
      <c r="O8" s="95">
        <v>37.197250000000004</v>
      </c>
      <c r="P8" s="95">
        <v>36.905124999999998</v>
      </c>
      <c r="Q8" s="95">
        <v>36.613</v>
      </c>
      <c r="R8" s="95">
        <v>36.320875000000001</v>
      </c>
      <c r="S8" s="95">
        <v>36.028750000000002</v>
      </c>
      <c r="T8" s="95">
        <v>35.736625000000004</v>
      </c>
      <c r="U8" s="95">
        <v>35.444500000000005</v>
      </c>
      <c r="V8" s="95">
        <v>35.152375000000006</v>
      </c>
      <c r="W8" s="95">
        <v>34.860250000000001</v>
      </c>
      <c r="X8" s="95">
        <v>34.568124999999995</v>
      </c>
      <c r="Y8" s="95">
        <v>34.275999999999996</v>
      </c>
      <c r="Z8" s="95">
        <v>33.983874999999998</v>
      </c>
      <c r="AA8" s="95">
        <v>33.691749999999999</v>
      </c>
      <c r="AB8" s="95">
        <v>33.399625</v>
      </c>
      <c r="AC8" s="95">
        <v>33.107500000000002</v>
      </c>
    </row>
    <row r="9" spans="1:29">
      <c r="A9" s="18" t="s">
        <v>34</v>
      </c>
      <c r="B9" s="95">
        <v>41.785000000000004</v>
      </c>
      <c r="C9" s="95">
        <v>41.38</v>
      </c>
      <c r="D9" s="95">
        <v>40.975000000000001</v>
      </c>
      <c r="E9" s="95">
        <v>40.570000000000007</v>
      </c>
      <c r="F9" s="95">
        <v>40.165000000000006</v>
      </c>
      <c r="G9" s="95">
        <v>39.760000000000005</v>
      </c>
      <c r="H9" s="95">
        <v>39.355000000000004</v>
      </c>
      <c r="I9" s="95">
        <v>38.950000000000003</v>
      </c>
      <c r="J9" s="95">
        <v>38.657875000000004</v>
      </c>
      <c r="K9" s="95">
        <v>38.365750000000006</v>
      </c>
      <c r="L9" s="95">
        <v>38.073625000000007</v>
      </c>
      <c r="M9" s="95">
        <v>37.781500000000008</v>
      </c>
      <c r="N9" s="95">
        <v>37.489375000000003</v>
      </c>
      <c r="O9" s="95">
        <v>37.197250000000004</v>
      </c>
      <c r="P9" s="95">
        <v>36.905124999999998</v>
      </c>
      <c r="Q9" s="95">
        <v>36.613</v>
      </c>
      <c r="R9" s="95">
        <v>36.320875000000001</v>
      </c>
      <c r="S9" s="95">
        <v>36.028750000000002</v>
      </c>
      <c r="T9" s="95">
        <v>35.736625000000004</v>
      </c>
      <c r="U9" s="95">
        <v>35.444500000000005</v>
      </c>
      <c r="V9" s="95">
        <v>35.152375000000006</v>
      </c>
      <c r="W9" s="95">
        <v>34.860250000000001</v>
      </c>
      <c r="X9" s="95">
        <v>34.568124999999995</v>
      </c>
      <c r="Y9" s="95">
        <v>34.275999999999996</v>
      </c>
      <c r="Z9" s="95">
        <v>33.983874999999998</v>
      </c>
      <c r="AA9" s="95">
        <v>33.691749999999999</v>
      </c>
      <c r="AB9" s="95">
        <v>33.399625</v>
      </c>
      <c r="AC9" s="95">
        <v>33.107500000000002</v>
      </c>
    </row>
    <row r="10" spans="1:29">
      <c r="A10" s="18" t="s">
        <v>35</v>
      </c>
      <c r="B10" s="95">
        <v>41.785000000000004</v>
      </c>
      <c r="C10" s="95">
        <v>41.38</v>
      </c>
      <c r="D10" s="95">
        <v>40.975000000000001</v>
      </c>
      <c r="E10" s="95">
        <v>40.570000000000007</v>
      </c>
      <c r="F10" s="95">
        <v>40.165000000000006</v>
      </c>
      <c r="G10" s="95">
        <v>39.760000000000005</v>
      </c>
      <c r="H10" s="95">
        <v>39.355000000000004</v>
      </c>
      <c r="I10" s="95">
        <v>38.950000000000003</v>
      </c>
      <c r="J10" s="95">
        <v>38.657875000000004</v>
      </c>
      <c r="K10" s="95">
        <v>38.365750000000006</v>
      </c>
      <c r="L10" s="95">
        <v>38.073625000000007</v>
      </c>
      <c r="M10" s="95">
        <v>37.781500000000008</v>
      </c>
      <c r="N10" s="95">
        <v>37.489375000000003</v>
      </c>
      <c r="O10" s="95">
        <v>37.197250000000004</v>
      </c>
      <c r="P10" s="95">
        <v>36.905124999999998</v>
      </c>
      <c r="Q10" s="95">
        <v>36.613</v>
      </c>
      <c r="R10" s="95">
        <v>36.320875000000001</v>
      </c>
      <c r="S10" s="95">
        <v>36.028750000000002</v>
      </c>
      <c r="T10" s="95">
        <v>35.736625000000004</v>
      </c>
      <c r="U10" s="95">
        <v>35.444500000000005</v>
      </c>
      <c r="V10" s="95">
        <v>35.152375000000006</v>
      </c>
      <c r="W10" s="95">
        <v>34.860250000000001</v>
      </c>
      <c r="X10" s="95">
        <v>34.568124999999995</v>
      </c>
      <c r="Y10" s="95">
        <v>34.275999999999996</v>
      </c>
      <c r="Z10" s="95">
        <v>33.983874999999998</v>
      </c>
      <c r="AA10" s="95">
        <v>33.691749999999999</v>
      </c>
      <c r="AB10" s="95">
        <v>33.399625</v>
      </c>
      <c r="AC10" s="95">
        <v>33.107500000000002</v>
      </c>
    </row>
    <row r="11" spans="1:29">
      <c r="A11" s="18" t="s">
        <v>36</v>
      </c>
      <c r="B11" s="95">
        <v>41.785000000000004</v>
      </c>
      <c r="C11" s="95">
        <v>41.38</v>
      </c>
      <c r="D11" s="95">
        <v>40.975000000000001</v>
      </c>
      <c r="E11" s="95">
        <v>40.570000000000007</v>
      </c>
      <c r="F11" s="95">
        <v>40.165000000000006</v>
      </c>
      <c r="G11" s="95">
        <v>39.760000000000005</v>
      </c>
      <c r="H11" s="95">
        <v>39.355000000000004</v>
      </c>
      <c r="I11" s="95">
        <v>38.950000000000003</v>
      </c>
      <c r="J11" s="95">
        <v>38.657875000000004</v>
      </c>
      <c r="K11" s="95">
        <v>38.365750000000006</v>
      </c>
      <c r="L11" s="95">
        <v>38.073625000000007</v>
      </c>
      <c r="M11" s="95">
        <v>37.781500000000008</v>
      </c>
      <c r="N11" s="95">
        <v>37.489375000000003</v>
      </c>
      <c r="O11" s="95">
        <v>37.197250000000004</v>
      </c>
      <c r="P11" s="95">
        <v>36.905124999999998</v>
      </c>
      <c r="Q11" s="95">
        <v>36.613</v>
      </c>
      <c r="R11" s="95">
        <v>36.320875000000001</v>
      </c>
      <c r="S11" s="95">
        <v>36.028750000000002</v>
      </c>
      <c r="T11" s="95">
        <v>35.736625000000004</v>
      </c>
      <c r="U11" s="95">
        <v>35.444500000000005</v>
      </c>
      <c r="V11" s="95">
        <v>35.152375000000006</v>
      </c>
      <c r="W11" s="95">
        <v>34.860250000000001</v>
      </c>
      <c r="X11" s="95">
        <v>34.568124999999995</v>
      </c>
      <c r="Y11" s="95">
        <v>34.275999999999996</v>
      </c>
      <c r="Z11" s="95">
        <v>33.983874999999998</v>
      </c>
      <c r="AA11" s="95">
        <v>33.691749999999999</v>
      </c>
      <c r="AB11" s="95">
        <v>33.399625</v>
      </c>
      <c r="AC11" s="95">
        <v>33.107500000000002</v>
      </c>
    </row>
    <row r="12" spans="1:29">
      <c r="A12" s="18" t="s">
        <v>37</v>
      </c>
      <c r="B12" s="95">
        <v>19.354429860626116</v>
      </c>
      <c r="C12" s="95">
        <v>18.75899579306332</v>
      </c>
      <c r="D12" s="95">
        <v>18.165351904966844</v>
      </c>
      <c r="E12" s="95">
        <v>17.573425508154287</v>
      </c>
      <c r="F12" s="95">
        <v>16.983147797119678</v>
      </c>
      <c r="G12" s="95">
        <v>16.3944535932058</v>
      </c>
      <c r="H12" s="95">
        <v>15.80728110874111</v>
      </c>
      <c r="I12" s="95">
        <v>15.221571729346822</v>
      </c>
      <c r="J12" s="95">
        <v>15.120869365086181</v>
      </c>
      <c r="K12" s="95">
        <v>15.020426131446611</v>
      </c>
      <c r="L12" s="95">
        <v>14.920237780385147</v>
      </c>
      <c r="M12" s="95">
        <v>14.820300156207578</v>
      </c>
      <c r="N12" s="95">
        <v>14.720609193072546</v>
      </c>
      <c r="O12" s="95">
        <v>14.621160912576137</v>
      </c>
      <c r="P12" s="95">
        <v>14.521951421413991</v>
      </c>
      <c r="Q12" s="95">
        <v>14.422976909118004</v>
      </c>
      <c r="R12" s="95">
        <v>14.32423364586491</v>
      </c>
      <c r="S12" s="95">
        <v>14.225717980354025</v>
      </c>
      <c r="T12" s="95">
        <v>14.127426337751704</v>
      </c>
      <c r="U12" s="95">
        <v>14.029355217700001</v>
      </c>
      <c r="V12" s="95">
        <v>13.93150119238725</v>
      </c>
      <c r="W12" s="95">
        <v>13.833860904678309</v>
      </c>
      <c r="X12" s="95">
        <v>13.736431066302353</v>
      </c>
      <c r="Y12" s="95">
        <v>13.639208456096123</v>
      </c>
      <c r="Z12" s="95">
        <v>13.542189918300684</v>
      </c>
      <c r="AA12" s="95">
        <v>13.445372360909818</v>
      </c>
      <c r="AB12" s="95">
        <v>13.348752754068176</v>
      </c>
      <c r="AC12" s="95">
        <v>13.252328128517522</v>
      </c>
    </row>
    <row r="13" spans="1:29">
      <c r="A13" s="18" t="s">
        <v>97</v>
      </c>
      <c r="B13" s="95">
        <v>19.354429860626116</v>
      </c>
      <c r="C13" s="95">
        <v>18.75899579306332</v>
      </c>
      <c r="D13" s="95">
        <v>18.165351904966844</v>
      </c>
      <c r="E13" s="95">
        <v>17.573425508154287</v>
      </c>
      <c r="F13" s="95">
        <v>16.983147797119678</v>
      </c>
      <c r="G13" s="95">
        <v>16.3944535932058</v>
      </c>
      <c r="H13" s="95">
        <v>15.80728110874111</v>
      </c>
      <c r="I13" s="95">
        <v>15.221571729346822</v>
      </c>
      <c r="J13" s="95">
        <v>15.120869365086181</v>
      </c>
      <c r="K13" s="95">
        <v>15.020426131446611</v>
      </c>
      <c r="L13" s="95">
        <v>14.920237780385147</v>
      </c>
      <c r="M13" s="95">
        <v>14.820300156207578</v>
      </c>
      <c r="N13" s="95">
        <v>14.720609193072546</v>
      </c>
      <c r="O13" s="95">
        <v>14.621160912576137</v>
      </c>
      <c r="P13" s="95">
        <v>14.521951421413991</v>
      </c>
      <c r="Q13" s="95">
        <v>14.422976909118004</v>
      </c>
      <c r="R13" s="95">
        <v>14.32423364586491</v>
      </c>
      <c r="S13" s="95">
        <v>14.225717980354025</v>
      </c>
      <c r="T13" s="95">
        <v>14.127426337751704</v>
      </c>
      <c r="U13" s="95">
        <v>14.029355217700001</v>
      </c>
      <c r="V13" s="95">
        <v>13.93150119238725</v>
      </c>
      <c r="W13" s="95">
        <v>13.833860904678309</v>
      </c>
      <c r="X13" s="95">
        <v>13.736431066302353</v>
      </c>
      <c r="Y13" s="95">
        <v>13.639208456096123</v>
      </c>
      <c r="Z13" s="95">
        <v>13.542189918300684</v>
      </c>
      <c r="AA13" s="95">
        <v>13.445372360909818</v>
      </c>
      <c r="AB13" s="95">
        <v>13.348752754068176</v>
      </c>
      <c r="AC13" s="95">
        <v>13.252328128517522</v>
      </c>
    </row>
    <row r="14" spans="1:29">
      <c r="A14" s="18" t="s">
        <v>39</v>
      </c>
      <c r="B14" s="95">
        <v>25.481981878572736</v>
      </c>
      <c r="C14" s="95">
        <v>23.736124890369009</v>
      </c>
      <c r="D14" s="95">
        <v>21.990267902165286</v>
      </c>
      <c r="E14" s="95">
        <v>20.244410913961559</v>
      </c>
      <c r="F14" s="95">
        <v>18.498553925757832</v>
      </c>
      <c r="G14" s="95">
        <v>16.752696937554106</v>
      </c>
      <c r="H14" s="95">
        <v>15.006839949350381</v>
      </c>
      <c r="I14" s="95">
        <v>13.260982961146656</v>
      </c>
      <c r="J14" s="95">
        <v>13.152605425931542</v>
      </c>
      <c r="K14" s="95">
        <v>13.044227890716426</v>
      </c>
      <c r="L14" s="95">
        <v>12.93585035550131</v>
      </c>
      <c r="M14" s="95">
        <v>12.827472820286197</v>
      </c>
      <c r="N14" s="95">
        <v>12.719095285071081</v>
      </c>
      <c r="O14" s="95">
        <v>12.610717749855965</v>
      </c>
      <c r="P14" s="95">
        <v>12.502340214640851</v>
      </c>
      <c r="Q14" s="95">
        <v>12.393962679425735</v>
      </c>
      <c r="R14" s="95">
        <v>12.285585144210621</v>
      </c>
      <c r="S14" s="95">
        <v>12.177207608995506</v>
      </c>
      <c r="T14" s="95">
        <v>12.06883007378039</v>
      </c>
      <c r="U14" s="95">
        <v>11.960452538565276</v>
      </c>
      <c r="V14" s="95">
        <v>11.85207500335016</v>
      </c>
      <c r="W14" s="95">
        <v>11.743697468135045</v>
      </c>
      <c r="X14" s="95">
        <v>11.635319932919931</v>
      </c>
      <c r="Y14" s="95">
        <v>11.526942397704815</v>
      </c>
      <c r="Z14" s="95">
        <v>11.418564862489701</v>
      </c>
      <c r="AA14" s="95">
        <v>11.310187327274585</v>
      </c>
      <c r="AB14" s="95">
        <v>11.201809792059469</v>
      </c>
      <c r="AC14" s="95">
        <v>11.093432256844359</v>
      </c>
    </row>
    <row r="15" spans="1:29">
      <c r="A15" s="18" t="s">
        <v>40</v>
      </c>
      <c r="B15" s="95">
        <v>151</v>
      </c>
      <c r="C15" s="196" t="s">
        <v>71</v>
      </c>
      <c r="D15" s="196" t="s">
        <v>71</v>
      </c>
      <c r="E15" s="196" t="s">
        <v>71</v>
      </c>
      <c r="F15" s="196" t="s">
        <v>71</v>
      </c>
      <c r="G15" s="196" t="s">
        <v>71</v>
      </c>
      <c r="H15" s="196" t="s">
        <v>71</v>
      </c>
      <c r="I15" s="196" t="s">
        <v>71</v>
      </c>
      <c r="J15" s="196" t="s">
        <v>71</v>
      </c>
      <c r="K15" s="196" t="s">
        <v>71</v>
      </c>
      <c r="L15" s="196" t="s">
        <v>71</v>
      </c>
      <c r="M15" s="196" t="s">
        <v>71</v>
      </c>
      <c r="N15" s="196" t="s">
        <v>71</v>
      </c>
      <c r="O15" s="196" t="s">
        <v>71</v>
      </c>
      <c r="P15" s="196" t="s">
        <v>71</v>
      </c>
      <c r="Q15" s="196" t="s">
        <v>71</v>
      </c>
      <c r="R15" s="196" t="s">
        <v>71</v>
      </c>
      <c r="S15" s="196" t="s">
        <v>71</v>
      </c>
      <c r="T15" s="196" t="s">
        <v>71</v>
      </c>
      <c r="U15" s="196" t="s">
        <v>71</v>
      </c>
      <c r="V15" s="196" t="s">
        <v>71</v>
      </c>
      <c r="W15" s="196" t="s">
        <v>71</v>
      </c>
      <c r="X15" s="196" t="s">
        <v>71</v>
      </c>
      <c r="Y15" s="196" t="s">
        <v>71</v>
      </c>
      <c r="Z15" s="196" t="s">
        <v>71</v>
      </c>
      <c r="AA15" s="196" t="s">
        <v>71</v>
      </c>
      <c r="AB15" s="196" t="s">
        <v>71</v>
      </c>
      <c r="AC15" s="196" t="s">
        <v>71</v>
      </c>
    </row>
    <row r="16" spans="1:29">
      <c r="A16" s="18" t="s">
        <v>72</v>
      </c>
      <c r="B16" s="95">
        <v>17.82</v>
      </c>
      <c r="C16" s="196" t="s">
        <v>71</v>
      </c>
      <c r="D16" s="196" t="s">
        <v>71</v>
      </c>
      <c r="E16" s="196" t="s">
        <v>71</v>
      </c>
      <c r="F16" s="196" t="s">
        <v>71</v>
      </c>
      <c r="G16" s="196" t="s">
        <v>71</v>
      </c>
      <c r="H16" s="196" t="s">
        <v>71</v>
      </c>
      <c r="I16" s="196" t="s">
        <v>71</v>
      </c>
      <c r="J16" s="196" t="s">
        <v>71</v>
      </c>
      <c r="K16" s="196" t="s">
        <v>71</v>
      </c>
      <c r="L16" s="196" t="s">
        <v>71</v>
      </c>
      <c r="M16" s="196" t="s">
        <v>71</v>
      </c>
      <c r="N16" s="196" t="s">
        <v>71</v>
      </c>
      <c r="O16" s="196" t="s">
        <v>71</v>
      </c>
      <c r="P16" s="196" t="s">
        <v>71</v>
      </c>
      <c r="Q16" s="196" t="s">
        <v>71</v>
      </c>
      <c r="R16" s="196" t="s">
        <v>71</v>
      </c>
      <c r="S16" s="196" t="s">
        <v>71</v>
      </c>
      <c r="T16" s="196" t="s">
        <v>71</v>
      </c>
      <c r="U16" s="196" t="s">
        <v>71</v>
      </c>
      <c r="V16" s="196" t="s">
        <v>71</v>
      </c>
      <c r="W16" s="196" t="s">
        <v>71</v>
      </c>
      <c r="X16" s="196" t="s">
        <v>71</v>
      </c>
      <c r="Y16" s="196" t="s">
        <v>71</v>
      </c>
      <c r="Z16" s="196" t="s">
        <v>71</v>
      </c>
      <c r="AA16" s="196" t="s">
        <v>71</v>
      </c>
      <c r="AB16" s="196" t="s">
        <v>71</v>
      </c>
      <c r="AC16" s="196" t="s">
        <v>71</v>
      </c>
    </row>
    <row r="17" spans="1:29">
      <c r="A17" s="18" t="s">
        <v>73</v>
      </c>
      <c r="B17" s="95">
        <v>17.82</v>
      </c>
      <c r="C17" s="196" t="s">
        <v>71</v>
      </c>
      <c r="D17" s="196" t="s">
        <v>71</v>
      </c>
      <c r="E17" s="196" t="s">
        <v>71</v>
      </c>
      <c r="F17" s="196" t="s">
        <v>71</v>
      </c>
      <c r="G17" s="196" t="s">
        <v>71</v>
      </c>
      <c r="H17" s="196" t="s">
        <v>71</v>
      </c>
      <c r="I17" s="196" t="s">
        <v>71</v>
      </c>
      <c r="J17" s="196" t="s">
        <v>71</v>
      </c>
      <c r="K17" s="196" t="s">
        <v>71</v>
      </c>
      <c r="L17" s="196" t="s">
        <v>71</v>
      </c>
      <c r="M17" s="196" t="s">
        <v>71</v>
      </c>
      <c r="N17" s="196" t="s">
        <v>71</v>
      </c>
      <c r="O17" s="196" t="s">
        <v>71</v>
      </c>
      <c r="P17" s="196" t="s">
        <v>71</v>
      </c>
      <c r="Q17" s="196" t="s">
        <v>71</v>
      </c>
      <c r="R17" s="196" t="s">
        <v>71</v>
      </c>
      <c r="S17" s="196" t="s">
        <v>71</v>
      </c>
      <c r="T17" s="196" t="s">
        <v>71</v>
      </c>
      <c r="U17" s="196" t="s">
        <v>71</v>
      </c>
      <c r="V17" s="196" t="s">
        <v>71</v>
      </c>
      <c r="W17" s="196" t="s">
        <v>71</v>
      </c>
      <c r="X17" s="196" t="s">
        <v>71</v>
      </c>
      <c r="Y17" s="196" t="s">
        <v>71</v>
      </c>
      <c r="Z17" s="196" t="s">
        <v>71</v>
      </c>
      <c r="AA17" s="196" t="s">
        <v>71</v>
      </c>
      <c r="AB17" s="196" t="s">
        <v>71</v>
      </c>
      <c r="AC17" s="196" t="s">
        <v>71</v>
      </c>
    </row>
    <row r="18" spans="1:29" ht="17.25">
      <c r="A18" s="18" t="s">
        <v>98</v>
      </c>
      <c r="B18" s="95">
        <f>'Capital Cost Curves'!F16*0.025</f>
        <v>20.100916701068275</v>
      </c>
      <c r="C18" s="95">
        <f>'Capital Cost Curves'!G16*0.025</f>
        <v>19.067147039121629</v>
      </c>
      <c r="D18" s="95">
        <f>'Capital Cost Curves'!H16*0.025</f>
        <v>18.109273532481364</v>
      </c>
      <c r="E18" s="95">
        <f>'Capital Cost Curves'!I16*0.025</f>
        <v>17.574316346330036</v>
      </c>
      <c r="F18" s="95">
        <f>'Capital Cost Curves'!J16*0.025</f>
        <v>17.075503870534718</v>
      </c>
      <c r="G18" s="95">
        <f>'Capital Cost Curves'!K16*0.025</f>
        <v>16.435719287909752</v>
      </c>
      <c r="H18" s="95">
        <f>'Capital Cost Curves'!L16*0.025</f>
        <v>16.07787891894408</v>
      </c>
      <c r="I18" s="95">
        <f>'Capital Cost Curves'!M16*0.025</f>
        <v>15.615211153504767</v>
      </c>
      <c r="J18" s="95">
        <f>'Capital Cost Curves'!N16*0.025</f>
        <v>15.429382958254624</v>
      </c>
      <c r="K18" s="95">
        <f>'Capital Cost Curves'!O16*0.025</f>
        <v>15.234192818835801</v>
      </c>
      <c r="L18" s="95">
        <f>'Capital Cost Curves'!P16*0.025</f>
        <v>15.039002679417008</v>
      </c>
      <c r="M18" s="95">
        <f>'Capital Cost Curves'!Q16*0.025</f>
        <v>14.843812539998215</v>
      </c>
      <c r="N18" s="95">
        <f>'Capital Cost Curves'!R16*0.025</f>
        <v>14.648622400579393</v>
      </c>
      <c r="O18" s="95">
        <f>'Capital Cost Curves'!S16*0.025</f>
        <v>14.453432261160572</v>
      </c>
      <c r="P18" s="95">
        <f>'Capital Cost Curves'!T16*0.025</f>
        <v>14.258242121741748</v>
      </c>
      <c r="Q18" s="95">
        <f>'Capital Cost Curves'!U16*0.025</f>
        <v>14.063051982322959</v>
      </c>
      <c r="R18" s="95">
        <f>'Capital Cost Curves'!V16*0.025</f>
        <v>13.867861842904169</v>
      </c>
      <c r="S18" s="95">
        <f>'Capital Cost Curves'!W16*0.025</f>
        <v>13.672671703485342</v>
      </c>
      <c r="T18" s="95">
        <f>'Capital Cost Curves'!X16*0.025</f>
        <v>13.477481564066522</v>
      </c>
      <c r="U18" s="95">
        <f>'Capital Cost Curves'!Y16*0.025</f>
        <v>13.282291424647703</v>
      </c>
      <c r="V18" s="95">
        <f>'Capital Cost Curves'!Z16*0.025</f>
        <v>13.087101285228906</v>
      </c>
      <c r="W18" s="95">
        <f>'Capital Cost Curves'!AA16*0.025</f>
        <v>12.891911145810116</v>
      </c>
      <c r="X18" s="95">
        <f>'Capital Cost Curves'!AB16*0.025</f>
        <v>12.696721006391293</v>
      </c>
      <c r="Y18" s="95">
        <f>'Capital Cost Curves'!AC16*0.025</f>
        <v>12.501530866972475</v>
      </c>
      <c r="Z18" s="95">
        <f>'Capital Cost Curves'!AD16*0.025</f>
        <v>12.306340727553652</v>
      </c>
      <c r="AA18" s="95">
        <f>'Capital Cost Curves'!AE16*0.025</f>
        <v>12.111150588134862</v>
      </c>
      <c r="AB18" s="95">
        <f>'Capital Cost Curves'!AF16*0.025</f>
        <v>11.915960448716069</v>
      </c>
      <c r="AC18" s="95">
        <f>'Capital Cost Curves'!AG16*0.025</f>
        <v>11.723390994209097</v>
      </c>
    </row>
    <row r="19" spans="1:29" ht="17.25">
      <c r="A19" s="18" t="s">
        <v>99</v>
      </c>
      <c r="B19" s="95">
        <f>'Capital Cost Curves'!F17*0.025</f>
        <v>32.842705844276296</v>
      </c>
      <c r="C19" s="95">
        <f>'Capital Cost Curves'!G17*0.025</f>
        <v>30.516347513640053</v>
      </c>
      <c r="D19" s="95">
        <f>'Capital Cost Curves'!H17*0.025</f>
        <v>28.874212221426241</v>
      </c>
      <c r="E19" s="95">
        <f>'Capital Cost Curves'!I17*0.025</f>
        <v>27.642610752265877</v>
      </c>
      <c r="F19" s="95">
        <f>'Capital Cost Curves'!J17*0.025</f>
        <v>26.547853890789998</v>
      </c>
      <c r="G19" s="95">
        <f>'Capital Cost Curves'!K17*0.025</f>
        <v>25.316252421629642</v>
      </c>
      <c r="H19" s="95">
        <f>'Capital Cost Curves'!L17*0.025</f>
        <v>24.35834016783825</v>
      </c>
      <c r="I19" s="95">
        <f>'Capital Cost Curves'!M17*0.025</f>
        <v>23.400427914046855</v>
      </c>
      <c r="J19" s="95">
        <f>'Capital Cost Curves'!N17*0.025</f>
        <v>23.119554356774465</v>
      </c>
      <c r="K19" s="95">
        <f>'Capital Cost Curves'!O17*0.025</f>
        <v>22.827049007848839</v>
      </c>
      <c r="L19" s="95">
        <f>'Capital Cost Curves'!P17*0.025</f>
        <v>22.534543658923287</v>
      </c>
      <c r="M19" s="95">
        <f>'Capital Cost Curves'!Q17*0.025</f>
        <v>22.242038309997739</v>
      </c>
      <c r="N19" s="95">
        <f>'Capital Cost Curves'!R17*0.025</f>
        <v>21.949532961072109</v>
      </c>
      <c r="O19" s="95">
        <f>'Capital Cost Curves'!S17*0.025</f>
        <v>21.657027612146535</v>
      </c>
      <c r="P19" s="95">
        <f>'Capital Cost Curves'!T17*0.025</f>
        <v>21.364522263220906</v>
      </c>
      <c r="Q19" s="95">
        <f>'Capital Cost Curves'!U17*0.025</f>
        <v>21.072016914295357</v>
      </c>
      <c r="R19" s="95">
        <f>'Capital Cost Curves'!V17*0.025</f>
        <v>20.779511565369805</v>
      </c>
      <c r="S19" s="95">
        <f>'Capital Cost Curves'!W17*0.025</f>
        <v>20.487006216444179</v>
      </c>
      <c r="T19" s="95">
        <f>'Capital Cost Curves'!X17*0.025</f>
        <v>20.194500867518602</v>
      </c>
      <c r="U19" s="95">
        <f>'Capital Cost Curves'!Y17*0.025</f>
        <v>19.90199551859298</v>
      </c>
      <c r="V19" s="95">
        <f>'Capital Cost Curves'!Z17*0.025</f>
        <v>19.609490169667428</v>
      </c>
      <c r="W19" s="95">
        <f>'Capital Cost Curves'!AA17*0.025</f>
        <v>19.31698482074188</v>
      </c>
      <c r="X19" s="95">
        <f>'Capital Cost Curves'!AB17*0.025</f>
        <v>19.02447947181625</v>
      </c>
      <c r="Y19" s="95">
        <f>'Capital Cost Curves'!AC17*0.025</f>
        <v>18.731974122890676</v>
      </c>
      <c r="Z19" s="95">
        <f>'Capital Cost Curves'!AD17*0.025</f>
        <v>18.43946877396505</v>
      </c>
      <c r="AA19" s="95">
        <f>'Capital Cost Curves'!AE17*0.025</f>
        <v>18.146963425039502</v>
      </c>
      <c r="AB19" s="95">
        <f>'Capital Cost Curves'!AF17*0.025</f>
        <v>17.854458076113954</v>
      </c>
      <c r="AC19" s="95">
        <f>'Capital Cost Curves'!AG17*0.025</f>
        <v>17.561952727188324</v>
      </c>
    </row>
    <row r="20" spans="1:29" ht="17.25">
      <c r="A20" s="18" t="s">
        <v>100</v>
      </c>
      <c r="B20" s="95">
        <f>'Capital Cost Curves'!F18*0.025</f>
        <v>45.584494987484256</v>
      </c>
      <c r="C20" s="95">
        <f>'Capital Cost Curves'!G18*0.025</f>
        <v>41.98179409867619</v>
      </c>
      <c r="D20" s="95">
        <f>'Capital Cost Curves'!H18*0.025</f>
        <v>39.657361836046633</v>
      </c>
      <c r="E20" s="95">
        <f>'Capital Cost Curves'!I18*0.025</f>
        <v>37.738230643081458</v>
      </c>
      <c r="F20" s="95">
        <f>'Capital Cost Curves'!J18*0.025</f>
        <v>36.054660947238503</v>
      </c>
      <c r="G20" s="95">
        <f>'Capital Cost Curves'!K18*0.025</f>
        <v>34.235990894840761</v>
      </c>
      <c r="H20" s="95">
        <f>'Capital Cost Curves'!L18*0.025</f>
        <v>32.687521555552607</v>
      </c>
      <c r="I20" s="95">
        <f>'Capital Cost Curves'!M18*0.025</f>
        <v>31.239513356831878</v>
      </c>
      <c r="J20" s="95">
        <f>'Capital Cost Curves'!N18*0.025</f>
        <v>30.863014498692866</v>
      </c>
      <c r="K20" s="95">
        <f>'Capital Cost Curves'!O18*0.025</f>
        <v>30.472520581732411</v>
      </c>
      <c r="L20" s="95">
        <f>'Capital Cost Curves'!P18*0.025</f>
        <v>30.082026664772059</v>
      </c>
      <c r="M20" s="95">
        <f>'Capital Cost Curves'!Q18*0.025</f>
        <v>29.69153274781171</v>
      </c>
      <c r="N20" s="95">
        <f>'Capital Cost Curves'!R18*0.025</f>
        <v>29.301038830851247</v>
      </c>
      <c r="O20" s="95">
        <f>'Capital Cost Curves'!S18*0.025</f>
        <v>28.910544913890874</v>
      </c>
      <c r="P20" s="95">
        <f>'Capital Cost Curves'!T18*0.025</f>
        <v>28.520050996930408</v>
      </c>
      <c r="Q20" s="95">
        <f>'Capital Cost Curves'!U18*0.025</f>
        <v>28.129557079970063</v>
      </c>
      <c r="R20" s="95">
        <f>'Capital Cost Curves'!V18*0.025</f>
        <v>27.739063163009714</v>
      </c>
      <c r="S20" s="95">
        <f>'Capital Cost Curves'!W18*0.025</f>
        <v>27.348569246049252</v>
      </c>
      <c r="T20" s="95">
        <f>'Capital Cost Curves'!X18*0.025</f>
        <v>26.958075329088885</v>
      </c>
      <c r="U20" s="95">
        <f>'Capital Cost Curves'!Y18*0.025</f>
        <v>26.567581412128416</v>
      </c>
      <c r="V20" s="95">
        <f>'Capital Cost Curves'!Z18*0.025</f>
        <v>26.177087495168067</v>
      </c>
      <c r="W20" s="95">
        <f>'Capital Cost Curves'!AA18*0.025</f>
        <v>25.786593578207722</v>
      </c>
      <c r="X20" s="95">
        <f>'Capital Cost Curves'!AB18*0.025</f>
        <v>25.396099661247256</v>
      </c>
      <c r="Y20" s="95">
        <f>'Capital Cost Curves'!AC18*0.025</f>
        <v>25.005605744286886</v>
      </c>
      <c r="Z20" s="95">
        <f>'Capital Cost Curves'!AD18*0.025</f>
        <v>24.61511182732642</v>
      </c>
      <c r="AA20" s="95">
        <f>'Capital Cost Curves'!AE18*0.025</f>
        <v>24.224617910366078</v>
      </c>
      <c r="AB20" s="95">
        <f>'Capital Cost Curves'!AF18*0.025</f>
        <v>23.834123993405736</v>
      </c>
      <c r="AC20" s="95">
        <f>'Capital Cost Curves'!AG18*0.025</f>
        <v>23.441118547931072</v>
      </c>
    </row>
    <row r="21" spans="1:29" ht="17.25">
      <c r="A21" s="18" t="s">
        <v>101</v>
      </c>
      <c r="B21" s="95">
        <f>'Battery DER'!B25*0.025</f>
        <v>98.064325314945634</v>
      </c>
      <c r="C21" s="95">
        <f>'Battery DER'!C25*0.025</f>
        <v>91.035604827228212</v>
      </c>
      <c r="D21" s="95">
        <f>'Battery DER'!D25*0.025</f>
        <v>84.365937167659837</v>
      </c>
      <c r="E21" s="95">
        <f>'Battery DER'!E25*0.025</f>
        <v>80.954078029331356</v>
      </c>
      <c r="F21" s="95">
        <f>'Battery DER'!F25*0.025</f>
        <v>77.926058871045825</v>
      </c>
      <c r="G21" s="95">
        <f>'Battery DER'!G25*0.025</f>
        <v>75.326299968847721</v>
      </c>
      <c r="H21" s="95">
        <f>'Battery DER'!H25*0.025</f>
        <v>72.838786258937049</v>
      </c>
      <c r="I21" s="95">
        <f>'Battery DER'!I25*0.025</f>
        <v>70.58719747047742</v>
      </c>
      <c r="J21" s="95">
        <f>'Battery DER'!J25*0.025</f>
        <v>69.723932873887762</v>
      </c>
      <c r="K21" s="95">
        <f>'Battery DER'!K25*0.025</f>
        <v>68.841603250850355</v>
      </c>
      <c r="L21" s="95">
        <f>'Battery DER'!L25*0.025</f>
        <v>67.959273627812919</v>
      </c>
      <c r="M21" s="95">
        <f>'Battery DER'!M25*0.025</f>
        <v>67.076944004775598</v>
      </c>
      <c r="N21" s="95">
        <f>'Battery DER'!N25*0.025</f>
        <v>66.194614381738106</v>
      </c>
      <c r="O21" s="95">
        <f>'Battery DER'!O25*0.025</f>
        <v>65.312284758700827</v>
      </c>
      <c r="P21" s="95">
        <f>'Battery DER'!P25*0.025</f>
        <v>64.42995513566332</v>
      </c>
      <c r="Q21" s="95">
        <f>'Battery DER'!Q25*0.025</f>
        <v>63.547625512625956</v>
      </c>
      <c r="R21" s="95">
        <f>'Battery DER'!R25*0.025</f>
        <v>62.665295889588485</v>
      </c>
      <c r="S21" s="95">
        <f>'Battery DER'!S25*0.025</f>
        <v>61.782966266551128</v>
      </c>
      <c r="T21" s="95">
        <f>'Battery DER'!T25*0.025</f>
        <v>60.900636643513593</v>
      </c>
      <c r="U21" s="95">
        <f>'Battery DER'!U25*0.025</f>
        <v>60.0183070204763</v>
      </c>
      <c r="V21" s="95">
        <f>'Battery DER'!V25*0.025</f>
        <v>59.135977397438786</v>
      </c>
      <c r="W21" s="95">
        <f>'Battery DER'!W25*0.025</f>
        <v>58.253647774401387</v>
      </c>
      <c r="X21" s="95">
        <f>'Battery DER'!X25*0.025</f>
        <v>57.37131815136393</v>
      </c>
      <c r="Y21" s="95">
        <f>'Battery DER'!Y25*0.025</f>
        <v>56.488988528326573</v>
      </c>
      <c r="Z21" s="95">
        <f>'Battery DER'!Z25*0.025</f>
        <v>55.606658905289102</v>
      </c>
      <c r="AA21" s="95">
        <f>'Battery DER'!AA25*0.025</f>
        <v>54.724329282251738</v>
      </c>
      <c r="AB21" s="95">
        <f>'Battery DER'!AB25*0.025</f>
        <v>53.841999659214366</v>
      </c>
      <c r="AC21" s="95">
        <f>'Battery DER'!AC25*0.025</f>
        <v>52.940398102858097</v>
      </c>
    </row>
    <row r="22" spans="1:29" ht="17.25">
      <c r="A22" s="18" t="s">
        <v>102</v>
      </c>
      <c r="B22" s="196" t="s">
        <v>71</v>
      </c>
      <c r="C22" s="196" t="s">
        <v>71</v>
      </c>
      <c r="D22" s="196" t="s">
        <v>71</v>
      </c>
      <c r="E22" s="196" t="s">
        <v>71</v>
      </c>
      <c r="F22" s="196" t="s">
        <v>71</v>
      </c>
      <c r="G22" s="196" t="s">
        <v>71</v>
      </c>
      <c r="H22" s="196" t="s">
        <v>71</v>
      </c>
      <c r="I22" s="196" t="s">
        <v>71</v>
      </c>
      <c r="J22" s="196" t="s">
        <v>71</v>
      </c>
      <c r="K22" s="196" t="s">
        <v>71</v>
      </c>
      <c r="L22" s="196" t="s">
        <v>71</v>
      </c>
      <c r="M22" s="196" t="s">
        <v>71</v>
      </c>
      <c r="N22" s="196" t="s">
        <v>71</v>
      </c>
      <c r="O22" s="196" t="s">
        <v>71</v>
      </c>
      <c r="P22" s="196" t="s">
        <v>71</v>
      </c>
      <c r="Q22" s="196" t="s">
        <v>71</v>
      </c>
      <c r="R22" s="196" t="s">
        <v>71</v>
      </c>
      <c r="S22" s="196" t="s">
        <v>71</v>
      </c>
      <c r="T22" s="196" t="s">
        <v>71</v>
      </c>
      <c r="U22" s="196" t="s">
        <v>71</v>
      </c>
      <c r="V22" s="196" t="s">
        <v>71</v>
      </c>
      <c r="W22" s="196" t="s">
        <v>71</v>
      </c>
      <c r="X22" s="196" t="s">
        <v>71</v>
      </c>
      <c r="Y22" s="196" t="s">
        <v>71</v>
      </c>
      <c r="Z22" s="196" t="s">
        <v>71</v>
      </c>
      <c r="AA22" s="196" t="s">
        <v>71</v>
      </c>
      <c r="AB22" s="196" t="s">
        <v>71</v>
      </c>
      <c r="AC22" s="196" t="s">
        <v>71</v>
      </c>
    </row>
    <row r="23" spans="1:29" ht="17.25">
      <c r="A23" s="18" t="s">
        <v>103</v>
      </c>
      <c r="B23" s="196" t="s">
        <v>71</v>
      </c>
      <c r="C23" s="196" t="s">
        <v>71</v>
      </c>
      <c r="D23" s="196" t="s">
        <v>71</v>
      </c>
      <c r="E23" s="196" t="s">
        <v>71</v>
      </c>
      <c r="F23" s="196" t="s">
        <v>71</v>
      </c>
      <c r="G23" s="196" t="s">
        <v>71</v>
      </c>
      <c r="H23" s="196" t="s">
        <v>71</v>
      </c>
      <c r="I23" s="196" t="s">
        <v>71</v>
      </c>
      <c r="J23" s="196" t="s">
        <v>71</v>
      </c>
      <c r="K23" s="196" t="s">
        <v>71</v>
      </c>
      <c r="L23" s="196" t="s">
        <v>71</v>
      </c>
      <c r="M23" s="196" t="s">
        <v>71</v>
      </c>
      <c r="N23" s="196" t="s">
        <v>71</v>
      </c>
      <c r="O23" s="196" t="s">
        <v>71</v>
      </c>
      <c r="P23" s="196" t="s">
        <v>71</v>
      </c>
      <c r="Q23" s="196" t="s">
        <v>71</v>
      </c>
      <c r="R23" s="196" t="s">
        <v>71</v>
      </c>
      <c r="S23" s="196" t="s">
        <v>71</v>
      </c>
      <c r="T23" s="196" t="s">
        <v>71</v>
      </c>
      <c r="U23" s="196" t="s">
        <v>71</v>
      </c>
      <c r="V23" s="196" t="s">
        <v>71</v>
      </c>
      <c r="W23" s="196" t="s">
        <v>71</v>
      </c>
      <c r="X23" s="196" t="s">
        <v>71</v>
      </c>
      <c r="Y23" s="196" t="s">
        <v>71</v>
      </c>
      <c r="Z23" s="196" t="s">
        <v>71</v>
      </c>
      <c r="AA23" s="196" t="s">
        <v>71</v>
      </c>
      <c r="AB23" s="196" t="s">
        <v>71</v>
      </c>
      <c r="AC23" s="196" t="s">
        <v>71</v>
      </c>
    </row>
    <row r="24" spans="1:29" ht="17.25">
      <c r="A24" s="18" t="s">
        <v>104</v>
      </c>
      <c r="B24" s="196" t="s">
        <v>71</v>
      </c>
      <c r="C24" s="196" t="s">
        <v>71</v>
      </c>
      <c r="D24" s="196" t="s">
        <v>71</v>
      </c>
      <c r="E24" s="196" t="s">
        <v>71</v>
      </c>
      <c r="F24" s="196" t="s">
        <v>71</v>
      </c>
      <c r="G24" s="196" t="s">
        <v>71</v>
      </c>
      <c r="H24" s="196" t="s">
        <v>71</v>
      </c>
      <c r="I24" s="196" t="s">
        <v>71</v>
      </c>
      <c r="J24" s="196" t="s">
        <v>71</v>
      </c>
      <c r="K24" s="196" t="s">
        <v>71</v>
      </c>
      <c r="L24" s="196" t="s">
        <v>71</v>
      </c>
      <c r="M24" s="196" t="s">
        <v>71</v>
      </c>
      <c r="N24" s="196" t="s">
        <v>71</v>
      </c>
      <c r="O24" s="196" t="s">
        <v>71</v>
      </c>
      <c r="P24" s="196" t="s">
        <v>71</v>
      </c>
      <c r="Q24" s="196" t="s">
        <v>71</v>
      </c>
      <c r="R24" s="196" t="s">
        <v>71</v>
      </c>
      <c r="S24" s="196" t="s">
        <v>71</v>
      </c>
      <c r="T24" s="196" t="s">
        <v>71</v>
      </c>
      <c r="U24" s="196" t="s">
        <v>71</v>
      </c>
      <c r="V24" s="196" t="s">
        <v>71</v>
      </c>
      <c r="W24" s="196" t="s">
        <v>71</v>
      </c>
      <c r="X24" s="196" t="s">
        <v>71</v>
      </c>
      <c r="Y24" s="196" t="s">
        <v>71</v>
      </c>
      <c r="Z24" s="196" t="s">
        <v>71</v>
      </c>
      <c r="AA24" s="196" t="s">
        <v>71</v>
      </c>
      <c r="AB24" s="196" t="s">
        <v>71</v>
      </c>
      <c r="AC24" s="196" t="s">
        <v>71</v>
      </c>
    </row>
    <row r="25" spans="1:29" ht="17.25">
      <c r="A25" s="18" t="s">
        <v>105</v>
      </c>
      <c r="B25" s="95">
        <v>9.5186624999999996</v>
      </c>
      <c r="C25" s="196" t="s">
        <v>71</v>
      </c>
      <c r="D25" s="196" t="s">
        <v>71</v>
      </c>
      <c r="E25" s="196" t="s">
        <v>71</v>
      </c>
      <c r="F25" s="196" t="s">
        <v>71</v>
      </c>
      <c r="G25" s="196" t="s">
        <v>71</v>
      </c>
      <c r="H25" s="196" t="s">
        <v>71</v>
      </c>
      <c r="I25" s="196" t="s">
        <v>71</v>
      </c>
      <c r="J25" s="196" t="s">
        <v>71</v>
      </c>
      <c r="K25" s="196" t="s">
        <v>71</v>
      </c>
      <c r="L25" s="196" t="s">
        <v>71</v>
      </c>
      <c r="M25" s="196" t="s">
        <v>71</v>
      </c>
      <c r="N25" s="196" t="s">
        <v>71</v>
      </c>
      <c r="O25" s="196" t="s">
        <v>71</v>
      </c>
      <c r="P25" s="196" t="s">
        <v>71</v>
      </c>
      <c r="Q25" s="196" t="s">
        <v>71</v>
      </c>
      <c r="R25" s="196" t="s">
        <v>71</v>
      </c>
      <c r="S25" s="196" t="s">
        <v>71</v>
      </c>
      <c r="T25" s="196" t="s">
        <v>71</v>
      </c>
      <c r="U25" s="196" t="s">
        <v>71</v>
      </c>
      <c r="V25" s="196" t="s">
        <v>71</v>
      </c>
      <c r="W25" s="196" t="s">
        <v>71</v>
      </c>
      <c r="X25" s="196" t="s">
        <v>71</v>
      </c>
      <c r="Y25" s="196" t="s">
        <v>71</v>
      </c>
      <c r="Z25" s="196" t="s">
        <v>71</v>
      </c>
      <c r="AA25" s="196" t="s">
        <v>71</v>
      </c>
      <c r="AB25" s="196" t="s">
        <v>71</v>
      </c>
      <c r="AC25" s="196" t="s">
        <v>71</v>
      </c>
    </row>
    <row r="26" spans="1:29" ht="17.25">
      <c r="A26" s="18" t="s">
        <v>106</v>
      </c>
      <c r="B26" s="95">
        <v>22.672487499999995</v>
      </c>
      <c r="C26" s="196" t="s">
        <v>71</v>
      </c>
      <c r="D26" s="196" t="s">
        <v>71</v>
      </c>
      <c r="E26" s="196" t="s">
        <v>71</v>
      </c>
      <c r="F26" s="196" t="s">
        <v>71</v>
      </c>
      <c r="G26" s="196" t="s">
        <v>71</v>
      </c>
      <c r="H26" s="196" t="s">
        <v>71</v>
      </c>
      <c r="I26" s="196" t="s">
        <v>71</v>
      </c>
      <c r="J26" s="196" t="s">
        <v>71</v>
      </c>
      <c r="K26" s="196" t="s">
        <v>71</v>
      </c>
      <c r="L26" s="196" t="s">
        <v>71</v>
      </c>
      <c r="M26" s="196" t="s">
        <v>71</v>
      </c>
      <c r="N26" s="196" t="s">
        <v>71</v>
      </c>
      <c r="O26" s="196" t="s">
        <v>71</v>
      </c>
      <c r="P26" s="196" t="s">
        <v>71</v>
      </c>
      <c r="Q26" s="196" t="s">
        <v>71</v>
      </c>
      <c r="R26" s="196" t="s">
        <v>71</v>
      </c>
      <c r="S26" s="196" t="s">
        <v>71</v>
      </c>
      <c r="T26" s="196" t="s">
        <v>71</v>
      </c>
      <c r="U26" s="196" t="s">
        <v>71</v>
      </c>
      <c r="V26" s="196" t="s">
        <v>71</v>
      </c>
      <c r="W26" s="196" t="s">
        <v>71</v>
      </c>
      <c r="X26" s="196" t="s">
        <v>71</v>
      </c>
      <c r="Y26" s="196" t="s">
        <v>71</v>
      </c>
      <c r="Z26" s="196" t="s">
        <v>71</v>
      </c>
      <c r="AA26" s="196" t="s">
        <v>71</v>
      </c>
      <c r="AB26" s="196" t="s">
        <v>71</v>
      </c>
      <c r="AC26" s="196" t="s">
        <v>71</v>
      </c>
    </row>
    <row r="27" spans="1:29" ht="17.25">
      <c r="A27" s="18" t="s">
        <v>107</v>
      </c>
      <c r="B27" s="95">
        <v>14.530143749999999</v>
      </c>
      <c r="C27" s="196" t="s">
        <v>71</v>
      </c>
      <c r="D27" s="196" t="s">
        <v>71</v>
      </c>
      <c r="E27" s="196" t="s">
        <v>71</v>
      </c>
      <c r="F27" s="196" t="s">
        <v>71</v>
      </c>
      <c r="G27" s="196" t="s">
        <v>71</v>
      </c>
      <c r="H27" s="196" t="s">
        <v>71</v>
      </c>
      <c r="I27" s="196" t="s">
        <v>71</v>
      </c>
      <c r="J27" s="196" t="s">
        <v>71</v>
      </c>
      <c r="K27" s="196" t="s">
        <v>71</v>
      </c>
      <c r="L27" s="196" t="s">
        <v>71</v>
      </c>
      <c r="M27" s="196" t="s">
        <v>71</v>
      </c>
      <c r="N27" s="196" t="s">
        <v>71</v>
      </c>
      <c r="O27" s="196" t="s">
        <v>71</v>
      </c>
      <c r="P27" s="196" t="s">
        <v>71</v>
      </c>
      <c r="Q27" s="196" t="s">
        <v>71</v>
      </c>
      <c r="R27" s="196" t="s">
        <v>71</v>
      </c>
      <c r="S27" s="196" t="s">
        <v>71</v>
      </c>
      <c r="T27" s="196" t="s">
        <v>71</v>
      </c>
      <c r="U27" s="196" t="s">
        <v>71</v>
      </c>
      <c r="V27" s="196" t="s">
        <v>71</v>
      </c>
      <c r="W27" s="196" t="s">
        <v>71</v>
      </c>
      <c r="X27" s="196" t="s">
        <v>71</v>
      </c>
      <c r="Y27" s="196" t="s">
        <v>71</v>
      </c>
      <c r="Z27" s="196" t="s">
        <v>71</v>
      </c>
      <c r="AA27" s="196" t="s">
        <v>71</v>
      </c>
      <c r="AB27" s="196" t="s">
        <v>71</v>
      </c>
      <c r="AC27" s="196" t="s">
        <v>71</v>
      </c>
    </row>
    <row r="28" spans="1:29">
      <c r="A28" s="18" t="s">
        <v>53</v>
      </c>
      <c r="B28" s="95">
        <v>114</v>
      </c>
      <c r="C28" s="196" t="s">
        <v>71</v>
      </c>
      <c r="D28" s="196" t="s">
        <v>71</v>
      </c>
      <c r="E28" s="196" t="s">
        <v>71</v>
      </c>
      <c r="F28" s="196" t="s">
        <v>71</v>
      </c>
      <c r="G28" s="196" t="s">
        <v>71</v>
      </c>
      <c r="H28" s="196" t="s">
        <v>71</v>
      </c>
      <c r="I28" s="196" t="s">
        <v>71</v>
      </c>
      <c r="J28" s="196" t="s">
        <v>71</v>
      </c>
      <c r="K28" s="196" t="s">
        <v>71</v>
      </c>
      <c r="L28" s="196" t="s">
        <v>71</v>
      </c>
      <c r="M28" s="196" t="s">
        <v>71</v>
      </c>
      <c r="N28" s="196" t="s">
        <v>71</v>
      </c>
      <c r="O28" s="196" t="s">
        <v>71</v>
      </c>
      <c r="P28" s="196" t="s">
        <v>71</v>
      </c>
      <c r="Q28" s="196" t="s">
        <v>71</v>
      </c>
      <c r="R28" s="196" t="s">
        <v>71</v>
      </c>
      <c r="S28" s="196" t="s">
        <v>71</v>
      </c>
      <c r="T28" s="196" t="s">
        <v>71</v>
      </c>
      <c r="U28" s="196" t="s">
        <v>71</v>
      </c>
      <c r="V28" s="196" t="s">
        <v>71</v>
      </c>
      <c r="W28" s="196" t="s">
        <v>71</v>
      </c>
      <c r="X28" s="196" t="s">
        <v>71</v>
      </c>
      <c r="Y28" s="196" t="s">
        <v>71</v>
      </c>
      <c r="Z28" s="196" t="s">
        <v>71</v>
      </c>
      <c r="AA28" s="196" t="s">
        <v>71</v>
      </c>
      <c r="AB28" s="196" t="s">
        <v>71</v>
      </c>
      <c r="AC28" s="196" t="s">
        <v>71</v>
      </c>
    </row>
    <row r="29" spans="1:29">
      <c r="A29" s="133" t="s">
        <v>54</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row>
    <row r="30" spans="1:29">
      <c r="A30" s="133" t="s">
        <v>108</v>
      </c>
    </row>
    <row r="31" spans="1:29">
      <c r="A31" s="133" t="s">
        <v>109</v>
      </c>
    </row>
    <row r="32" spans="1:29">
      <c r="A32" s="133" t="s">
        <v>110</v>
      </c>
    </row>
  </sheetData>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workbookViewId="0"/>
  </sheetViews>
  <sheetFormatPr defaultRowHeight="15"/>
  <cols>
    <col min="1" max="1" width="26.7109375" customWidth="1"/>
    <col min="2" max="2" width="29.7109375" bestFit="1" customWidth="1"/>
    <col min="3" max="3" width="41.140625" bestFit="1" customWidth="1"/>
    <col min="4" max="4" width="8.42578125" bestFit="1" customWidth="1"/>
    <col min="5" max="5" width="13.28515625" bestFit="1" customWidth="1"/>
    <col min="6" max="6" width="13.5703125" bestFit="1" customWidth="1"/>
    <col min="7" max="7" width="19.28515625" bestFit="1" customWidth="1"/>
    <col min="8" max="8" width="18.5703125" bestFit="1" customWidth="1"/>
  </cols>
  <sheetData>
    <row r="1" spans="1:12" ht="21">
      <c r="A1" s="80" t="s">
        <v>111</v>
      </c>
    </row>
    <row r="4" spans="1:12" ht="17.25">
      <c r="A4" s="119" t="s">
        <v>112</v>
      </c>
      <c r="B4" s="119" t="s">
        <v>113</v>
      </c>
      <c r="C4" s="120" t="s">
        <v>114</v>
      </c>
      <c r="D4" s="120" t="s">
        <v>115</v>
      </c>
      <c r="E4" s="119" t="s">
        <v>116</v>
      </c>
      <c r="F4" s="119" t="s">
        <v>117</v>
      </c>
      <c r="G4" s="119" t="s">
        <v>118</v>
      </c>
      <c r="H4" s="119" t="s">
        <v>119</v>
      </c>
    </row>
    <row r="5" spans="1:12">
      <c r="A5" s="121"/>
      <c r="B5" s="121"/>
      <c r="C5" s="122"/>
      <c r="D5" s="123" t="s">
        <v>120</v>
      </c>
      <c r="E5" s="121" t="s">
        <v>121</v>
      </c>
      <c r="F5" s="121" t="s">
        <v>122</v>
      </c>
      <c r="G5" s="121" t="s">
        <v>123</v>
      </c>
      <c r="H5" s="121" t="s">
        <v>124</v>
      </c>
      <c r="L5" s="136"/>
    </row>
    <row r="6" spans="1:12" ht="15" customHeight="1">
      <c r="A6" s="124" t="s">
        <v>125</v>
      </c>
      <c r="B6" s="125">
        <v>20</v>
      </c>
      <c r="C6" s="130" t="s">
        <v>126</v>
      </c>
      <c r="D6" s="127">
        <v>100</v>
      </c>
      <c r="E6" s="127">
        <f>IF(D6&lt;300, 115, 230)</f>
        <v>115</v>
      </c>
      <c r="F6" s="125">
        <f>IF(E6=115, 2.8, 4.5)</f>
        <v>2.8</v>
      </c>
      <c r="G6" s="170">
        <f>(B6*F6*1000000)+3000000</f>
        <v>59000000</v>
      </c>
      <c r="H6" s="131">
        <f>G6/(D6*1000)</f>
        <v>590</v>
      </c>
      <c r="L6" s="136"/>
    </row>
    <row r="7" spans="1:12" ht="15" customHeight="1">
      <c r="A7" s="124" t="s">
        <v>127</v>
      </c>
      <c r="B7" s="125">
        <v>14</v>
      </c>
      <c r="C7" s="130" t="s">
        <v>128</v>
      </c>
      <c r="D7" s="127">
        <v>100</v>
      </c>
      <c r="E7" s="127">
        <f>IF(D7&lt;300, 115, 230)</f>
        <v>115</v>
      </c>
      <c r="F7" s="125">
        <f>IF(E7=115, 2.8, 4.5)</f>
        <v>2.8</v>
      </c>
      <c r="G7" s="170">
        <f>(B7*F7*1000000)+3000000</f>
        <v>42199999.999999993</v>
      </c>
      <c r="H7" s="131">
        <f>G7/(D7*1000)</f>
        <v>421.99999999999994</v>
      </c>
      <c r="L7" s="136"/>
    </row>
    <row r="8" spans="1:12" ht="15" customHeight="1">
      <c r="A8" s="124" t="s">
        <v>129</v>
      </c>
      <c r="B8" s="125">
        <v>4.5</v>
      </c>
      <c r="C8" s="126" t="s">
        <v>130</v>
      </c>
      <c r="D8" s="127">
        <v>100</v>
      </c>
      <c r="E8" s="127">
        <f>IF(D8&lt;300, 115, 230)</f>
        <v>115</v>
      </c>
      <c r="F8" s="125">
        <f>IF(E8=115, 2.8, 4.5)</f>
        <v>2.8</v>
      </c>
      <c r="G8" s="170">
        <f>(B8*F8*1000000)+3000000</f>
        <v>15600000</v>
      </c>
      <c r="H8" s="131">
        <f>G8/(D8*1000)</f>
        <v>156</v>
      </c>
      <c r="L8" s="136"/>
    </row>
    <row r="9" spans="1:12" ht="15" customHeight="1">
      <c r="A9" s="124" t="s">
        <v>131</v>
      </c>
      <c r="B9" s="128">
        <v>40.5</v>
      </c>
      <c r="C9" s="126" t="s">
        <v>130</v>
      </c>
      <c r="D9" s="129">
        <v>100</v>
      </c>
      <c r="E9" s="127">
        <f t="shared" ref="E9:E27" si="0">IF(D9&lt;300, 115, 230)</f>
        <v>115</v>
      </c>
      <c r="F9" s="125">
        <f>IF(E9=115, 2.8, 4.5)</f>
        <v>2.8</v>
      </c>
      <c r="G9" s="170">
        <f>(B9*F9*1000000)+3000000</f>
        <v>116399999.99999999</v>
      </c>
      <c r="H9" s="131">
        <f t="shared" ref="H9:H27" si="1">G9/(D9*1000)</f>
        <v>1163.9999999999998</v>
      </c>
      <c r="L9" s="136"/>
    </row>
    <row r="10" spans="1:12" ht="15" customHeight="1">
      <c r="A10" s="124" t="s">
        <v>132</v>
      </c>
      <c r="B10" s="128">
        <v>40.5</v>
      </c>
      <c r="C10" s="126" t="s">
        <v>130</v>
      </c>
      <c r="D10" s="129">
        <v>400</v>
      </c>
      <c r="E10" s="127">
        <f t="shared" si="0"/>
        <v>230</v>
      </c>
      <c r="F10" s="125">
        <f t="shared" ref="F10:F27" si="2">IF(E10=115, 2.8, 4.5)</f>
        <v>4.5</v>
      </c>
      <c r="G10" s="170">
        <f t="shared" ref="G10:G27" si="3">(B10*F10*1000000)+3000000</f>
        <v>185250000</v>
      </c>
      <c r="H10" s="131">
        <f t="shared" si="1"/>
        <v>463.125</v>
      </c>
      <c r="L10" s="136"/>
    </row>
    <row r="11" spans="1:12" ht="15" customHeight="1">
      <c r="A11" s="124" t="s">
        <v>133</v>
      </c>
      <c r="B11" s="128">
        <v>4.5</v>
      </c>
      <c r="C11" s="126" t="s">
        <v>130</v>
      </c>
      <c r="D11" s="129">
        <v>100</v>
      </c>
      <c r="E11" s="127">
        <f t="shared" si="0"/>
        <v>115</v>
      </c>
      <c r="F11" s="125">
        <f t="shared" si="2"/>
        <v>2.8</v>
      </c>
      <c r="G11" s="170">
        <f t="shared" si="3"/>
        <v>15600000</v>
      </c>
      <c r="H11" s="131">
        <f t="shared" si="1"/>
        <v>156</v>
      </c>
      <c r="L11" s="136"/>
    </row>
    <row r="12" spans="1:12" ht="15" customHeight="1">
      <c r="A12" s="124" t="s">
        <v>134</v>
      </c>
      <c r="B12" s="128">
        <v>40.5</v>
      </c>
      <c r="C12" s="126" t="s">
        <v>130</v>
      </c>
      <c r="D12" s="129">
        <v>400</v>
      </c>
      <c r="E12" s="127">
        <f t="shared" si="0"/>
        <v>230</v>
      </c>
      <c r="F12" s="125">
        <f t="shared" si="2"/>
        <v>4.5</v>
      </c>
      <c r="G12" s="170">
        <f t="shared" si="3"/>
        <v>185250000</v>
      </c>
      <c r="H12" s="131">
        <f t="shared" si="1"/>
        <v>463.125</v>
      </c>
      <c r="L12" s="136"/>
    </row>
    <row r="13" spans="1:12" ht="15" customHeight="1">
      <c r="A13" s="124" t="s">
        <v>39</v>
      </c>
      <c r="B13" s="125" t="s">
        <v>71</v>
      </c>
      <c r="C13" s="130" t="s">
        <v>71</v>
      </c>
      <c r="D13" s="127">
        <v>300</v>
      </c>
      <c r="E13" s="127" t="s">
        <v>71</v>
      </c>
      <c r="F13" s="127" t="s">
        <v>71</v>
      </c>
      <c r="G13" s="170" t="s">
        <v>71</v>
      </c>
      <c r="H13" s="131"/>
      <c r="L13" s="136"/>
    </row>
    <row r="14" spans="1:12" ht="15" customHeight="1">
      <c r="A14" s="124" t="s">
        <v>135</v>
      </c>
      <c r="B14" s="128">
        <v>2</v>
      </c>
      <c r="C14" s="132" t="s">
        <v>136</v>
      </c>
      <c r="D14" s="129">
        <v>15</v>
      </c>
      <c r="E14" s="127">
        <f t="shared" si="0"/>
        <v>115</v>
      </c>
      <c r="F14" s="125">
        <f t="shared" si="2"/>
        <v>2.8</v>
      </c>
      <c r="G14" s="170">
        <f>(B14*F14*1000000)+3000000</f>
        <v>8600000</v>
      </c>
      <c r="H14" s="131">
        <f t="shared" si="1"/>
        <v>573.33333333333337</v>
      </c>
      <c r="L14" s="136"/>
    </row>
    <row r="15" spans="1:12" ht="15" customHeight="1">
      <c r="A15" s="124" t="s">
        <v>137</v>
      </c>
      <c r="B15" s="128">
        <v>17</v>
      </c>
      <c r="C15" s="126" t="s">
        <v>136</v>
      </c>
      <c r="D15" s="129">
        <v>100</v>
      </c>
      <c r="E15" s="127">
        <f t="shared" si="0"/>
        <v>115</v>
      </c>
      <c r="F15" s="125">
        <f t="shared" si="2"/>
        <v>2.8</v>
      </c>
      <c r="G15" s="170">
        <f>(B15*F15*1000000)+3000000</f>
        <v>50599999.999999993</v>
      </c>
      <c r="H15" s="131">
        <f>G15/(D15*1000)</f>
        <v>505.99999999999994</v>
      </c>
      <c r="L15" s="136"/>
    </row>
    <row r="16" spans="1:12" ht="15" customHeight="1">
      <c r="A16" s="124" t="s">
        <v>138</v>
      </c>
      <c r="B16" s="128">
        <v>6</v>
      </c>
      <c r="C16" s="126" t="s">
        <v>136</v>
      </c>
      <c r="D16" s="129">
        <v>100</v>
      </c>
      <c r="E16" s="127">
        <f t="shared" si="0"/>
        <v>115</v>
      </c>
      <c r="F16" s="125">
        <f t="shared" si="2"/>
        <v>2.8</v>
      </c>
      <c r="G16" s="170">
        <f>(B16*F16*1000000)+3000000</f>
        <v>19799999.999999996</v>
      </c>
      <c r="H16" s="131">
        <f>G16/(D16*1000)</f>
        <v>197.99999999999997</v>
      </c>
      <c r="L16" s="136"/>
    </row>
    <row r="17" spans="1:12" ht="15" customHeight="1">
      <c r="A17" s="124" t="s">
        <v>139</v>
      </c>
      <c r="B17" s="128">
        <v>1</v>
      </c>
      <c r="C17" s="126" t="s">
        <v>130</v>
      </c>
      <c r="D17" s="129">
        <v>100</v>
      </c>
      <c r="E17" s="127">
        <f t="shared" si="0"/>
        <v>115</v>
      </c>
      <c r="F17" s="125">
        <f t="shared" si="2"/>
        <v>2.8</v>
      </c>
      <c r="G17" s="170">
        <f t="shared" si="3"/>
        <v>5800000</v>
      </c>
      <c r="H17" s="131">
        <f t="shared" si="1"/>
        <v>58</v>
      </c>
      <c r="L17" s="136"/>
    </row>
    <row r="18" spans="1:12" ht="15" customHeight="1">
      <c r="A18" s="124" t="s">
        <v>140</v>
      </c>
      <c r="B18" s="128">
        <v>1</v>
      </c>
      <c r="C18" s="126" t="s">
        <v>130</v>
      </c>
      <c r="D18" s="129">
        <v>100</v>
      </c>
      <c r="E18" s="127">
        <f t="shared" si="0"/>
        <v>115</v>
      </c>
      <c r="F18" s="125">
        <f t="shared" si="2"/>
        <v>2.8</v>
      </c>
      <c r="G18" s="170">
        <f t="shared" si="3"/>
        <v>5800000</v>
      </c>
      <c r="H18" s="131">
        <f t="shared" si="1"/>
        <v>58</v>
      </c>
      <c r="L18" s="136"/>
    </row>
    <row r="19" spans="1:12" ht="15" customHeight="1">
      <c r="A19" s="124" t="s">
        <v>141</v>
      </c>
      <c r="B19" s="128">
        <v>1</v>
      </c>
      <c r="C19" s="126" t="s">
        <v>130</v>
      </c>
      <c r="D19" s="129">
        <v>100</v>
      </c>
      <c r="E19" s="127">
        <f t="shared" si="0"/>
        <v>115</v>
      </c>
      <c r="F19" s="125">
        <f t="shared" si="2"/>
        <v>2.8</v>
      </c>
      <c r="G19" s="170">
        <f t="shared" si="3"/>
        <v>5800000</v>
      </c>
      <c r="H19" s="131">
        <f t="shared" si="1"/>
        <v>58</v>
      </c>
      <c r="L19" s="136"/>
    </row>
    <row r="20" spans="1:12" ht="15" customHeight="1">
      <c r="A20" s="124" t="s">
        <v>46</v>
      </c>
      <c r="B20" s="125" t="s">
        <v>71</v>
      </c>
      <c r="C20" s="130" t="s">
        <v>71</v>
      </c>
      <c r="D20" s="127" t="s">
        <v>142</v>
      </c>
      <c r="E20" s="127" t="s">
        <v>71</v>
      </c>
      <c r="F20" s="127" t="s">
        <v>71</v>
      </c>
      <c r="G20" s="170" t="s">
        <v>71</v>
      </c>
      <c r="H20" s="131"/>
      <c r="L20" s="136"/>
    </row>
    <row r="21" spans="1:12" ht="15" customHeight="1">
      <c r="A21" s="124" t="s">
        <v>143</v>
      </c>
      <c r="B21" s="125">
        <v>4.5</v>
      </c>
      <c r="C21" s="126" t="s">
        <v>130</v>
      </c>
      <c r="D21" s="127">
        <v>150</v>
      </c>
      <c r="E21" s="127">
        <f t="shared" si="0"/>
        <v>115</v>
      </c>
      <c r="F21" s="125">
        <f t="shared" si="2"/>
        <v>2.8</v>
      </c>
      <c r="G21" s="170">
        <f t="shared" si="3"/>
        <v>15600000</v>
      </c>
      <c r="H21" s="131">
        <f t="shared" si="1"/>
        <v>104</v>
      </c>
      <c r="L21" s="136"/>
    </row>
    <row r="22" spans="1:12" ht="15" customHeight="1">
      <c r="A22" s="124" t="s">
        <v>144</v>
      </c>
      <c r="B22" s="128">
        <v>4.5</v>
      </c>
      <c r="C22" s="126" t="s">
        <v>130</v>
      </c>
      <c r="D22" s="129">
        <v>150</v>
      </c>
      <c r="E22" s="127">
        <f t="shared" si="0"/>
        <v>115</v>
      </c>
      <c r="F22" s="125">
        <f t="shared" si="2"/>
        <v>2.8</v>
      </c>
      <c r="G22" s="170">
        <f t="shared" si="3"/>
        <v>15600000</v>
      </c>
      <c r="H22" s="131">
        <f t="shared" si="1"/>
        <v>104</v>
      </c>
      <c r="L22" s="136"/>
    </row>
    <row r="23" spans="1:12" ht="15" customHeight="1">
      <c r="A23" s="124" t="s">
        <v>145</v>
      </c>
      <c r="B23" s="128">
        <v>4.5</v>
      </c>
      <c r="C23" s="126" t="s">
        <v>130</v>
      </c>
      <c r="D23" s="129">
        <v>250</v>
      </c>
      <c r="E23" s="127">
        <f t="shared" si="0"/>
        <v>115</v>
      </c>
      <c r="F23" s="125">
        <f t="shared" si="2"/>
        <v>2.8</v>
      </c>
      <c r="G23" s="170">
        <f t="shared" si="3"/>
        <v>15600000</v>
      </c>
      <c r="H23" s="131">
        <f t="shared" si="1"/>
        <v>62.4</v>
      </c>
      <c r="L23" s="136"/>
    </row>
    <row r="24" spans="1:12" ht="15" customHeight="1">
      <c r="A24" s="124" t="s">
        <v>146</v>
      </c>
      <c r="B24" s="128">
        <v>1</v>
      </c>
      <c r="C24" s="126" t="s">
        <v>130</v>
      </c>
      <c r="D24" s="129">
        <v>225</v>
      </c>
      <c r="E24" s="127">
        <f t="shared" si="0"/>
        <v>115</v>
      </c>
      <c r="F24" s="125">
        <f t="shared" si="2"/>
        <v>2.8</v>
      </c>
      <c r="G24" s="170">
        <f t="shared" si="3"/>
        <v>5800000</v>
      </c>
      <c r="H24" s="131">
        <f t="shared" si="1"/>
        <v>25.777777777777779</v>
      </c>
      <c r="L24" s="136"/>
    </row>
    <row r="25" spans="1:12" ht="15" customHeight="1">
      <c r="A25" s="124" t="s">
        <v>147</v>
      </c>
      <c r="B25" s="128">
        <v>1</v>
      </c>
      <c r="C25" s="126" t="s">
        <v>130</v>
      </c>
      <c r="D25" s="129">
        <v>336</v>
      </c>
      <c r="E25" s="127">
        <f t="shared" si="0"/>
        <v>230</v>
      </c>
      <c r="F25" s="125">
        <f t="shared" si="2"/>
        <v>4.5</v>
      </c>
      <c r="G25" s="170">
        <f t="shared" si="3"/>
        <v>7500000</v>
      </c>
      <c r="H25" s="131">
        <f t="shared" si="1"/>
        <v>22.321428571428573</v>
      </c>
      <c r="L25" s="136"/>
    </row>
    <row r="26" spans="1:12" ht="15" customHeight="1">
      <c r="A26" s="124" t="s">
        <v>148</v>
      </c>
      <c r="B26" s="128">
        <v>1</v>
      </c>
      <c r="C26" s="126" t="s">
        <v>130</v>
      </c>
      <c r="D26" s="129">
        <v>219</v>
      </c>
      <c r="E26" s="127">
        <f t="shared" si="0"/>
        <v>115</v>
      </c>
      <c r="F26" s="125">
        <f t="shared" si="2"/>
        <v>2.8</v>
      </c>
      <c r="G26" s="170">
        <f t="shared" si="3"/>
        <v>5800000</v>
      </c>
      <c r="H26" s="131">
        <f t="shared" si="1"/>
        <v>26.484018264840184</v>
      </c>
      <c r="L26" s="136"/>
    </row>
    <row r="27" spans="1:12" ht="15" customHeight="1">
      <c r="A27" s="124" t="s">
        <v>149</v>
      </c>
      <c r="B27" s="128">
        <v>1</v>
      </c>
      <c r="C27" s="126" t="s">
        <v>130</v>
      </c>
      <c r="D27" s="129">
        <v>600</v>
      </c>
      <c r="E27" s="127">
        <f t="shared" si="0"/>
        <v>230</v>
      </c>
      <c r="F27" s="125">
        <f t="shared" si="2"/>
        <v>4.5</v>
      </c>
      <c r="G27" s="170">
        <f t="shared" si="3"/>
        <v>7500000</v>
      </c>
      <c r="H27" s="131">
        <f t="shared" si="1"/>
        <v>12.5</v>
      </c>
    </row>
    <row r="28" spans="1:12">
      <c r="A28" s="136" t="s">
        <v>54</v>
      </c>
    </row>
    <row r="29" spans="1:12">
      <c r="A29" s="135" t="s">
        <v>150</v>
      </c>
      <c r="B29" s="133"/>
      <c r="C29" s="133"/>
      <c r="D29" s="133"/>
    </row>
    <row r="30" spans="1:12">
      <c r="A30" s="135" t="s">
        <v>151</v>
      </c>
      <c r="B30" s="133"/>
      <c r="C30" s="133"/>
      <c r="D30" s="133"/>
    </row>
    <row r="31" spans="1:12">
      <c r="A31" s="135" t="s">
        <v>152</v>
      </c>
      <c r="B31" s="133"/>
      <c r="C31" s="133"/>
      <c r="D31" s="133"/>
    </row>
    <row r="32" spans="1:12">
      <c r="A32" s="176" t="s">
        <v>153</v>
      </c>
      <c r="B32" s="133"/>
      <c r="C32" s="133"/>
      <c r="D32" s="133"/>
    </row>
    <row r="33" spans="1:4">
      <c r="A33" s="135" t="s">
        <v>154</v>
      </c>
      <c r="B33" s="133"/>
      <c r="C33" s="133"/>
      <c r="D33" s="133"/>
    </row>
    <row r="34" spans="1:4">
      <c r="A34" s="135" t="s">
        <v>155</v>
      </c>
      <c r="B34" s="133"/>
      <c r="C34" s="133"/>
      <c r="D34" s="133"/>
    </row>
    <row r="35" spans="1:4">
      <c r="A35" s="135" t="s">
        <v>156</v>
      </c>
      <c r="B35" s="133"/>
      <c r="C35" s="133"/>
      <c r="D35" s="133"/>
    </row>
    <row r="36" spans="1:4">
      <c r="A36" s="135" t="s">
        <v>157</v>
      </c>
      <c r="B36" s="133"/>
      <c r="C36" s="133"/>
    </row>
    <row r="37" spans="1:4">
      <c r="A37" s="135" t="s">
        <v>158</v>
      </c>
    </row>
    <row r="38" spans="1:4">
      <c r="A38" s="135" t="s">
        <v>159</v>
      </c>
    </row>
    <row r="39" spans="1:4">
      <c r="A39" s="134"/>
    </row>
    <row r="40" spans="1:4">
      <c r="B40" s="133"/>
    </row>
    <row r="41" spans="1:4">
      <c r="B41" s="134"/>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
  <sheetViews>
    <sheetView workbookViewId="0">
      <selection activeCell="F27" sqref="F27"/>
    </sheetView>
  </sheetViews>
  <sheetFormatPr defaultRowHeight="15" outlineLevelCol="1"/>
  <cols>
    <col min="1" max="1" width="3.28515625" customWidth="1"/>
    <col min="2" max="2" width="39" customWidth="1"/>
    <col min="3" max="3" width="16.7109375" hidden="1" customWidth="1" outlineLevel="1"/>
    <col min="4" max="4" width="14.140625" hidden="1" customWidth="1" outlineLevel="1"/>
    <col min="5" max="5" width="12.7109375" hidden="1" customWidth="1" outlineLevel="1"/>
    <col min="6" max="6" width="15.7109375" customWidth="1" collapsed="1"/>
    <col min="7" max="37" width="9.5703125" bestFit="1" customWidth="1"/>
  </cols>
  <sheetData>
    <row r="1" spans="1:33" ht="21">
      <c r="A1" s="80" t="s">
        <v>160</v>
      </c>
      <c r="C1" s="80"/>
      <c r="D1" s="80"/>
      <c r="E1" s="80"/>
    </row>
    <row r="3" spans="1:33" ht="21">
      <c r="A3" s="80" t="s">
        <v>161</v>
      </c>
    </row>
    <row r="4" spans="1:33">
      <c r="B4" s="112" t="s">
        <v>95</v>
      </c>
      <c r="C4" s="112">
        <v>2020</v>
      </c>
      <c r="D4" s="112">
        <v>2021</v>
      </c>
      <c r="E4" s="112">
        <v>2022</v>
      </c>
      <c r="F4" s="18">
        <v>2023</v>
      </c>
      <c r="G4" s="18">
        <v>2024</v>
      </c>
      <c r="H4" s="18">
        <v>2025</v>
      </c>
      <c r="I4" s="18">
        <v>2026</v>
      </c>
      <c r="J4" s="18">
        <v>2027</v>
      </c>
      <c r="K4" s="18">
        <v>2028</v>
      </c>
      <c r="L4" s="18">
        <v>2029</v>
      </c>
      <c r="M4" s="18">
        <v>2030</v>
      </c>
      <c r="N4" s="18">
        <v>2031</v>
      </c>
      <c r="O4" s="18">
        <v>2032</v>
      </c>
      <c r="P4" s="18">
        <v>2033</v>
      </c>
      <c r="Q4" s="18">
        <v>2034</v>
      </c>
      <c r="R4" s="18">
        <v>2035</v>
      </c>
      <c r="S4" s="18">
        <v>2036</v>
      </c>
      <c r="T4" s="18">
        <v>2037</v>
      </c>
      <c r="U4" s="18">
        <v>2038</v>
      </c>
      <c r="V4" s="18">
        <v>2039</v>
      </c>
      <c r="W4" s="18">
        <v>2040</v>
      </c>
      <c r="X4" s="18">
        <v>2041</v>
      </c>
      <c r="Y4" s="18">
        <v>2042</v>
      </c>
      <c r="Z4" s="18">
        <v>2043</v>
      </c>
      <c r="AA4" s="18">
        <v>2044</v>
      </c>
      <c r="AB4" s="18">
        <v>2045</v>
      </c>
      <c r="AC4" s="18">
        <v>2046</v>
      </c>
      <c r="AD4" s="18">
        <v>2047</v>
      </c>
      <c r="AE4" s="18">
        <v>2048</v>
      </c>
      <c r="AF4" s="18">
        <v>2049</v>
      </c>
      <c r="AG4" s="18">
        <v>2050</v>
      </c>
    </row>
    <row r="5" spans="1:33">
      <c r="B5" s="18" t="s">
        <v>96</v>
      </c>
      <c r="C5" s="18"/>
      <c r="D5" s="18"/>
      <c r="E5" s="18"/>
      <c r="F5" s="111">
        <f>'Offshore Wind'!B31</f>
        <v>4728.1641758045389</v>
      </c>
      <c r="G5" s="111">
        <f>'Offshore Wind'!C31</f>
        <v>4599.8595561826396</v>
      </c>
      <c r="H5" s="111">
        <f>'Offshore Wind'!D31</f>
        <v>4495.0270487875168</v>
      </c>
      <c r="I5" s="111">
        <f>'Offshore Wind'!E31</f>
        <v>4415.1774068772838</v>
      </c>
      <c r="J5" s="111">
        <f>'Offshore Wind'!F31</f>
        <v>4346.8898841870778</v>
      </c>
      <c r="K5" s="111">
        <f>'Offshore Wind'!G31</f>
        <v>4287.4173439635842</v>
      </c>
      <c r="L5" s="111">
        <f>'Offshore Wind'!H31</f>
        <v>4234.8859302657229</v>
      </c>
      <c r="M5" s="111">
        <f>'Offshore Wind'!I31</f>
        <v>4187.9604244539687</v>
      </c>
      <c r="N5" s="111">
        <f>'Offshore Wind'!J31</f>
        <v>4137.429857493099</v>
      </c>
      <c r="O5" s="111">
        <f>'Offshore Wind'!K31</f>
        <v>4090.9462419044276</v>
      </c>
      <c r="P5" s="111">
        <f>'Offshore Wind'!L31</f>
        <v>4047.9091359671856</v>
      </c>
      <c r="Q5" s="111">
        <f>'Offshore Wind'!M31</f>
        <v>4007.8425488942157</v>
      </c>
      <c r="R5" s="111">
        <f>'Offshore Wind'!N31</f>
        <v>3970.3627597364575</v>
      </c>
      <c r="S5" s="111">
        <f>'Offshore Wind'!O31</f>
        <v>3935.1559095731986</v>
      </c>
      <c r="T5" s="111">
        <f>'Offshore Wind'!P31</f>
        <v>3901.9620082945085</v>
      </c>
      <c r="U5" s="111">
        <f>'Offshore Wind'!Q31</f>
        <v>3870.5632712637012</v>
      </c>
      <c r="V5" s="111">
        <f>'Offshore Wind'!R31</f>
        <v>3840.7754511375738</v>
      </c>
      <c r="W5" s="111">
        <f>'Offshore Wind'!S31</f>
        <v>3812.4412867685955</v>
      </c>
      <c r="X5" s="111">
        <f>'Offshore Wind'!T31</f>
        <v>3785.4254774987353</v>
      </c>
      <c r="Y5" s="111">
        <f>'Offshore Wind'!U31</f>
        <v>3759.6107755272697</v>
      </c>
      <c r="Z5" s="111">
        <f>'Offshore Wind'!V31</f>
        <v>3734.8949105378661</v>
      </c>
      <c r="AA5" s="111">
        <f>'Offshore Wind'!W31</f>
        <v>3711.18814253869</v>
      </c>
      <c r="AB5" s="111">
        <f>'Offshore Wind'!X31</f>
        <v>3688.4112949491951</v>
      </c>
      <c r="AC5" s="111">
        <f>'Offshore Wind'!Y31</f>
        <v>3666.4941590959179</v>
      </c>
      <c r="AD5" s="111">
        <f>'Offshore Wind'!Z31</f>
        <v>3645.3741890119536</v>
      </c>
      <c r="AE5" s="111">
        <f>'Offshore Wind'!AA31</f>
        <v>3624.9954253741812</v>
      </c>
      <c r="AF5" s="111">
        <f>'Offshore Wind'!AB31</f>
        <v>3605.3076019389823</v>
      </c>
      <c r="AG5" s="111">
        <f>'Offshore Wind'!AC31</f>
        <v>3586.2653985499969</v>
      </c>
    </row>
    <row r="6" spans="1:33">
      <c r="B6" s="18" t="s">
        <v>33</v>
      </c>
      <c r="C6" s="18"/>
      <c r="D6" s="18"/>
      <c r="E6" s="18"/>
      <c r="F6" s="111">
        <f>'Wind BC'!B30</f>
        <v>1730.3999999999999</v>
      </c>
      <c r="G6" s="111">
        <f>'Wind BC'!C30</f>
        <v>1662.6863955976764</v>
      </c>
      <c r="H6" s="111">
        <f>'Wind BC'!D30</f>
        <v>1594.972791195353</v>
      </c>
      <c r="I6" s="111">
        <f>'Wind BC'!E30</f>
        <v>1529.1598922080955</v>
      </c>
      <c r="J6" s="111">
        <f>'Wind BC'!F30</f>
        <v>1463.1796459406828</v>
      </c>
      <c r="K6" s="111">
        <f>'Wind BC'!G30</f>
        <v>1397.0318897308782</v>
      </c>
      <c r="L6" s="111">
        <f>'Wind BC'!H30</f>
        <v>1330.7164602022794</v>
      </c>
      <c r="M6" s="111">
        <f>'Wind BC'!I30</f>
        <v>1264.233193267278</v>
      </c>
      <c r="N6" s="111">
        <f>'Wind BC'!J30</f>
        <v>1251.5908613346053</v>
      </c>
      <c r="O6" s="111">
        <f>'Wind BC'!K30</f>
        <v>1238.9485294019323</v>
      </c>
      <c r="P6" s="111">
        <f>'Wind BC'!L30</f>
        <v>1226.3061974692596</v>
      </c>
      <c r="Q6" s="111">
        <f>'Wind BC'!M30</f>
        <v>1213.6638655365866</v>
      </c>
      <c r="R6" s="111">
        <f>'Wind BC'!N30</f>
        <v>1201.0215336039139</v>
      </c>
      <c r="S6" s="111">
        <f>'Wind BC'!O30</f>
        <v>1188.3792016712412</v>
      </c>
      <c r="T6" s="111">
        <f>'Wind BC'!P30</f>
        <v>1175.7368697385682</v>
      </c>
      <c r="U6" s="111">
        <f>'Wind BC'!Q30</f>
        <v>1163.0945378058955</v>
      </c>
      <c r="V6" s="111">
        <f>'Wind BC'!R30</f>
        <v>1150.4522058732227</v>
      </c>
      <c r="W6" s="111">
        <f>'Wind BC'!S30</f>
        <v>1137.8098739405498</v>
      </c>
      <c r="X6" s="111">
        <f>'Wind BC'!T30</f>
        <v>1125.167542007877</v>
      </c>
      <c r="Y6" s="111">
        <f>'Wind BC'!U30</f>
        <v>1112.5252100752043</v>
      </c>
      <c r="Z6" s="111">
        <f>'Wind BC'!V30</f>
        <v>1099.8828781425316</v>
      </c>
      <c r="AA6" s="111">
        <f>'Wind BC'!W30</f>
        <v>1087.2405462098586</v>
      </c>
      <c r="AB6" s="111">
        <f>'Wind BC'!X30</f>
        <v>1074.5982142771859</v>
      </c>
      <c r="AC6" s="111">
        <f>'Wind BC'!Y30</f>
        <v>1061.9558823445132</v>
      </c>
      <c r="AD6" s="111">
        <f>'Wind BC'!Z30</f>
        <v>1049.3135504118402</v>
      </c>
      <c r="AE6" s="111">
        <f>'Wind BC'!AA30</f>
        <v>1036.6712184791675</v>
      </c>
      <c r="AF6" s="111">
        <f>'Wind BC'!AB30</f>
        <v>1024.0288865464945</v>
      </c>
      <c r="AG6" s="111">
        <f>'Wind BC'!AC30</f>
        <v>1011.3865546138218</v>
      </c>
    </row>
    <row r="7" spans="1:33">
      <c r="B7" s="18" t="s">
        <v>34</v>
      </c>
      <c r="C7" s="18"/>
      <c r="D7" s="18"/>
      <c r="E7" s="18"/>
      <c r="F7" s="141">
        <f>'Wind WA'!B30</f>
        <v>1464.4</v>
      </c>
      <c r="G7" s="141">
        <f>'Wind WA'!C30</f>
        <v>1407.0954448180985</v>
      </c>
      <c r="H7" s="141">
        <f>'Wind WA'!D30</f>
        <v>1349.7908896361969</v>
      </c>
      <c r="I7" s="141">
        <f>'Wind WA'!E30</f>
        <v>1294.0948602343592</v>
      </c>
      <c r="J7" s="141">
        <f>'Wind WA'!F30</f>
        <v>1238.2572084578919</v>
      </c>
      <c r="K7" s="141">
        <f>'Wind WA'!G30</f>
        <v>1182.2777966492708</v>
      </c>
      <c r="L7" s="141">
        <f>'Wind WA'!H30</f>
        <v>1126.1564865465893</v>
      </c>
      <c r="M7" s="141">
        <f>'Wind WA'!I30</f>
        <v>1069.8931392860623</v>
      </c>
      <c r="N7" s="141">
        <f>'Wind WA'!J30</f>
        <v>1059.1942078932018</v>
      </c>
      <c r="O7" s="141">
        <f>'Wind WA'!K30</f>
        <v>1048.4952765003411</v>
      </c>
      <c r="P7" s="141">
        <f>'Wind WA'!L30</f>
        <v>1037.7963451074806</v>
      </c>
      <c r="Q7" s="141">
        <f>'Wind WA'!M30</f>
        <v>1027.09741371462</v>
      </c>
      <c r="R7" s="141">
        <f>'Wind WA'!N30</f>
        <v>1016.3984823217594</v>
      </c>
      <c r="S7" s="141">
        <f>'Wind WA'!O30</f>
        <v>1005.6995509288988</v>
      </c>
      <c r="T7" s="141">
        <f>'Wind WA'!P30</f>
        <v>995.00061953603813</v>
      </c>
      <c r="U7" s="141">
        <f>'Wind WA'!Q30</f>
        <v>984.30168814317756</v>
      </c>
      <c r="V7" s="141">
        <f>'Wind WA'!R30</f>
        <v>973.60275675031687</v>
      </c>
      <c r="W7" s="141">
        <f>'Wind WA'!S30</f>
        <v>962.90382535745618</v>
      </c>
      <c r="X7" s="141">
        <f>'Wind WA'!T30</f>
        <v>952.20489396459561</v>
      </c>
      <c r="Y7" s="141">
        <f>'Wind WA'!U30</f>
        <v>941.50596257173493</v>
      </c>
      <c r="Z7" s="141">
        <f>'Wind WA'!V30</f>
        <v>930.80703117887435</v>
      </c>
      <c r="AA7" s="141">
        <f>'Wind WA'!W30</f>
        <v>920.10809978601367</v>
      </c>
      <c r="AB7" s="141">
        <f>'Wind WA'!X30</f>
        <v>909.4091683931531</v>
      </c>
      <c r="AC7" s="141">
        <f>'Wind WA'!Y30</f>
        <v>898.71023700029252</v>
      </c>
      <c r="AD7" s="141">
        <f>'Wind WA'!Z30</f>
        <v>888.01130560743184</v>
      </c>
      <c r="AE7" s="141">
        <f>'Wind WA'!AA30</f>
        <v>877.31237421457126</v>
      </c>
      <c r="AF7" s="141">
        <f>'Wind WA'!AB30</f>
        <v>866.61344282171058</v>
      </c>
      <c r="AG7" s="141">
        <f>'Wind WA'!AC30</f>
        <v>855.91451142885001</v>
      </c>
    </row>
    <row r="8" spans="1:33">
      <c r="B8" s="18" t="s">
        <v>35</v>
      </c>
      <c r="C8" s="18"/>
      <c r="D8" s="18"/>
      <c r="E8" s="18"/>
      <c r="F8" s="141">
        <f>'Wind MT'!B30</f>
        <v>2472.3999999999996</v>
      </c>
      <c r="G8" s="141">
        <f>'Wind MT'!C30</f>
        <v>2375.6506267196573</v>
      </c>
      <c r="H8" s="141">
        <f>'Wind MT'!D30</f>
        <v>2278.901253439315</v>
      </c>
      <c r="I8" s="141">
        <f>'Wind MT'!E30</f>
        <v>2184.8676129769387</v>
      </c>
      <c r="J8" s="141">
        <f>'Wind MT'!F30</f>
        <v>2090.5948662874152</v>
      </c>
      <c r="K8" s="141">
        <f>'Wind MT'!G30</f>
        <v>1996.0827809585198</v>
      </c>
      <c r="L8" s="141">
        <f>'Wind MT'!H30</f>
        <v>1901.3311235576255</v>
      </c>
      <c r="M8" s="141">
        <f>'Wind MT'!I30</f>
        <v>1806.3396596359323</v>
      </c>
      <c r="N8" s="141">
        <f>'Wind MT'!J30</f>
        <v>1788.2762630395732</v>
      </c>
      <c r="O8" s="141">
        <f>'Wind MT'!K30</f>
        <v>1770.2128664432137</v>
      </c>
      <c r="P8" s="141">
        <f>'Wind MT'!L30</f>
        <v>1752.1494698468546</v>
      </c>
      <c r="Q8" s="141">
        <f>'Wind MT'!M30</f>
        <v>1734.086073250495</v>
      </c>
      <c r="R8" s="141">
        <f>'Wind MT'!N30</f>
        <v>1716.0226766541357</v>
      </c>
      <c r="S8" s="141">
        <f>'Wind MT'!O30</f>
        <v>1697.9592800577766</v>
      </c>
      <c r="T8" s="141">
        <f>'Wind MT'!P30</f>
        <v>1679.895883461417</v>
      </c>
      <c r="U8" s="141">
        <f>'Wind MT'!Q30</f>
        <v>1661.8324868650577</v>
      </c>
      <c r="V8" s="141">
        <f>'Wind MT'!R30</f>
        <v>1643.7690902686984</v>
      </c>
      <c r="W8" s="141">
        <f>'Wind MT'!S30</f>
        <v>1625.7056936723388</v>
      </c>
      <c r="X8" s="141">
        <f>'Wind MT'!T30</f>
        <v>1607.6422970759795</v>
      </c>
      <c r="Y8" s="141">
        <f>'Wind MT'!U30</f>
        <v>1589.5789004796202</v>
      </c>
      <c r="Z8" s="141">
        <f>'Wind MT'!V30</f>
        <v>1571.5155038832609</v>
      </c>
      <c r="AA8" s="141">
        <f>'Wind MT'!W30</f>
        <v>1553.4521072869013</v>
      </c>
      <c r="AB8" s="141">
        <f>'Wind MT'!X30</f>
        <v>1535.3887106905422</v>
      </c>
      <c r="AC8" s="141">
        <f>'Wind MT'!Y30</f>
        <v>1517.3253140941829</v>
      </c>
      <c r="AD8" s="141">
        <f>'Wind MT'!Z30</f>
        <v>1499.2619174978236</v>
      </c>
      <c r="AE8" s="141">
        <f>'Wind MT'!AA30</f>
        <v>1481.1985209014645</v>
      </c>
      <c r="AF8" s="141">
        <f>'Wind MT'!AB30</f>
        <v>1463.1351243051049</v>
      </c>
      <c r="AG8" s="141">
        <f>'Wind MT'!AC30</f>
        <v>1445.0717277087456</v>
      </c>
    </row>
    <row r="9" spans="1:33">
      <c r="B9" s="18" t="s">
        <v>36</v>
      </c>
      <c r="C9" s="18"/>
      <c r="D9" s="18"/>
      <c r="E9" s="18"/>
      <c r="F9" s="141">
        <f>'Wind ID WY'!B30</f>
        <v>1771.5249999999999</v>
      </c>
      <c r="G9" s="141">
        <f>'Wind ID WY'!C30</f>
        <v>1702.2021018037296</v>
      </c>
      <c r="H9" s="141">
        <f>'Wind ID WY'!D30</f>
        <v>1632.8792036074594</v>
      </c>
      <c r="I9" s="141">
        <f>'Wind ID WY'!E30</f>
        <v>1565.5021833356138</v>
      </c>
      <c r="J9" s="141">
        <f>'Wind ID WY'!F30</f>
        <v>1497.9538385778246</v>
      </c>
      <c r="K9" s="141">
        <f>'Wind ID WY'!G30</f>
        <v>1430.234002805995</v>
      </c>
      <c r="L9" s="141">
        <f>'Wind ID WY'!H30</f>
        <v>1362.3425087608894</v>
      </c>
      <c r="M9" s="141">
        <f>'Wind ID WY'!I30</f>
        <v>1294.2791884551632</v>
      </c>
      <c r="N9" s="141">
        <f>'Wind ID WY'!J30</f>
        <v>1281.3363965706117</v>
      </c>
      <c r="O9" s="141">
        <f>'Wind ID WY'!K30</f>
        <v>1268.3936046860599</v>
      </c>
      <c r="P9" s="141">
        <f>'Wind ID WY'!L30</f>
        <v>1255.4508128015084</v>
      </c>
      <c r="Q9" s="141">
        <f>'Wind ID WY'!M30</f>
        <v>1242.5080209169566</v>
      </c>
      <c r="R9" s="141">
        <f>'Wind ID WY'!N30</f>
        <v>1229.5652290324051</v>
      </c>
      <c r="S9" s="141">
        <f>'Wind ID WY'!O30</f>
        <v>1216.6224371478536</v>
      </c>
      <c r="T9" s="141">
        <f>'Wind ID WY'!P30</f>
        <v>1203.6796452633018</v>
      </c>
      <c r="U9" s="141">
        <f>'Wind ID WY'!Q30</f>
        <v>1190.7368533787503</v>
      </c>
      <c r="V9" s="141">
        <f>'Wind ID WY'!R30</f>
        <v>1177.7940614941986</v>
      </c>
      <c r="W9" s="141">
        <f>'Wind ID WY'!S30</f>
        <v>1164.8512696096468</v>
      </c>
      <c r="X9" s="141">
        <f>'Wind ID WY'!T30</f>
        <v>1151.9084777250953</v>
      </c>
      <c r="Y9" s="141">
        <f>'Wind ID WY'!U30</f>
        <v>1138.9656858405435</v>
      </c>
      <c r="Z9" s="141">
        <f>'Wind ID WY'!V30</f>
        <v>1126.022893955992</v>
      </c>
      <c r="AA9" s="141">
        <f>'Wind ID WY'!W30</f>
        <v>1113.0801020714403</v>
      </c>
      <c r="AB9" s="141">
        <f>'Wind ID WY'!X30</f>
        <v>1100.1373101868887</v>
      </c>
      <c r="AC9" s="141">
        <f>'Wind ID WY'!Y30</f>
        <v>1087.1945183023372</v>
      </c>
      <c r="AD9" s="141">
        <f>'Wind ID WY'!Z30</f>
        <v>1074.2517264177854</v>
      </c>
      <c r="AE9" s="141">
        <f>'Wind ID WY'!AA30</f>
        <v>1061.3089345332339</v>
      </c>
      <c r="AF9" s="141">
        <f>'Wind ID WY'!AB30</f>
        <v>1048.3661426486822</v>
      </c>
      <c r="AG9" s="141">
        <f>'Wind ID WY'!AC30</f>
        <v>1035.4233507641306</v>
      </c>
    </row>
    <row r="10" spans="1:33">
      <c r="B10" s="18" t="s">
        <v>37</v>
      </c>
      <c r="C10" s="18"/>
      <c r="D10" s="18"/>
      <c r="E10" s="18"/>
      <c r="F10" s="141">
        <f>'Solar WA'!B30</f>
        <v>1229.7840499881536</v>
      </c>
      <c r="G10" s="141">
        <f>'Solar WA'!C30</f>
        <v>1177.0573376651764</v>
      </c>
      <c r="H10" s="141">
        <f>'Solar WA'!D30</f>
        <v>1124.330625342199</v>
      </c>
      <c r="I10" s="141">
        <f>'Solar WA'!E30</f>
        <v>1072.4269092034458</v>
      </c>
      <c r="J10" s="141">
        <f>'Solar WA'!F30</f>
        <v>1020.4414501844576</v>
      </c>
      <c r="K10" s="141">
        <f>'Solar WA'!G30</f>
        <v>968.37436744139427</v>
      </c>
      <c r="L10" s="141">
        <f>'Solar WA'!H30</f>
        <v>916.22577967047619</v>
      </c>
      <c r="M10" s="141">
        <f>'Solar WA'!I30</f>
        <v>863.99580511074726</v>
      </c>
      <c r="N10" s="141">
        <f>'Solar WA'!J30</f>
        <v>856.29686276623067</v>
      </c>
      <c r="O10" s="141">
        <f>'Solar WA'!K30</f>
        <v>848.59792042171421</v>
      </c>
      <c r="P10" s="141">
        <f>'Solar WA'!L30</f>
        <v>840.89897807719774</v>
      </c>
      <c r="Q10" s="141">
        <f>'Solar WA'!M30</f>
        <v>833.20003573268127</v>
      </c>
      <c r="R10" s="141">
        <f>'Solar WA'!N30</f>
        <v>825.5010933881648</v>
      </c>
      <c r="S10" s="141">
        <f>'Solar WA'!O30</f>
        <v>817.80215104364834</v>
      </c>
      <c r="T10" s="141">
        <f>'Solar WA'!P30</f>
        <v>810.10320869913187</v>
      </c>
      <c r="U10" s="141">
        <f>'Solar WA'!Q30</f>
        <v>802.4042663546154</v>
      </c>
      <c r="V10" s="141">
        <f>'Solar WA'!R30</f>
        <v>794.70532401009882</v>
      </c>
      <c r="W10" s="141">
        <f>'Solar WA'!S30</f>
        <v>787.00638166558235</v>
      </c>
      <c r="X10" s="141">
        <f>'Solar WA'!T30</f>
        <v>779.30743932106589</v>
      </c>
      <c r="Y10" s="141">
        <f>'Solar WA'!U30</f>
        <v>771.60849697654942</v>
      </c>
      <c r="Z10" s="141">
        <f>'Solar WA'!V30</f>
        <v>763.90955463203295</v>
      </c>
      <c r="AA10" s="141">
        <f>'Solar WA'!W30</f>
        <v>756.21061228751648</v>
      </c>
      <c r="AB10" s="141">
        <f>'Solar WA'!X30</f>
        <v>748.51166994300002</v>
      </c>
      <c r="AC10" s="141">
        <f>'Solar WA'!Y30</f>
        <v>740.81272759848355</v>
      </c>
      <c r="AD10" s="141">
        <f>'Solar WA'!Z30</f>
        <v>733.11378525396697</v>
      </c>
      <c r="AE10" s="141">
        <f>'Solar WA'!AA30</f>
        <v>725.4148429094505</v>
      </c>
      <c r="AF10" s="141">
        <f>'Solar WA'!AB30</f>
        <v>717.71590056493403</v>
      </c>
      <c r="AG10" s="141">
        <f>'Solar WA'!AC30</f>
        <v>710.01695822041768</v>
      </c>
    </row>
    <row r="11" spans="1:33">
      <c r="B11" s="18" t="s">
        <v>97</v>
      </c>
      <c r="C11" s="18"/>
      <c r="D11" s="18"/>
      <c r="E11" s="18"/>
      <c r="F11" s="141">
        <f>'Solar ID WY'!B30</f>
        <v>1536.9090499881536</v>
      </c>
      <c r="G11" s="141">
        <f>'Solar ID WY'!C30</f>
        <v>1471.0144229224618</v>
      </c>
      <c r="H11" s="141">
        <f>'Solar ID WY'!D30</f>
        <v>1405.1197958567698</v>
      </c>
      <c r="I11" s="141">
        <f>'Solar ID WY'!E30</f>
        <v>1340.2536991933478</v>
      </c>
      <c r="J11" s="141">
        <f>'Solar ID WY'!F30</f>
        <v>1275.285445267107</v>
      </c>
      <c r="K11" s="141">
        <f>'Solar ID WY'!G30</f>
        <v>1210.2151829921434</v>
      </c>
      <c r="L11" s="141">
        <f>'Solar ID WY'!H30</f>
        <v>1145.043060707749</v>
      </c>
      <c r="M11" s="141">
        <f>'Solar ID WY'!I30</f>
        <v>1079.7692261818647</v>
      </c>
      <c r="N11" s="141">
        <f>'Solar ID WY'!J30</f>
        <v>1070.14755791845</v>
      </c>
      <c r="O11" s="141">
        <f>'Solar ID WY'!K30</f>
        <v>1060.5258896550356</v>
      </c>
      <c r="P11" s="141">
        <f>'Solar ID WY'!L30</f>
        <v>1050.9042213916211</v>
      </c>
      <c r="Q11" s="141">
        <f>'Solar ID WY'!M30</f>
        <v>1041.2825531282067</v>
      </c>
      <c r="R11" s="141">
        <f>'Solar ID WY'!N30</f>
        <v>1031.6608848647923</v>
      </c>
      <c r="S11" s="141">
        <f>'Solar ID WY'!O30</f>
        <v>1022.0392166013778</v>
      </c>
      <c r="T11" s="141">
        <f>'Solar ID WY'!P30</f>
        <v>1012.4175483379634</v>
      </c>
      <c r="U11" s="141">
        <f>'Solar ID WY'!Q30</f>
        <v>1002.7958800745489</v>
      </c>
      <c r="V11" s="141">
        <f>'Solar ID WY'!R30</f>
        <v>993.17421181113434</v>
      </c>
      <c r="W11" s="141">
        <f>'Solar ID WY'!S30</f>
        <v>983.55254354771978</v>
      </c>
      <c r="X11" s="141">
        <f>'Solar ID WY'!T30</f>
        <v>973.93087528430533</v>
      </c>
      <c r="Y11" s="141">
        <f>'Solar ID WY'!U30</f>
        <v>964.30920702089088</v>
      </c>
      <c r="Z11" s="141">
        <f>'Solar ID WY'!V30</f>
        <v>954.68753875747643</v>
      </c>
      <c r="AA11" s="141">
        <f>'Solar ID WY'!W30</f>
        <v>945.06587049406187</v>
      </c>
      <c r="AB11" s="141">
        <f>'Solar ID WY'!X30</f>
        <v>935.44420223064731</v>
      </c>
      <c r="AC11" s="141">
        <f>'Solar ID WY'!Y30</f>
        <v>925.82253396723274</v>
      </c>
      <c r="AD11" s="141">
        <f>'Solar ID WY'!Z30</f>
        <v>916.20086570381807</v>
      </c>
      <c r="AE11" s="141">
        <f>'Solar ID WY'!AA30</f>
        <v>906.5791974404035</v>
      </c>
      <c r="AF11" s="141">
        <f>'Solar ID WY'!AB30</f>
        <v>896.95752917698894</v>
      </c>
      <c r="AG11" s="141">
        <f>'Solar ID WY'!AC30</f>
        <v>887.33586091357461</v>
      </c>
    </row>
    <row r="12" spans="1:33">
      <c r="B12" s="18" t="s">
        <v>39</v>
      </c>
      <c r="C12" s="18"/>
      <c r="D12" s="18"/>
      <c r="E12" s="18"/>
      <c r="F12" s="141">
        <f>'Solar DER'!B25</f>
        <v>2286.9841372703927</v>
      </c>
      <c r="G12" s="141">
        <f>'Solar DER'!C25</f>
        <v>2105.4762059055888</v>
      </c>
      <c r="H12" s="141">
        <f>'Solar DER'!D25</f>
        <v>1923.9682745407852</v>
      </c>
      <c r="I12" s="141">
        <f>'Solar DER'!E25</f>
        <v>1742.4603431759813</v>
      </c>
      <c r="J12" s="141">
        <f>'Solar DER'!F25</f>
        <v>1560.9524118111776</v>
      </c>
      <c r="K12" s="141">
        <f>'Solar DER'!G25</f>
        <v>1379.444480446374</v>
      </c>
      <c r="L12" s="141">
        <f>'Solar DER'!H25</f>
        <v>1197.9365490815703</v>
      </c>
      <c r="M12" s="141">
        <f>'Solar DER'!I25</f>
        <v>1016.4286177167668</v>
      </c>
      <c r="N12" s="141">
        <f>'Solar DER'!J25</f>
        <v>1005.1611528807431</v>
      </c>
      <c r="O12" s="141">
        <f>'Solar DER'!K25</f>
        <v>993.8936880447194</v>
      </c>
      <c r="P12" s="141">
        <f>'Solar DER'!L25</f>
        <v>982.62622320869571</v>
      </c>
      <c r="Q12" s="141">
        <f>'Solar DER'!M25</f>
        <v>971.35875837267201</v>
      </c>
      <c r="R12" s="141">
        <f>'Solar DER'!N25</f>
        <v>960.09129353664832</v>
      </c>
      <c r="S12" s="141">
        <f>'Solar DER'!O25</f>
        <v>948.82382870062463</v>
      </c>
      <c r="T12" s="141">
        <f>'Solar DER'!P25</f>
        <v>937.55636386460094</v>
      </c>
      <c r="U12" s="141">
        <f>'Solar DER'!Q25</f>
        <v>926.28889902857725</v>
      </c>
      <c r="V12" s="141">
        <f>'Solar DER'!R25</f>
        <v>915.02143419255356</v>
      </c>
      <c r="W12" s="141">
        <f>'Solar DER'!S25</f>
        <v>903.75396935652986</v>
      </c>
      <c r="X12" s="141">
        <f>'Solar DER'!T25</f>
        <v>892.48650452050617</v>
      </c>
      <c r="Y12" s="141">
        <f>'Solar DER'!U25</f>
        <v>881.21903968448248</v>
      </c>
      <c r="Z12" s="141">
        <f>'Solar DER'!V25</f>
        <v>869.95157484845879</v>
      </c>
      <c r="AA12" s="141">
        <f>'Solar DER'!W25</f>
        <v>858.6841100124351</v>
      </c>
      <c r="AB12" s="141">
        <f>'Solar DER'!X25</f>
        <v>847.41664517641141</v>
      </c>
      <c r="AC12" s="141">
        <f>'Solar DER'!Y25</f>
        <v>836.14918034038772</v>
      </c>
      <c r="AD12" s="141">
        <f>'Solar DER'!Z25</f>
        <v>824.88171550436402</v>
      </c>
      <c r="AE12" s="141">
        <f>'Solar DER'!AA25</f>
        <v>813.61425066834033</v>
      </c>
      <c r="AF12" s="141">
        <f>'Solar DER'!AB25</f>
        <v>802.34678583231664</v>
      </c>
      <c r="AG12" s="141">
        <f>'Solar DER'!AC25</f>
        <v>791.0793209962934</v>
      </c>
    </row>
    <row r="13" spans="1:33">
      <c r="B13" s="18" t="s">
        <v>40</v>
      </c>
      <c r="C13" s="18"/>
      <c r="D13" s="18"/>
      <c r="E13" s="18"/>
      <c r="F13" s="142">
        <f>Biomass!B25</f>
        <v>4905.5465615733265</v>
      </c>
      <c r="G13" s="142">
        <f>Biomass!C25</f>
        <v>4874.1811780848857</v>
      </c>
      <c r="H13" s="142">
        <f>Biomass!D25</f>
        <v>4842.1302162830971</v>
      </c>
      <c r="I13" s="142">
        <f>Biomass!E25</f>
        <v>4821.9069201170787</v>
      </c>
      <c r="J13" s="142">
        <f>Biomass!F25</f>
        <v>4801.5619338522074</v>
      </c>
      <c r="K13" s="142">
        <f>Biomass!G25</f>
        <v>4781.0984377262157</v>
      </c>
      <c r="L13" s="142">
        <f>Biomass!H25</f>
        <v>4760.5129998603361</v>
      </c>
      <c r="M13" s="142">
        <f>Biomass!I25</f>
        <v>4739.8063548700447</v>
      </c>
      <c r="N13" s="142">
        <f>Biomass!J25</f>
        <v>4708.082961616351</v>
      </c>
      <c r="O13" s="142">
        <f>Biomass!K25</f>
        <v>4676.3597570236971</v>
      </c>
      <c r="P13" s="142">
        <f>Biomass!L25</f>
        <v>4644.6398402102996</v>
      </c>
      <c r="Q13" s="142">
        <f>Biomass!M25</f>
        <v>4612.9139275125044</v>
      </c>
      <c r="R13" s="142">
        <f>Biomass!N25</f>
        <v>4581.1922009472628</v>
      </c>
      <c r="S13" s="142">
        <f>Biomass!O25</f>
        <v>4549.4696594276311</v>
      </c>
      <c r="T13" s="142">
        <f>Biomass!P25</f>
        <v>4517.749762397897</v>
      </c>
      <c r="U13" s="142">
        <f>Biomass!Q25</f>
        <v>4486.027149350205</v>
      </c>
      <c r="V13" s="142">
        <f>Biomass!R25</f>
        <v>4454.3051990040285</v>
      </c>
      <c r="W13" s="142">
        <f>Biomass!S25</f>
        <v>4422.5839696320263</v>
      </c>
      <c r="X13" s="142">
        <f>Biomass!T25</f>
        <v>4390.8583337261116</v>
      </c>
      <c r="Y13" s="142">
        <f>Biomass!U25</f>
        <v>4359.1360636737336</v>
      </c>
      <c r="Z13" s="142">
        <f>Biomass!V25</f>
        <v>4327.4136538964194</v>
      </c>
      <c r="AA13" s="142">
        <f>Biomass!W25</f>
        <v>4295.6921074466354</v>
      </c>
      <c r="AB13" s="142">
        <f>Biomass!X25</f>
        <v>4263.9733896296193</v>
      </c>
      <c r="AC13" s="142">
        <f>Biomass!Y25</f>
        <v>4232.2506954217743</v>
      </c>
      <c r="AD13" s="142">
        <f>Biomass!Z25</f>
        <v>4200.5279451876913</v>
      </c>
      <c r="AE13" s="142">
        <f>Biomass!AA25</f>
        <v>4168.8036845973029</v>
      </c>
      <c r="AF13" s="142">
        <f>Biomass!AB25</f>
        <v>4137.0816644699935</v>
      </c>
      <c r="AG13" s="142">
        <f>Biomass!AC25</f>
        <v>4105.3596067022481</v>
      </c>
    </row>
    <row r="14" spans="1:33">
      <c r="B14" s="18" t="s">
        <v>72</v>
      </c>
      <c r="C14" s="18"/>
      <c r="D14" s="18"/>
      <c r="E14" s="18"/>
      <c r="F14" s="143">
        <f>'PHES WA OR'!B25</f>
        <v>3910.0621861874979</v>
      </c>
      <c r="G14" s="143">
        <f>'PHES WA OR'!C25</f>
        <v>3910.0621861874979</v>
      </c>
      <c r="H14" s="143">
        <f>'PHES WA OR'!D25</f>
        <v>3910.0621861874979</v>
      </c>
      <c r="I14" s="143">
        <f>'PHES WA OR'!E25</f>
        <v>3914.9135031063756</v>
      </c>
      <c r="J14" s="143">
        <f>'PHES WA OR'!F25</f>
        <v>3919.7680306525813</v>
      </c>
      <c r="K14" s="143">
        <f>'PHES WA OR'!G25</f>
        <v>3924.625778842576</v>
      </c>
      <c r="L14" s="143">
        <f>'PHES WA OR'!H25</f>
        <v>3929.4867576601473</v>
      </c>
      <c r="M14" s="143">
        <f>'PHES WA OR'!I25</f>
        <v>3934.3509770566161</v>
      </c>
      <c r="N14" s="143">
        <f>'PHES WA OR'!J25</f>
        <v>3934.3509770566161</v>
      </c>
      <c r="O14" s="143">
        <f>'PHES WA OR'!K25</f>
        <v>3934.3509770566161</v>
      </c>
      <c r="P14" s="143">
        <f>'PHES WA OR'!L25</f>
        <v>3934.3509770566161</v>
      </c>
      <c r="Q14" s="143">
        <f>'PHES WA OR'!M25</f>
        <v>3934.3509770566161</v>
      </c>
      <c r="R14" s="143">
        <f>'PHES WA OR'!N25</f>
        <v>3934.3509770566161</v>
      </c>
      <c r="S14" s="143">
        <f>'PHES WA OR'!O25</f>
        <v>3934.3509770566161</v>
      </c>
      <c r="T14" s="143">
        <f>'PHES WA OR'!P25</f>
        <v>3934.3509770566161</v>
      </c>
      <c r="U14" s="143">
        <f>'PHES WA OR'!Q25</f>
        <v>3934.3509770566161</v>
      </c>
      <c r="V14" s="143">
        <f>'PHES WA OR'!R25</f>
        <v>3934.3509770566161</v>
      </c>
      <c r="W14" s="143">
        <f>'PHES WA OR'!S25</f>
        <v>3934.3509770566161</v>
      </c>
      <c r="X14" s="143">
        <f>'PHES WA OR'!T25</f>
        <v>3934.3509770566161</v>
      </c>
      <c r="Y14" s="143">
        <f>'PHES WA OR'!U25</f>
        <v>3934.3509770566161</v>
      </c>
      <c r="Z14" s="143">
        <f>'PHES WA OR'!V25</f>
        <v>3934.3509770566161</v>
      </c>
      <c r="AA14" s="143">
        <f>'PHES WA OR'!W25</f>
        <v>3934.3509770566161</v>
      </c>
      <c r="AB14" s="143">
        <f>'PHES WA OR'!X25</f>
        <v>3934.3509770566161</v>
      </c>
      <c r="AC14" s="143">
        <f>'PHES WA OR'!Y25</f>
        <v>3934.3509770566161</v>
      </c>
      <c r="AD14" s="143">
        <f>'PHES WA OR'!Z25</f>
        <v>3934.3509770566161</v>
      </c>
      <c r="AE14" s="143">
        <f>'PHES WA OR'!AA25</f>
        <v>3934.3509770566161</v>
      </c>
      <c r="AF14" s="143">
        <f>'PHES WA OR'!AB25</f>
        <v>3934.3509770566161</v>
      </c>
      <c r="AG14" s="143">
        <f>'PHES WA OR'!AC25</f>
        <v>3934.3509770566161</v>
      </c>
    </row>
    <row r="15" spans="1:33">
      <c r="B15" s="18" t="s">
        <v>73</v>
      </c>
      <c r="C15" s="18"/>
      <c r="D15" s="18"/>
      <c r="E15" s="18"/>
      <c r="F15" s="143">
        <f>'PHES MT'!B25</f>
        <v>3602.0621861874979</v>
      </c>
      <c r="G15" s="143">
        <f>'PHES MT'!C25</f>
        <v>3602.0621861874979</v>
      </c>
      <c r="H15" s="143">
        <f>'PHES MT'!D25</f>
        <v>3602.0621861874979</v>
      </c>
      <c r="I15" s="143">
        <f>'PHES MT'!E25</f>
        <v>3606.5313594115023</v>
      </c>
      <c r="J15" s="143">
        <f>'PHES MT'!F25</f>
        <v>3611.0034903581054</v>
      </c>
      <c r="K15" s="143">
        <f>'PHES MT'!G25</f>
        <v>3615.4785882547612</v>
      </c>
      <c r="L15" s="143">
        <f>'PHES MT'!H25</f>
        <v>3619.9566622988227</v>
      </c>
      <c r="M15" s="143">
        <f>'PHES MT'!I25</f>
        <v>3624.4377216577341</v>
      </c>
      <c r="N15" s="143">
        <f>'PHES MT'!J25</f>
        <v>3624.4377216577341</v>
      </c>
      <c r="O15" s="143">
        <f>'PHES MT'!K25</f>
        <v>3624.4377216577341</v>
      </c>
      <c r="P15" s="143">
        <f>'PHES MT'!L25</f>
        <v>3624.4377216577341</v>
      </c>
      <c r="Q15" s="143">
        <f>'PHES MT'!M25</f>
        <v>3624.4377216577341</v>
      </c>
      <c r="R15" s="143">
        <f>'PHES MT'!N25</f>
        <v>3624.4377216577341</v>
      </c>
      <c r="S15" s="143">
        <f>'PHES MT'!O25</f>
        <v>3624.4377216577341</v>
      </c>
      <c r="T15" s="143">
        <f>'PHES MT'!P25</f>
        <v>3624.4377216577341</v>
      </c>
      <c r="U15" s="143">
        <f>'PHES MT'!Q25</f>
        <v>3624.4377216577341</v>
      </c>
      <c r="V15" s="143">
        <f>'PHES MT'!R25</f>
        <v>3624.4377216577341</v>
      </c>
      <c r="W15" s="143">
        <f>'PHES MT'!S25</f>
        <v>3624.4377216577341</v>
      </c>
      <c r="X15" s="143">
        <f>'PHES MT'!T25</f>
        <v>3624.4377216577341</v>
      </c>
      <c r="Y15" s="143">
        <f>'PHES MT'!U25</f>
        <v>3624.4377216577341</v>
      </c>
      <c r="Z15" s="143">
        <f>'PHES MT'!V25</f>
        <v>3624.4377216577341</v>
      </c>
      <c r="AA15" s="143">
        <f>'PHES MT'!W25</f>
        <v>3624.4377216577341</v>
      </c>
      <c r="AB15" s="143">
        <f>'PHES MT'!X25</f>
        <v>3624.4377216577341</v>
      </c>
      <c r="AC15" s="143">
        <f>'PHES MT'!Y25</f>
        <v>3624.4377216577341</v>
      </c>
      <c r="AD15" s="143">
        <f>'PHES MT'!Z25</f>
        <v>3624.4377216577341</v>
      </c>
      <c r="AE15" s="143">
        <f>'PHES MT'!AA25</f>
        <v>3624.4377216577341</v>
      </c>
      <c r="AF15" s="143">
        <f>'PHES MT'!AB25</f>
        <v>3624.4377216577341</v>
      </c>
      <c r="AG15" s="143">
        <f>'PHES MT'!AC25</f>
        <v>3624.4377216577341</v>
      </c>
    </row>
    <row r="16" spans="1:33">
      <c r="B16" s="18" t="s">
        <v>162</v>
      </c>
      <c r="C16" s="18"/>
      <c r="D16" s="18"/>
      <c r="E16" s="18"/>
      <c r="F16" s="141">
        <f>'Battery Utility'!B25</f>
        <v>804.03666804273098</v>
      </c>
      <c r="G16" s="141">
        <f>'Battery Utility'!C25</f>
        <v>762.6858815648651</v>
      </c>
      <c r="H16" s="141">
        <f>'Battery Utility'!D25</f>
        <v>724.37094129925447</v>
      </c>
      <c r="I16" s="141">
        <f>'Battery Utility'!E25</f>
        <v>702.97265385320145</v>
      </c>
      <c r="J16" s="141">
        <f>'Battery Utility'!F25</f>
        <v>683.0201548213887</v>
      </c>
      <c r="K16" s="141">
        <f>'Battery Utility'!G25</f>
        <v>657.42877151639004</v>
      </c>
      <c r="L16" s="141">
        <f>'Battery Utility'!H25</f>
        <v>643.1151567577632</v>
      </c>
      <c r="M16" s="141">
        <f>'Battery Utility'!I25</f>
        <v>624.60844614019061</v>
      </c>
      <c r="N16" s="141">
        <f>'Battery Utility'!J25</f>
        <v>617.17531833018495</v>
      </c>
      <c r="O16" s="141">
        <f>'Battery Utility'!K25</f>
        <v>609.36771275343199</v>
      </c>
      <c r="P16" s="141">
        <f>'Battery Utility'!L25</f>
        <v>601.56010717668028</v>
      </c>
      <c r="Q16" s="141">
        <f>'Battery Utility'!M25</f>
        <v>593.75250159992856</v>
      </c>
      <c r="R16" s="141">
        <f>'Battery Utility'!N25</f>
        <v>585.94489602317572</v>
      </c>
      <c r="S16" s="141">
        <f>'Battery Utility'!O25</f>
        <v>578.13729044642287</v>
      </c>
      <c r="T16" s="141">
        <f>'Battery Utility'!P25</f>
        <v>570.3296848696699</v>
      </c>
      <c r="U16" s="141">
        <f>'Battery Utility'!Q25</f>
        <v>562.52207929291831</v>
      </c>
      <c r="V16" s="141">
        <f>'Battery Utility'!R25</f>
        <v>554.71447371616671</v>
      </c>
      <c r="W16" s="141">
        <f>'Battery Utility'!S25</f>
        <v>546.90686813941363</v>
      </c>
      <c r="X16" s="141">
        <f>'Battery Utility'!T25</f>
        <v>539.0992625626609</v>
      </c>
      <c r="Y16" s="141">
        <f>'Battery Utility'!U25</f>
        <v>531.29165698590805</v>
      </c>
      <c r="Z16" s="141">
        <f>'Battery Utility'!V25</f>
        <v>523.48405140915622</v>
      </c>
      <c r="AA16" s="141">
        <f>'Battery Utility'!W25</f>
        <v>515.67644583240462</v>
      </c>
      <c r="AB16" s="141">
        <f>'Battery Utility'!X25</f>
        <v>507.86884025565166</v>
      </c>
      <c r="AC16" s="141">
        <f>'Battery Utility'!Y25</f>
        <v>500.06123467889898</v>
      </c>
      <c r="AD16" s="141">
        <f>'Battery Utility'!Z25</f>
        <v>492.25362910214602</v>
      </c>
      <c r="AE16" s="141">
        <f>'Battery Utility'!AA25</f>
        <v>484.44602352539442</v>
      </c>
      <c r="AF16" s="141">
        <f>'Battery Utility'!AB25</f>
        <v>476.63841794864271</v>
      </c>
      <c r="AG16" s="141">
        <f>'Battery Utility'!AC25</f>
        <v>468.9356397683639</v>
      </c>
    </row>
    <row r="17" spans="2:36">
      <c r="B17" s="18" t="s">
        <v>163</v>
      </c>
      <c r="C17" s="18"/>
      <c r="D17" s="18"/>
      <c r="E17" s="18"/>
      <c r="F17" s="141">
        <f>'Battery Utility'!B32</f>
        <v>1313.7082337710517</v>
      </c>
      <c r="G17" s="141">
        <f>'Battery Utility'!C32</f>
        <v>1220.653900545602</v>
      </c>
      <c r="H17" s="141">
        <f>'Battery Utility'!D32</f>
        <v>1154.9684888570496</v>
      </c>
      <c r="I17" s="141">
        <f>'Battery Utility'!E32</f>
        <v>1105.704430090635</v>
      </c>
      <c r="J17" s="141">
        <f>'Battery Utility'!F32</f>
        <v>1061.9141556315999</v>
      </c>
      <c r="K17" s="141">
        <f>'Battery Utility'!G32</f>
        <v>1012.6500968651856</v>
      </c>
      <c r="L17" s="141">
        <f>'Battery Utility'!H32</f>
        <v>974.33360671352989</v>
      </c>
      <c r="M17" s="141">
        <f>'Battery Utility'!I32</f>
        <v>936.0171165618741</v>
      </c>
      <c r="N17" s="141">
        <f>'Battery Utility'!J32</f>
        <v>924.78217427097854</v>
      </c>
      <c r="O17" s="141">
        <f>'Battery Utility'!K32</f>
        <v>913.08196031395346</v>
      </c>
      <c r="P17" s="141">
        <f>'Battery Utility'!L32</f>
        <v>901.38174635693144</v>
      </c>
      <c r="Q17" s="141">
        <f>'Battery Utility'!M32</f>
        <v>889.68153239990943</v>
      </c>
      <c r="R17" s="141">
        <f>'Battery Utility'!N32</f>
        <v>877.98131844288434</v>
      </c>
      <c r="S17" s="141">
        <f>'Battery Utility'!O32</f>
        <v>866.28110448586131</v>
      </c>
      <c r="T17" s="141">
        <f>'Battery Utility'!P32</f>
        <v>854.58089052883622</v>
      </c>
      <c r="U17" s="141">
        <f>'Battery Utility'!Q32</f>
        <v>842.88067657181421</v>
      </c>
      <c r="V17" s="141">
        <f>'Battery Utility'!R32</f>
        <v>831.18046261479219</v>
      </c>
      <c r="W17" s="141">
        <f>'Battery Utility'!S32</f>
        <v>819.48024865776711</v>
      </c>
      <c r="X17" s="141">
        <f>'Battery Utility'!T32</f>
        <v>807.78003470074407</v>
      </c>
      <c r="Y17" s="141">
        <f>'Battery Utility'!U32</f>
        <v>796.0798207437191</v>
      </c>
      <c r="Z17" s="141">
        <f>'Battery Utility'!V32</f>
        <v>784.37960678669708</v>
      </c>
      <c r="AA17" s="141">
        <f>'Battery Utility'!W32</f>
        <v>772.67939282967507</v>
      </c>
      <c r="AB17" s="141">
        <f>'Battery Utility'!X32</f>
        <v>760.97917887264998</v>
      </c>
      <c r="AC17" s="141">
        <f>'Battery Utility'!Y32</f>
        <v>749.27896491562706</v>
      </c>
      <c r="AD17" s="141">
        <f>'Battery Utility'!Z32</f>
        <v>737.57875095860197</v>
      </c>
      <c r="AE17" s="141">
        <f>'Battery Utility'!AA32</f>
        <v>725.87853700158007</v>
      </c>
      <c r="AF17" s="141">
        <f>'Battery Utility'!AB32</f>
        <v>714.17832304455806</v>
      </c>
      <c r="AG17" s="141">
        <f>'Battery Utility'!AC32</f>
        <v>702.47810908753297</v>
      </c>
    </row>
    <row r="18" spans="2:36">
      <c r="B18" s="18" t="s">
        <v>164</v>
      </c>
      <c r="C18" s="18"/>
      <c r="D18" s="18"/>
      <c r="E18" s="18"/>
      <c r="F18" s="141">
        <f>'Battery Utility'!B39</f>
        <v>1823.3797994993702</v>
      </c>
      <c r="G18" s="141">
        <f>'Battery Utility'!C39</f>
        <v>1679.2717639470475</v>
      </c>
      <c r="H18" s="141">
        <f>'Battery Utility'!D39</f>
        <v>1586.2944734418652</v>
      </c>
      <c r="I18" s="141">
        <f>'Battery Utility'!E39</f>
        <v>1509.5292257232582</v>
      </c>
      <c r="J18" s="141">
        <f>'Battery Utility'!F39</f>
        <v>1442.18643788954</v>
      </c>
      <c r="K18" s="141">
        <f>'Battery Utility'!G39</f>
        <v>1369.4396357936305</v>
      </c>
      <c r="L18" s="141">
        <f>'Battery Utility'!H39</f>
        <v>1307.5008622221042</v>
      </c>
      <c r="M18" s="141">
        <f>'Battery Utility'!I39</f>
        <v>1249.5805342732751</v>
      </c>
      <c r="N18" s="141">
        <f>'Battery Utility'!J39</f>
        <v>1234.5205799477146</v>
      </c>
      <c r="O18" s="141">
        <f>'Battery Utility'!K39</f>
        <v>1218.9008232692963</v>
      </c>
      <c r="P18" s="141">
        <f>'Battery Utility'!L39</f>
        <v>1203.2810665908823</v>
      </c>
      <c r="Q18" s="141">
        <f>'Battery Utility'!M39</f>
        <v>1187.6613099124684</v>
      </c>
      <c r="R18" s="141">
        <f>'Battery Utility'!N39</f>
        <v>1172.0415532340498</v>
      </c>
      <c r="S18" s="141">
        <f>'Battery Utility'!O39</f>
        <v>1156.421796555635</v>
      </c>
      <c r="T18" s="141">
        <f>'Battery Utility'!P39</f>
        <v>1140.8020398772162</v>
      </c>
      <c r="U18" s="141">
        <f>'Battery Utility'!Q39</f>
        <v>1125.1822831988025</v>
      </c>
      <c r="V18" s="141">
        <f>'Battery Utility'!R39</f>
        <v>1109.5625265203885</v>
      </c>
      <c r="W18" s="141">
        <f>'Battery Utility'!S39</f>
        <v>1093.9427698419699</v>
      </c>
      <c r="X18" s="141">
        <f>'Battery Utility'!T39</f>
        <v>1078.3230131635553</v>
      </c>
      <c r="Y18" s="141">
        <f>'Battery Utility'!U39</f>
        <v>1062.7032564851365</v>
      </c>
      <c r="Z18" s="141">
        <f>'Battery Utility'!V39</f>
        <v>1047.0834998067226</v>
      </c>
      <c r="AA18" s="141">
        <f>'Battery Utility'!W39</f>
        <v>1031.4637431283088</v>
      </c>
      <c r="AB18" s="141">
        <f>'Battery Utility'!X39</f>
        <v>1015.8439864498902</v>
      </c>
      <c r="AC18" s="141">
        <f>'Battery Utility'!Y39</f>
        <v>1000.2242297714754</v>
      </c>
      <c r="AD18" s="141">
        <f>'Battery Utility'!Z39</f>
        <v>984.60447309305675</v>
      </c>
      <c r="AE18" s="141">
        <f>'Battery Utility'!AA39</f>
        <v>968.984716414643</v>
      </c>
      <c r="AF18" s="141">
        <f>'Battery Utility'!AB39</f>
        <v>953.36495973622937</v>
      </c>
      <c r="AG18" s="141">
        <f>'Battery Utility'!AC39</f>
        <v>937.64474191724287</v>
      </c>
    </row>
    <row r="19" spans="2:36">
      <c r="B19" s="18" t="s">
        <v>46</v>
      </c>
      <c r="C19" s="18"/>
      <c r="D19" s="18"/>
      <c r="E19" s="18"/>
      <c r="F19" s="141">
        <f>'Battery DER'!B25</f>
        <v>3922.5730125978253</v>
      </c>
      <c r="G19" s="141">
        <f>'Battery DER'!C25</f>
        <v>3641.424193089128</v>
      </c>
      <c r="H19" s="141">
        <f>'Battery DER'!D25</f>
        <v>3374.6374867063932</v>
      </c>
      <c r="I19" s="141">
        <f>'Battery DER'!E25</f>
        <v>3238.1631211732542</v>
      </c>
      <c r="J19" s="141">
        <f>'Battery DER'!F25</f>
        <v>3117.042354841833</v>
      </c>
      <c r="K19" s="141">
        <f>'Battery DER'!G25</f>
        <v>3013.0519987539087</v>
      </c>
      <c r="L19" s="141">
        <f>'Battery DER'!H25</f>
        <v>2913.5514503574818</v>
      </c>
      <c r="M19" s="141">
        <f>'Battery DER'!I25</f>
        <v>2823.4878988190967</v>
      </c>
      <c r="N19" s="141">
        <f>'Battery DER'!J25</f>
        <v>2788.9573149555104</v>
      </c>
      <c r="O19" s="141">
        <f>'Battery DER'!K25</f>
        <v>2753.6641300340143</v>
      </c>
      <c r="P19" s="141">
        <f>'Battery DER'!L25</f>
        <v>2718.3709451125169</v>
      </c>
      <c r="Q19" s="141">
        <f>'Battery DER'!M25</f>
        <v>2683.077760191024</v>
      </c>
      <c r="R19" s="141">
        <f>'Battery DER'!N25</f>
        <v>2647.7845752695239</v>
      </c>
      <c r="S19" s="141">
        <f>'Battery DER'!O25</f>
        <v>2612.4913903480328</v>
      </c>
      <c r="T19" s="141">
        <f>'Battery DER'!P25</f>
        <v>2577.1982054265327</v>
      </c>
      <c r="U19" s="141">
        <f>'Battery DER'!Q25</f>
        <v>2541.905020505038</v>
      </c>
      <c r="V19" s="141">
        <f>'Battery DER'!R25</f>
        <v>2506.6118355835392</v>
      </c>
      <c r="W19" s="141">
        <f>'Battery DER'!S25</f>
        <v>2471.318650662045</v>
      </c>
      <c r="X19" s="141">
        <f>'Battery DER'!T25</f>
        <v>2436.0254657405435</v>
      </c>
      <c r="Y19" s="141">
        <f>'Battery DER'!U25</f>
        <v>2400.732280819052</v>
      </c>
      <c r="Z19" s="141">
        <f>'Battery DER'!V25</f>
        <v>2365.4390958975514</v>
      </c>
      <c r="AA19" s="141">
        <f>'Battery DER'!W25</f>
        <v>2330.1459109760553</v>
      </c>
      <c r="AB19" s="141">
        <f>'Battery DER'!X25</f>
        <v>2294.852726054557</v>
      </c>
      <c r="AC19" s="141">
        <f>'Battery DER'!Y25</f>
        <v>2259.5595411330628</v>
      </c>
      <c r="AD19" s="141">
        <f>'Battery DER'!Z25</f>
        <v>2224.266356211564</v>
      </c>
      <c r="AE19" s="141">
        <f>'Battery DER'!AA25</f>
        <v>2188.9731712900693</v>
      </c>
      <c r="AF19" s="141">
        <f>'Battery DER'!AB25</f>
        <v>2153.6799863685746</v>
      </c>
      <c r="AG19" s="141">
        <f>'Battery DER'!AC25</f>
        <v>2117.6159241143237</v>
      </c>
    </row>
    <row r="20" spans="2:36" s="168" customFormat="1" ht="17.25">
      <c r="B20" s="216" t="s">
        <v>165</v>
      </c>
      <c r="C20" s="214"/>
      <c r="D20" s="214"/>
      <c r="E20" s="214"/>
      <c r="F20" s="215" t="s">
        <v>71</v>
      </c>
      <c r="G20" s="215" t="s">
        <v>71</v>
      </c>
      <c r="H20" s="215" t="s">
        <v>71</v>
      </c>
      <c r="I20" s="215" t="s">
        <v>71</v>
      </c>
      <c r="J20" s="215" t="s">
        <v>71</v>
      </c>
      <c r="K20" s="215" t="s">
        <v>71</v>
      </c>
      <c r="L20" s="215" t="s">
        <v>71</v>
      </c>
      <c r="M20" s="215" t="s">
        <v>71</v>
      </c>
      <c r="N20" s="215" t="s">
        <v>71</v>
      </c>
      <c r="O20" s="215" t="s">
        <v>71</v>
      </c>
      <c r="P20" s="215" t="s">
        <v>71</v>
      </c>
      <c r="Q20" s="215" t="s">
        <v>71</v>
      </c>
      <c r="R20" s="215" t="s">
        <v>71</v>
      </c>
      <c r="S20" s="215" t="s">
        <v>71</v>
      </c>
      <c r="T20" s="215" t="s">
        <v>71</v>
      </c>
      <c r="U20" s="215" t="s">
        <v>71</v>
      </c>
      <c r="V20" s="215" t="s">
        <v>71</v>
      </c>
      <c r="W20" s="215" t="s">
        <v>71</v>
      </c>
      <c r="X20" s="215" t="s">
        <v>71</v>
      </c>
      <c r="Y20" s="215" t="s">
        <v>71</v>
      </c>
      <c r="Z20" s="215" t="s">
        <v>71</v>
      </c>
      <c r="AA20" s="215" t="s">
        <v>71</v>
      </c>
      <c r="AB20" s="215" t="s">
        <v>71</v>
      </c>
      <c r="AC20" s="215" t="s">
        <v>71</v>
      </c>
      <c r="AD20" s="215" t="s">
        <v>71</v>
      </c>
      <c r="AE20" s="215" t="s">
        <v>71</v>
      </c>
      <c r="AF20" s="215" t="s">
        <v>71</v>
      </c>
      <c r="AG20" s="215" t="s">
        <v>71</v>
      </c>
    </row>
    <row r="21" spans="2:36" s="168" customFormat="1" ht="17.25">
      <c r="B21" s="216" t="s">
        <v>166</v>
      </c>
      <c r="C21" s="214"/>
      <c r="D21" s="214"/>
      <c r="E21" s="214"/>
      <c r="F21" s="215" t="s">
        <v>71</v>
      </c>
      <c r="G21" s="215" t="s">
        <v>71</v>
      </c>
      <c r="H21" s="215" t="s">
        <v>71</v>
      </c>
      <c r="I21" s="215" t="s">
        <v>71</v>
      </c>
      <c r="J21" s="215" t="s">
        <v>71</v>
      </c>
      <c r="K21" s="215" t="s">
        <v>71</v>
      </c>
      <c r="L21" s="215" t="s">
        <v>71</v>
      </c>
      <c r="M21" s="215" t="s">
        <v>71</v>
      </c>
      <c r="N21" s="215" t="s">
        <v>71</v>
      </c>
      <c r="O21" s="215" t="s">
        <v>71</v>
      </c>
      <c r="P21" s="215" t="s">
        <v>71</v>
      </c>
      <c r="Q21" s="215" t="s">
        <v>71</v>
      </c>
      <c r="R21" s="215" t="s">
        <v>71</v>
      </c>
      <c r="S21" s="215" t="s">
        <v>71</v>
      </c>
      <c r="T21" s="215" t="s">
        <v>71</v>
      </c>
      <c r="U21" s="215" t="s">
        <v>71</v>
      </c>
      <c r="V21" s="215" t="s">
        <v>71</v>
      </c>
      <c r="W21" s="215" t="s">
        <v>71</v>
      </c>
      <c r="X21" s="215" t="s">
        <v>71</v>
      </c>
      <c r="Y21" s="215" t="s">
        <v>71</v>
      </c>
      <c r="Z21" s="215" t="s">
        <v>71</v>
      </c>
      <c r="AA21" s="215" t="s">
        <v>71</v>
      </c>
      <c r="AB21" s="215" t="s">
        <v>71</v>
      </c>
      <c r="AC21" s="215" t="s">
        <v>71</v>
      </c>
      <c r="AD21" s="215" t="s">
        <v>71</v>
      </c>
      <c r="AE21" s="215" t="s">
        <v>71</v>
      </c>
      <c r="AF21" s="215" t="s">
        <v>71</v>
      </c>
      <c r="AG21" s="215" t="s">
        <v>71</v>
      </c>
    </row>
    <row r="22" spans="2:36" s="168" customFormat="1" ht="17.25">
      <c r="B22" s="216" t="s">
        <v>167</v>
      </c>
      <c r="C22" s="214"/>
      <c r="D22" s="214"/>
      <c r="E22" s="214"/>
      <c r="F22" s="215" t="s">
        <v>71</v>
      </c>
      <c r="G22" s="215" t="s">
        <v>71</v>
      </c>
      <c r="H22" s="215" t="s">
        <v>71</v>
      </c>
      <c r="I22" s="215" t="s">
        <v>71</v>
      </c>
      <c r="J22" s="215" t="s">
        <v>71</v>
      </c>
      <c r="K22" s="215" t="s">
        <v>71</v>
      </c>
      <c r="L22" s="215" t="s">
        <v>71</v>
      </c>
      <c r="M22" s="215" t="s">
        <v>71</v>
      </c>
      <c r="N22" s="215" t="s">
        <v>71</v>
      </c>
      <c r="O22" s="215" t="s">
        <v>71</v>
      </c>
      <c r="P22" s="215" t="s">
        <v>71</v>
      </c>
      <c r="Q22" s="215" t="s">
        <v>71</v>
      </c>
      <c r="R22" s="215" t="s">
        <v>71</v>
      </c>
      <c r="S22" s="215" t="s">
        <v>71</v>
      </c>
      <c r="T22" s="215" t="s">
        <v>71</v>
      </c>
      <c r="U22" s="215" t="s">
        <v>71</v>
      </c>
      <c r="V22" s="215" t="s">
        <v>71</v>
      </c>
      <c r="W22" s="215" t="s">
        <v>71</v>
      </c>
      <c r="X22" s="215" t="s">
        <v>71</v>
      </c>
      <c r="Y22" s="215" t="s">
        <v>71</v>
      </c>
      <c r="Z22" s="215" t="s">
        <v>71</v>
      </c>
      <c r="AA22" s="215" t="s">
        <v>71</v>
      </c>
      <c r="AB22" s="215" t="s">
        <v>71</v>
      </c>
      <c r="AC22" s="215" t="s">
        <v>71</v>
      </c>
      <c r="AD22" s="215" t="s">
        <v>71</v>
      </c>
      <c r="AE22" s="215" t="s">
        <v>71</v>
      </c>
      <c r="AF22" s="215" t="s">
        <v>71</v>
      </c>
      <c r="AG22" s="215" t="s">
        <v>71</v>
      </c>
    </row>
    <row r="23" spans="2:36">
      <c r="B23" s="18" t="s">
        <v>50</v>
      </c>
      <c r="C23" s="18"/>
      <c r="D23" s="18"/>
      <c r="E23" s="18"/>
      <c r="F23" s="141">
        <f>'Frame Peaker'!B27</f>
        <v>943.71551884765506</v>
      </c>
      <c r="G23" s="141">
        <f>'Frame Peaker'!C27</f>
        <v>921.88148370722092</v>
      </c>
      <c r="H23" s="141">
        <f>'Frame Peaker'!D27</f>
        <v>904.89945637577216</v>
      </c>
      <c r="I23" s="141">
        <f>'Frame Peaker'!E27</f>
        <v>895.19544075780141</v>
      </c>
      <c r="J23" s="141">
        <f>'Frame Peaker'!F27</f>
        <v>883.06542123533791</v>
      </c>
      <c r="K23" s="141">
        <f>'Frame Peaker'!G27</f>
        <v>875.7874095218599</v>
      </c>
      <c r="L23" s="141">
        <f>'Frame Peaker'!H27</f>
        <v>868.50939780838166</v>
      </c>
      <c r="M23" s="141">
        <f>'Frame Peaker'!I27</f>
        <v>863.6573899993964</v>
      </c>
      <c r="N23" s="141">
        <f>'Frame Peaker'!J27</f>
        <v>857.59238023816465</v>
      </c>
      <c r="O23" s="141">
        <f>'Frame Peaker'!K27</f>
        <v>852.74037242917927</v>
      </c>
      <c r="P23" s="141">
        <f>'Frame Peaker'!L27</f>
        <v>847.8883646201939</v>
      </c>
      <c r="Q23" s="141">
        <f>'Frame Peaker'!M27</f>
        <v>844.24935876345489</v>
      </c>
      <c r="R23" s="141">
        <f>'Frame Peaker'!N27</f>
        <v>839.39735095446952</v>
      </c>
      <c r="S23" s="141">
        <f>'Frame Peaker'!O27</f>
        <v>834.54534314548414</v>
      </c>
      <c r="T23" s="141">
        <f>'Frame Peaker'!P27</f>
        <v>829.69333533649865</v>
      </c>
      <c r="U23" s="141">
        <f>'Frame Peaker'!Q27</f>
        <v>826.05432947975964</v>
      </c>
      <c r="V23" s="141">
        <f>'Frame Peaker'!R27</f>
        <v>821.20232167077438</v>
      </c>
      <c r="W23" s="141">
        <f>'Frame Peaker'!S27</f>
        <v>816.35031386178889</v>
      </c>
      <c r="X23" s="141">
        <f>'Frame Peaker'!T27</f>
        <v>811.49830605280363</v>
      </c>
      <c r="Y23" s="141">
        <f>'Frame Peaker'!U27</f>
        <v>807.85930019606462</v>
      </c>
      <c r="Z23" s="141">
        <f>'Frame Peaker'!V27</f>
        <v>803.00729238707913</v>
      </c>
      <c r="AA23" s="141">
        <f>'Frame Peaker'!W27</f>
        <v>798.15528457809376</v>
      </c>
      <c r="AB23" s="141">
        <f>'Frame Peaker'!X27</f>
        <v>793.30327676910838</v>
      </c>
      <c r="AC23" s="141">
        <f>'Frame Peaker'!Y27</f>
        <v>789.66427091236937</v>
      </c>
      <c r="AD23" s="141">
        <f>'Frame Peaker'!Z27</f>
        <v>784.81226310338411</v>
      </c>
      <c r="AE23" s="141">
        <f>'Frame Peaker'!AA27</f>
        <v>781.17325724664511</v>
      </c>
      <c r="AF23" s="141">
        <f>'Frame Peaker'!AB27</f>
        <v>779.96025529439873</v>
      </c>
      <c r="AG23" s="141">
        <f>'Frame Peaker'!AC27</f>
        <v>777.53425138990599</v>
      </c>
    </row>
    <row r="24" spans="2:36">
      <c r="B24" s="18" t="s">
        <v>51</v>
      </c>
      <c r="C24" s="18"/>
      <c r="D24" s="18"/>
      <c r="E24" s="18"/>
      <c r="F24" s="141">
        <f>CCCT!B33</f>
        <v>987.08880069031079</v>
      </c>
      <c r="G24" s="141">
        <f>CCCT!C33</f>
        <v>973.5978375829261</v>
      </c>
      <c r="H24" s="141">
        <f>CCCT!D33</f>
        <v>964.60386217800306</v>
      </c>
      <c r="I24" s="141">
        <f>CCCT!E33</f>
        <v>957.85838062431071</v>
      </c>
      <c r="J24" s="141">
        <f>CCCT!F33</f>
        <v>949.9886521450029</v>
      </c>
      <c r="K24" s="141">
        <f>CCCT!G33</f>
        <v>944.36741751692591</v>
      </c>
      <c r="L24" s="141">
        <f>CCCT!H33</f>
        <v>938.74618288884903</v>
      </c>
      <c r="M24" s="141">
        <f>CCCT!I33</f>
        <v>935.37344211200286</v>
      </c>
      <c r="N24" s="141">
        <f>CCCT!J33</f>
        <v>929.75220748392587</v>
      </c>
      <c r="O24" s="141">
        <f>CCCT!K33</f>
        <v>926.3794667070797</v>
      </c>
      <c r="P24" s="141">
        <f>CCCT!L33</f>
        <v>921.88247900461829</v>
      </c>
      <c r="Q24" s="141">
        <f>CCCT!M33</f>
        <v>918.509738227772</v>
      </c>
      <c r="R24" s="141">
        <f>CCCT!N33</f>
        <v>914.01275052531048</v>
      </c>
      <c r="S24" s="141">
        <f>CCCT!O33</f>
        <v>910.64000974846431</v>
      </c>
      <c r="T24" s="141">
        <f>CCCT!P33</f>
        <v>906.14302204600267</v>
      </c>
      <c r="U24" s="141">
        <f>CCCT!Q33</f>
        <v>902.7702812691565</v>
      </c>
      <c r="V24" s="141">
        <f>CCCT!R33</f>
        <v>898.27329356669497</v>
      </c>
      <c r="W24" s="141">
        <f>CCCT!S33</f>
        <v>894.90055278984869</v>
      </c>
      <c r="X24" s="141">
        <f>CCCT!T33</f>
        <v>891.52781201300263</v>
      </c>
      <c r="Y24" s="141">
        <f>CCCT!U33</f>
        <v>887.03082431054111</v>
      </c>
      <c r="Z24" s="141">
        <f>CCCT!V33</f>
        <v>883.65808353369493</v>
      </c>
      <c r="AA24" s="141">
        <f>CCCT!W33</f>
        <v>879.1610958312333</v>
      </c>
      <c r="AB24" s="141">
        <f>CCCT!X33</f>
        <v>875.78835505438713</v>
      </c>
      <c r="AC24" s="141">
        <f>CCCT!Y33</f>
        <v>871.2913673519256</v>
      </c>
      <c r="AD24" s="141">
        <f>CCCT!Z33</f>
        <v>867.91862657507943</v>
      </c>
      <c r="AE24" s="141">
        <f>CCCT!AA33</f>
        <v>863.4216388726179</v>
      </c>
      <c r="AF24" s="141">
        <f>CCCT!AB33</f>
        <v>861.17314502138709</v>
      </c>
      <c r="AG24" s="141">
        <f>CCCT!AC33</f>
        <v>858.92465117015627</v>
      </c>
    </row>
    <row r="25" spans="2:36">
      <c r="B25" s="18" t="s">
        <v>168</v>
      </c>
      <c r="C25" s="18"/>
      <c r="D25" s="18"/>
      <c r="E25" s="18"/>
      <c r="F25" s="144">
        <f>'Recip Peaker'!B28</f>
        <v>2045.2460424148403</v>
      </c>
      <c r="G25">
        <f>'Recip Peaker'!C28</f>
        <v>2017.6824514858074</v>
      </c>
      <c r="H25">
        <f>'Recip Peaker'!D28</f>
        <v>2001.3624067105279</v>
      </c>
      <c r="I25" s="144">
        <f>'Recip Peaker'!E28</f>
        <v>1982.8688738528283</v>
      </c>
      <c r="J25">
        <f>'Recip Peaker'!F28</f>
        <v>1958.4339334389911</v>
      </c>
      <c r="K25">
        <f>'Recip Peaker'!G28</f>
        <v>1932.7305976191174</v>
      </c>
      <c r="L25" s="144">
        <f>'Recip Peaker'!H28</f>
        <v>1908.0153834986131</v>
      </c>
      <c r="M25">
        <f>'Recip Peaker'!I28</f>
        <v>1889.1543640086456</v>
      </c>
      <c r="N25">
        <f>'Recip Peaker'!J28</f>
        <v>1872.3998995052766</v>
      </c>
      <c r="O25" s="144">
        <f>'Recip Peaker'!K28</f>
        <v>1855.7150296371694</v>
      </c>
      <c r="P25">
        <f>'Recip Peaker'!L28</f>
        <v>1839.7399081196165</v>
      </c>
      <c r="Q25">
        <f>'Recip Peaker'!M28</f>
        <v>1826.3146348456294</v>
      </c>
      <c r="R25" s="144">
        <f>'Recip Peaker'!N28</f>
        <v>1811.8199845166164</v>
      </c>
      <c r="S25">
        <f>'Recip Peaker'!O28</f>
        <v>1799.7024045952205</v>
      </c>
      <c r="T25">
        <f>'Recip Peaker'!P28</f>
        <v>1791.8774184122419</v>
      </c>
      <c r="U25" s="144">
        <f>'Recip Peaker'!Q28</f>
        <v>1784.4688494416575</v>
      </c>
      <c r="V25">
        <f>'Recip Peaker'!R28</f>
        <v>1777.0702962915559</v>
      </c>
      <c r="W25">
        <f>'Recip Peaker'!S28</f>
        <v>1769.2043651852171</v>
      </c>
      <c r="X25" s="144">
        <f>'Recip Peaker'!T28</f>
        <v>1760.0334033041734</v>
      </c>
      <c r="Y25">
        <f>'Recip Peaker'!U28</f>
        <v>1750.5578285976994</v>
      </c>
      <c r="Z25">
        <f>'Recip Peaker'!V28</f>
        <v>1740.6259052796586</v>
      </c>
      <c r="AA25" s="144">
        <f>'Recip Peaker'!W28</f>
        <v>1729.9754857342627</v>
      </c>
      <c r="AB25">
        <f>'Recip Peaker'!X28</f>
        <v>1719.3459825866028</v>
      </c>
      <c r="AC25">
        <f>'Recip Peaker'!Y28</f>
        <v>1709.6764602653977</v>
      </c>
      <c r="AD25" s="144">
        <f>'Recip Peaker'!Z28</f>
        <v>1699.5917865985862</v>
      </c>
      <c r="AE25">
        <f>'Recip Peaker'!AA28</f>
        <v>1690.4241207480468</v>
      </c>
      <c r="AF25">
        <f>'Recip Peaker'!AB28</f>
        <v>1682.4880892827987</v>
      </c>
      <c r="AG25" s="144">
        <f>'Recip Peaker'!AC28</f>
        <v>1673.6950099260755</v>
      </c>
    </row>
    <row r="26" spans="2:36">
      <c r="B26" s="18" t="s">
        <v>53</v>
      </c>
      <c r="C26" s="18"/>
      <c r="D26" s="18"/>
      <c r="E26" s="18"/>
      <c r="F26" s="144">
        <f>'Small Modular Nuclear'!B28</f>
        <v>10930.335336856853</v>
      </c>
      <c r="G26" s="144">
        <f>'Small Modular Nuclear'!C28</f>
        <v>10860.709006502622</v>
      </c>
      <c r="H26" s="144">
        <f>'Small Modular Nuclear'!D28</f>
        <v>10791.090586630118</v>
      </c>
      <c r="I26" s="144">
        <f>'Small Modular Nuclear'!E28</f>
        <v>10769.87123729926</v>
      </c>
      <c r="J26" s="144">
        <f>'Small Modular Nuclear'!F28</f>
        <v>10748.279120937505</v>
      </c>
      <c r="K26" s="144">
        <f>'Small Modular Nuclear'!G28</f>
        <v>10726.320005951786</v>
      </c>
      <c r="L26" s="144">
        <f>'Small Modular Nuclear'!H28</f>
        <v>10703.982179410061</v>
      </c>
      <c r="M26" s="144">
        <f>'Small Modular Nuclear'!I28</f>
        <v>10681.264685799628</v>
      </c>
      <c r="N26" s="144">
        <f>'Small Modular Nuclear'!J28</f>
        <v>10610.052132831048</v>
      </c>
      <c r="O26" s="144">
        <f>'Small Modular Nuclear'!K28</f>
        <v>10538.842648379556</v>
      </c>
      <c r="P26" s="144">
        <f>'Small Modular Nuclear'!L28</f>
        <v>10467.638987396824</v>
      </c>
      <c r="Q26" s="144">
        <f>'Small Modular Nuclear'!M28</f>
        <v>10396.421742150109</v>
      </c>
      <c r="R26" s="144">
        <f>'Small Modular Nuclear'!N28</f>
        <v>10325.214710458307</v>
      </c>
      <c r="S26" s="144">
        <f>'Small Modular Nuclear'!O28</f>
        <v>10254.005213536853</v>
      </c>
      <c r="T26" s="144">
        <f>'Small Modular Nuclear'!P28</f>
        <v>10182.801554157419</v>
      </c>
      <c r="U26" s="144">
        <f>'Small Modular Nuclear'!Q28</f>
        <v>10111.591678065246</v>
      </c>
      <c r="V26" s="144">
        <f>'Small Modular Nuclear'!R28</f>
        <v>10040.383486506757</v>
      </c>
      <c r="W26" s="144">
        <f>'Small Modular Nuclear'!S28</f>
        <v>9969.1777852147079</v>
      </c>
      <c r="X26" s="144">
        <f>'Small Modular Nuclear'!T28</f>
        <v>9897.961569522633</v>
      </c>
      <c r="Y26" s="144">
        <f>'Small Modular Nuclear'!U28</f>
        <v>9826.7529660078126</v>
      </c>
      <c r="Z26" s="144">
        <f>'Small Modular Nuclear'!V28</f>
        <v>9755.5439860259594</v>
      </c>
      <c r="AA26" s="144">
        <f>'Small Modular Nuclear'!W28</f>
        <v>9684.3349614080562</v>
      </c>
      <c r="AB26" s="144">
        <f>'Small Modular Nuclear'!X28</f>
        <v>9613.1348743850667</v>
      </c>
      <c r="AC26" s="144">
        <f>'Small Modular Nuclear'!Y28</f>
        <v>9541.9248560960077</v>
      </c>
      <c r="AD26" s="144">
        <f>'Small Modular Nuclear'!Z28</f>
        <v>9470.7162957288856</v>
      </c>
      <c r="AE26" s="144">
        <f>'Small Modular Nuclear'!AA28</f>
        <v>9399.5025121769158</v>
      </c>
      <c r="AF26" s="144">
        <f>'Small Modular Nuclear'!AB28</f>
        <v>9328.2939978253653</v>
      </c>
      <c r="AG26" s="144">
        <f>'Small Modular Nuclear'!AC28</f>
        <v>9257.0856485492041</v>
      </c>
    </row>
    <row r="27" spans="2:36" ht="17.25">
      <c r="B27" s="18" t="s">
        <v>169</v>
      </c>
      <c r="C27" s="18"/>
      <c r="D27" s="18"/>
      <c r="E27" s="18"/>
      <c r="F27" s="22">
        <f>Hybrid!B64</f>
        <v>1334.6666016713093</v>
      </c>
      <c r="G27" s="22">
        <f>Hybrid!C64</f>
        <v>1282.4387432139788</v>
      </c>
      <c r="H27" s="22">
        <f>Hybrid!D64</f>
        <v>1230.2108847566485</v>
      </c>
      <c r="I27" s="22">
        <f>Hybrid!E64</f>
        <v>1179.449050361445</v>
      </c>
      <c r="J27" s="22">
        <f>Hybrid!F64</f>
        <v>1128.5581401307677</v>
      </c>
      <c r="K27" s="22">
        <f>Hybrid!G64</f>
        <v>1077.5380286023801</v>
      </c>
      <c r="L27" s="22">
        <f>Hybrid!H64</f>
        <v>1026.3885897632053</v>
      </c>
      <c r="M27" s="22">
        <f>Hybrid!I64</f>
        <v>975.10969705160971</v>
      </c>
      <c r="N27" s="22">
        <f>Hybrid!J64</f>
        <v>965.35860008109375</v>
      </c>
      <c r="O27" s="22">
        <f>Hybrid!K64</f>
        <v>955.60750311057757</v>
      </c>
      <c r="P27" s="22">
        <f>Hybrid!L64</f>
        <v>945.85640614006161</v>
      </c>
      <c r="Q27" s="22">
        <f>Hybrid!M64</f>
        <v>936.10530916954542</v>
      </c>
      <c r="R27" s="22">
        <f>Hybrid!N64</f>
        <v>926.35421219902935</v>
      </c>
      <c r="S27" s="22">
        <f>Hybrid!O64</f>
        <v>916.60311522851327</v>
      </c>
      <c r="T27" s="22">
        <f>Hybrid!P64</f>
        <v>906.85201825799709</v>
      </c>
      <c r="U27" s="22">
        <f>Hybrid!Q64</f>
        <v>897.10092128748101</v>
      </c>
      <c r="V27" s="22">
        <f>Hybrid!R64</f>
        <v>887.34982431696483</v>
      </c>
      <c r="W27" s="22">
        <f>Hybrid!S64</f>
        <v>877.59872734644864</v>
      </c>
      <c r="X27" s="22">
        <f>Hybrid!T64</f>
        <v>867.84763037593257</v>
      </c>
      <c r="Y27" s="22">
        <f>Hybrid!U64</f>
        <v>858.09653340541649</v>
      </c>
      <c r="Z27" s="22">
        <f>Hybrid!V64</f>
        <v>848.34543643490042</v>
      </c>
      <c r="AA27" s="22">
        <f>Hybrid!W64</f>
        <v>838.59433946438423</v>
      </c>
      <c r="AB27" s="22">
        <f>Hybrid!X64</f>
        <v>828.84324249386816</v>
      </c>
      <c r="AC27" s="22">
        <f>Hybrid!Y64</f>
        <v>819.09214552335209</v>
      </c>
      <c r="AD27" s="22">
        <f>Hybrid!Z64</f>
        <v>809.3410485528359</v>
      </c>
      <c r="AE27" s="22">
        <f>Hybrid!AA64</f>
        <v>799.58995158231983</v>
      </c>
      <c r="AF27" s="22">
        <f>Hybrid!AB64</f>
        <v>789.83885461180364</v>
      </c>
      <c r="AG27" s="22">
        <f>Hybrid!AC64</f>
        <v>780.08775764128757</v>
      </c>
      <c r="AH27" s="95"/>
      <c r="AI27" s="95"/>
      <c r="AJ27" s="95"/>
    </row>
    <row r="28" spans="2:36" ht="17.25">
      <c r="B28" s="18" t="s">
        <v>170</v>
      </c>
      <c r="C28" s="18"/>
      <c r="D28" s="18"/>
      <c r="E28" s="18"/>
      <c r="F28" s="22">
        <f>Hybrid!B56</f>
        <v>1088.7107631573383</v>
      </c>
      <c r="G28" s="22">
        <f>Hybrid!C56</f>
        <v>1042.0325360226809</v>
      </c>
      <c r="H28" s="22">
        <f>Hybrid!D56</f>
        <v>995.35430888802341</v>
      </c>
      <c r="I28" s="22">
        <f>Hybrid!E56</f>
        <v>949.40466886084278</v>
      </c>
      <c r="J28" s="22">
        <f>Hybrid!F56</f>
        <v>903.38266299551026</v>
      </c>
      <c r="K28" s="22">
        <f>Hybrid!G56</f>
        <v>857.28839677932149</v>
      </c>
      <c r="L28" s="22">
        <f>Hybrid!H56</f>
        <v>811.12197529239404</v>
      </c>
      <c r="M28" s="22">
        <f>Hybrid!I56</f>
        <v>764.88350321011376</v>
      </c>
      <c r="N28" s="22">
        <f>Hybrid!J56</f>
        <v>758.06773633178773</v>
      </c>
      <c r="O28" s="22">
        <f>Hybrid!K56</f>
        <v>751.2519694534617</v>
      </c>
      <c r="P28" s="22">
        <f>Hybrid!L56</f>
        <v>744.43620257513567</v>
      </c>
      <c r="Q28" s="22">
        <f>Hybrid!M56</f>
        <v>737.62043569680964</v>
      </c>
      <c r="R28" s="22">
        <f>Hybrid!N56</f>
        <v>730.80466881848361</v>
      </c>
      <c r="S28" s="22">
        <f>Hybrid!O56</f>
        <v>723.98890194015758</v>
      </c>
      <c r="T28" s="22">
        <f>Hybrid!P56</f>
        <v>717.17313506183154</v>
      </c>
      <c r="U28" s="22">
        <f>Hybrid!Q56</f>
        <v>710.35736818350551</v>
      </c>
      <c r="V28" s="22">
        <f>Hybrid!R56</f>
        <v>703.54160130517948</v>
      </c>
      <c r="W28" s="22">
        <f>Hybrid!S56</f>
        <v>696.72583442685345</v>
      </c>
      <c r="X28" s="22">
        <f>Hybrid!T56</f>
        <v>689.91006754852742</v>
      </c>
      <c r="Y28" s="22">
        <f>Hybrid!U56</f>
        <v>683.09430067020139</v>
      </c>
      <c r="Z28" s="22">
        <f>Hybrid!V56</f>
        <v>676.27853379187536</v>
      </c>
      <c r="AA28" s="22">
        <f>Hybrid!W56</f>
        <v>669.46276691354933</v>
      </c>
      <c r="AB28" s="22">
        <f>Hybrid!X56</f>
        <v>662.6470000352233</v>
      </c>
      <c r="AC28" s="22">
        <f>Hybrid!Y56</f>
        <v>655.83123315689727</v>
      </c>
      <c r="AD28" s="22">
        <f>Hybrid!Z56</f>
        <v>649.01546627857113</v>
      </c>
      <c r="AE28" s="22">
        <f>Hybrid!AA56</f>
        <v>642.19969940024509</v>
      </c>
      <c r="AF28" s="22">
        <f>Hybrid!AB56</f>
        <v>635.38393252191906</v>
      </c>
      <c r="AG28" s="22">
        <f>Hybrid!AC56</f>
        <v>628.56816564359315</v>
      </c>
      <c r="AH28" s="95"/>
      <c r="AI28" s="95"/>
      <c r="AJ28" s="95"/>
    </row>
    <row r="29" spans="2:36" ht="17.25">
      <c r="B29" s="18" t="s">
        <v>171</v>
      </c>
      <c r="C29" s="18"/>
      <c r="D29" s="18"/>
      <c r="E29" s="18"/>
      <c r="F29" s="22">
        <f>Hybrid!B60</f>
        <v>1262.1588025987321</v>
      </c>
      <c r="G29" s="22">
        <f>Hybrid!C60</f>
        <v>1172.755887414655</v>
      </c>
      <c r="H29" s="22">
        <f>Hybrid!D60</f>
        <v>1109.6479472847186</v>
      </c>
      <c r="I29" s="22">
        <f>Hybrid!E60</f>
        <v>1062.3169921872661</v>
      </c>
      <c r="J29" s="22">
        <f>Hybrid!F60</f>
        <v>1020.2450321006417</v>
      </c>
      <c r="K29" s="22">
        <f>Hybrid!G60</f>
        <v>972.91407700318928</v>
      </c>
      <c r="L29" s="22">
        <f>Hybrid!H60</f>
        <v>936.10111192739294</v>
      </c>
      <c r="M29" s="22">
        <f>Hybrid!I60</f>
        <v>899.28814685159648</v>
      </c>
      <c r="N29" s="22">
        <f>Hybrid!J60</f>
        <v>888.49405959187254</v>
      </c>
      <c r="O29" s="22">
        <f>Hybrid!K60</f>
        <v>877.25295775622601</v>
      </c>
      <c r="P29" s="22">
        <f>Hybrid!L60</f>
        <v>866.01185592058243</v>
      </c>
      <c r="Q29" s="22">
        <f>Hybrid!M60</f>
        <v>854.77075408493886</v>
      </c>
      <c r="R29" s="22">
        <f>Hybrid!N60</f>
        <v>843.52965224929233</v>
      </c>
      <c r="S29" s="22">
        <f>Hybrid!O60</f>
        <v>832.28855041364773</v>
      </c>
      <c r="T29" s="22">
        <f>Hybrid!P60</f>
        <v>821.04744857800119</v>
      </c>
      <c r="U29" s="22">
        <f>Hybrid!Q60</f>
        <v>809.80634674235762</v>
      </c>
      <c r="V29" s="22">
        <f>Hybrid!R60</f>
        <v>798.56524490671404</v>
      </c>
      <c r="W29" s="22">
        <f>Hybrid!S60</f>
        <v>787.32414307106751</v>
      </c>
      <c r="X29" s="22">
        <f>Hybrid!T60</f>
        <v>776.08304123542291</v>
      </c>
      <c r="Y29" s="22">
        <f>Hybrid!U60</f>
        <v>764.84193939977649</v>
      </c>
      <c r="Z29" s="22">
        <f>Hybrid!V60</f>
        <v>753.6008375641328</v>
      </c>
      <c r="AA29" s="22">
        <f>Hybrid!W60</f>
        <v>742.35973572848923</v>
      </c>
      <c r="AB29" s="22">
        <f>Hybrid!X60</f>
        <v>731.11863389284269</v>
      </c>
      <c r="AC29" s="22">
        <f>Hybrid!Y60</f>
        <v>719.87753205719821</v>
      </c>
      <c r="AD29" s="22">
        <f>Hybrid!Z60</f>
        <v>708.63643022155168</v>
      </c>
      <c r="AE29" s="22">
        <f>Hybrid!AA60</f>
        <v>697.3953283859081</v>
      </c>
      <c r="AF29" s="22">
        <f>Hybrid!AB60</f>
        <v>686.15422655026453</v>
      </c>
      <c r="AG29" s="22">
        <f>Hybrid!AC60</f>
        <v>674.91312471461799</v>
      </c>
      <c r="AH29" s="95"/>
      <c r="AI29" s="95"/>
      <c r="AJ29" s="95"/>
    </row>
    <row r="30" spans="2:36" ht="17.25">
      <c r="B30" s="18" t="s">
        <v>172</v>
      </c>
      <c r="C30" s="18"/>
      <c r="D30" s="18"/>
      <c r="E30" s="18"/>
      <c r="F30" s="22">
        <f>Hybrid!B78</f>
        <v>1291.4492618384402</v>
      </c>
      <c r="G30" s="22">
        <f>Hybrid!C78</f>
        <v>1240.9125741235762</v>
      </c>
      <c r="H30" s="22">
        <f>Hybrid!D78</f>
        <v>1190.3758864087122</v>
      </c>
      <c r="I30" s="22">
        <f>Hybrid!E78</f>
        <v>1141.2577519793654</v>
      </c>
      <c r="J30" s="22">
        <f>Hybrid!F78</f>
        <v>1092.0147212708769</v>
      </c>
      <c r="K30" s="22">
        <f>Hybrid!G78</f>
        <v>1042.6466728835553</v>
      </c>
      <c r="L30" s="22">
        <f>Hybrid!H78</f>
        <v>993.15348488470647</v>
      </c>
      <c r="M30" s="22">
        <f>Hybrid!I78</f>
        <v>943.53503481084169</v>
      </c>
      <c r="N30" s="22">
        <f>Hybrid!J78</f>
        <v>934.09968446273342</v>
      </c>
      <c r="O30" s="22">
        <f>Hybrid!K78</f>
        <v>924.66433411462492</v>
      </c>
      <c r="P30" s="22">
        <f>Hybrid!L78</f>
        <v>915.22898376651665</v>
      </c>
      <c r="Q30" s="22">
        <f>Hybrid!M78</f>
        <v>905.79363341840815</v>
      </c>
      <c r="R30" s="22">
        <f>Hybrid!N78</f>
        <v>896.35828307029976</v>
      </c>
      <c r="S30" s="22">
        <f>Hybrid!O78</f>
        <v>886.92293272219138</v>
      </c>
      <c r="T30" s="22">
        <f>Hybrid!P78</f>
        <v>877.48758237408288</v>
      </c>
      <c r="U30" s="22">
        <f>Hybrid!Q78</f>
        <v>868.05223202597449</v>
      </c>
      <c r="V30" s="22">
        <f>Hybrid!R78</f>
        <v>858.61688167786599</v>
      </c>
      <c r="W30" s="22">
        <f>Hybrid!S78</f>
        <v>849.18153132975749</v>
      </c>
      <c r="X30" s="22">
        <f>Hybrid!T78</f>
        <v>839.7461809816491</v>
      </c>
      <c r="Y30" s="22">
        <f>Hybrid!U78</f>
        <v>830.31083063354072</v>
      </c>
      <c r="Z30" s="22">
        <f>Hybrid!V78</f>
        <v>820.87548028543233</v>
      </c>
      <c r="AA30" s="22">
        <f>Hybrid!W78</f>
        <v>811.44012993732383</v>
      </c>
      <c r="AB30" s="22">
        <f>Hybrid!X78</f>
        <v>802.00477958921545</v>
      </c>
      <c r="AC30" s="22">
        <f>Hybrid!Y78</f>
        <v>792.56942924110706</v>
      </c>
      <c r="AD30" s="22">
        <f>Hybrid!Z78</f>
        <v>783.13407889299856</v>
      </c>
      <c r="AE30" s="22">
        <f>Hybrid!AA78</f>
        <v>773.69872854489017</v>
      </c>
      <c r="AF30" s="22">
        <f>Hybrid!AB78</f>
        <v>764.26337819678167</v>
      </c>
      <c r="AG30" s="22">
        <f>Hybrid!AC78</f>
        <v>754.82802784867329</v>
      </c>
      <c r="AH30" s="95"/>
      <c r="AI30" s="95"/>
      <c r="AJ30" s="95"/>
    </row>
    <row r="31" spans="2:36" ht="17.25">
      <c r="B31" s="18" t="s">
        <v>173</v>
      </c>
      <c r="C31" s="18"/>
      <c r="D31" s="18"/>
      <c r="E31" s="18"/>
      <c r="F31" s="22">
        <f>Hybrid!B74</f>
        <v>1057.3371192217828</v>
      </c>
      <c r="G31" s="22">
        <f>Hybrid!C74</f>
        <v>1012.0040299577373</v>
      </c>
      <c r="H31" s="22">
        <f>Hybrid!D74</f>
        <v>966.6709406936917</v>
      </c>
      <c r="I31" s="22">
        <f>Hybrid!E74</f>
        <v>922.04544266451887</v>
      </c>
      <c r="J31" s="22">
        <f>Hybrid!F74</f>
        <v>877.34966418122463</v>
      </c>
      <c r="K31" s="22">
        <f>Hybrid!G74</f>
        <v>832.58370769125133</v>
      </c>
      <c r="L31" s="22">
        <f>Hybrid!H74</f>
        <v>787.74767524659728</v>
      </c>
      <c r="M31" s="22">
        <f>Hybrid!I74</f>
        <v>742.84166850619215</v>
      </c>
      <c r="N31" s="22">
        <f>Hybrid!J74</f>
        <v>736.22231324647464</v>
      </c>
      <c r="O31" s="22">
        <f>Hybrid!K74</f>
        <v>729.60295798675725</v>
      </c>
      <c r="P31" s="22">
        <f>Hybrid!L74</f>
        <v>722.98360272703985</v>
      </c>
      <c r="Q31" s="22">
        <f>Hybrid!M74</f>
        <v>716.36424746732246</v>
      </c>
      <c r="R31" s="22">
        <f>Hybrid!N74</f>
        <v>709.74489220760506</v>
      </c>
      <c r="S31" s="22">
        <f>Hybrid!O74</f>
        <v>703.12553694788767</v>
      </c>
      <c r="T31" s="22">
        <f>Hybrid!P74</f>
        <v>696.50618168817027</v>
      </c>
      <c r="U31" s="22">
        <f>Hybrid!Q74</f>
        <v>689.88682642845288</v>
      </c>
      <c r="V31" s="22">
        <f>Hybrid!R74</f>
        <v>683.26747116873537</v>
      </c>
      <c r="W31" s="22">
        <f>Hybrid!S74</f>
        <v>676.64811590901797</v>
      </c>
      <c r="X31" s="22">
        <f>Hybrid!T74</f>
        <v>670.02876064930058</v>
      </c>
      <c r="Y31" s="22">
        <f>Hybrid!U74</f>
        <v>663.40940538958318</v>
      </c>
      <c r="Z31" s="22">
        <f>Hybrid!V74</f>
        <v>656.79005012986579</v>
      </c>
      <c r="AA31" s="22">
        <f>Hybrid!W74</f>
        <v>650.1706948701484</v>
      </c>
      <c r="AB31" s="22">
        <f>Hybrid!X74</f>
        <v>643.551339610431</v>
      </c>
      <c r="AC31" s="22">
        <f>Hybrid!Y74</f>
        <v>636.93198435071361</v>
      </c>
      <c r="AD31" s="22">
        <f>Hybrid!Z74</f>
        <v>630.3126290909961</v>
      </c>
      <c r="AE31" s="22">
        <f>Hybrid!AA74</f>
        <v>623.6932738312787</v>
      </c>
      <c r="AF31" s="22">
        <f>Hybrid!AB74</f>
        <v>617.07391857156131</v>
      </c>
      <c r="AG31" s="22">
        <f>Hybrid!AC74</f>
        <v>610.45456331184403</v>
      </c>
      <c r="AH31" s="95"/>
      <c r="AI31" s="95"/>
      <c r="AJ31" s="95"/>
    </row>
    <row r="32" spans="2:36" ht="17.25">
      <c r="B32" s="18" t="s">
        <v>174</v>
      </c>
      <c r="C32" s="18"/>
      <c r="D32" s="18"/>
      <c r="E32" s="18"/>
      <c r="F32" s="22">
        <f>Hybrid!B82</f>
        <v>1251.0078431313846</v>
      </c>
      <c r="G32" s="22">
        <f>Hybrid!C82</f>
        <v>1162.3947875762447</v>
      </c>
      <c r="H32" s="22">
        <f>Hybrid!D82</f>
        <v>1099.8443954196757</v>
      </c>
      <c r="I32" s="22">
        <f>Hybrid!E82</f>
        <v>1052.9316013022487</v>
      </c>
      <c r="J32" s="22">
        <f>Hybrid!F82</f>
        <v>1011.2313398645359</v>
      </c>
      <c r="K32" s="22">
        <f>Hybrid!G82</f>
        <v>964.31854574710906</v>
      </c>
      <c r="L32" s="22">
        <f>Hybrid!H82</f>
        <v>927.83081698911042</v>
      </c>
      <c r="M32" s="22">
        <f>Hybrid!I82</f>
        <v>891.34308823111155</v>
      </c>
      <c r="N32" s="22">
        <f>Hybrid!J82</f>
        <v>880.64436490599894</v>
      </c>
      <c r="O32" s="22">
        <f>Hybrid!K82</f>
        <v>869.50257630310841</v>
      </c>
      <c r="P32" s="22">
        <f>Hybrid!L82</f>
        <v>858.36078770022095</v>
      </c>
      <c r="Q32" s="22">
        <f>Hybrid!M82</f>
        <v>847.21899909733349</v>
      </c>
      <c r="R32" s="22">
        <f>Hybrid!N82</f>
        <v>836.07721049444297</v>
      </c>
      <c r="S32" s="22">
        <f>Hybrid!O82</f>
        <v>824.93542189155448</v>
      </c>
      <c r="T32" s="22">
        <f>Hybrid!P82</f>
        <v>813.79363328866407</v>
      </c>
      <c r="U32" s="22">
        <f>Hybrid!Q82</f>
        <v>802.6518446857765</v>
      </c>
      <c r="V32" s="22">
        <f>Hybrid!R82</f>
        <v>791.51005608288892</v>
      </c>
      <c r="W32" s="22">
        <f>Hybrid!S82</f>
        <v>780.36826747999851</v>
      </c>
      <c r="X32" s="22">
        <f>Hybrid!T82</f>
        <v>769.22647887711003</v>
      </c>
      <c r="Y32" s="22">
        <f>Hybrid!U82</f>
        <v>758.08469027421972</v>
      </c>
      <c r="Z32" s="22">
        <f>Hybrid!V82</f>
        <v>746.94290167133215</v>
      </c>
      <c r="AA32" s="22">
        <f>Hybrid!W82</f>
        <v>735.80111306844458</v>
      </c>
      <c r="AB32" s="22">
        <f>Hybrid!X82</f>
        <v>724.65932446555416</v>
      </c>
      <c r="AC32" s="22">
        <f>Hybrid!Y82</f>
        <v>713.51753586266568</v>
      </c>
      <c r="AD32" s="22">
        <f>Hybrid!Z82</f>
        <v>702.37574725977527</v>
      </c>
      <c r="AE32" s="22">
        <f>Hybrid!AA82</f>
        <v>691.23395865688781</v>
      </c>
      <c r="AF32" s="22">
        <f>Hybrid!AB82</f>
        <v>680.09217005400035</v>
      </c>
      <c r="AG32" s="22">
        <f>Hybrid!AC82</f>
        <v>668.95038145110982</v>
      </c>
      <c r="AH32" s="95"/>
      <c r="AI32" s="95"/>
      <c r="AJ32" s="95"/>
    </row>
    <row r="34" spans="1:37">
      <c r="A34" s="133" t="s">
        <v>54</v>
      </c>
    </row>
    <row r="35" spans="1:37">
      <c r="A35" s="133" t="s">
        <v>175</v>
      </c>
    </row>
    <row r="36" spans="1:37">
      <c r="A36" s="133" t="s">
        <v>176</v>
      </c>
    </row>
    <row r="38" spans="1:37" ht="21">
      <c r="A38" s="80" t="s">
        <v>177</v>
      </c>
    </row>
    <row r="39" spans="1:37" ht="21">
      <c r="A39" s="80"/>
      <c r="B39" s="112" t="s">
        <v>95</v>
      </c>
      <c r="C39" s="112">
        <v>2020</v>
      </c>
      <c r="D39" s="112">
        <v>2021</v>
      </c>
      <c r="E39" s="112">
        <v>2022</v>
      </c>
      <c r="F39" s="18">
        <v>2023</v>
      </c>
      <c r="G39" s="18">
        <v>2024</v>
      </c>
      <c r="H39" s="18">
        <v>2025</v>
      </c>
      <c r="I39" s="18">
        <v>2026</v>
      </c>
      <c r="J39" s="18">
        <v>2027</v>
      </c>
      <c r="K39" s="18">
        <v>2028</v>
      </c>
      <c r="L39" s="18">
        <v>2029</v>
      </c>
      <c r="M39" s="18">
        <v>2030</v>
      </c>
      <c r="N39" s="18">
        <v>2031</v>
      </c>
      <c r="O39" s="18">
        <v>2032</v>
      </c>
      <c r="P39" s="18">
        <v>2033</v>
      </c>
      <c r="Q39" s="18">
        <v>2034</v>
      </c>
      <c r="R39" s="18">
        <v>2035</v>
      </c>
      <c r="S39" s="18">
        <v>2036</v>
      </c>
      <c r="T39" s="18">
        <v>2037</v>
      </c>
      <c r="U39" s="18">
        <v>2038</v>
      </c>
      <c r="V39" s="18">
        <v>2039</v>
      </c>
      <c r="W39" s="18">
        <v>2040</v>
      </c>
      <c r="X39" s="18">
        <v>2041</v>
      </c>
      <c r="Y39" s="18">
        <v>2042</v>
      </c>
      <c r="Z39" s="18">
        <v>2043</v>
      </c>
      <c r="AA39" s="18">
        <v>2044</v>
      </c>
      <c r="AB39" s="18">
        <v>2045</v>
      </c>
      <c r="AC39" s="18">
        <v>2046</v>
      </c>
      <c r="AD39" s="18">
        <v>2047</v>
      </c>
      <c r="AE39" s="18">
        <v>2048</v>
      </c>
      <c r="AF39" s="18">
        <v>2049</v>
      </c>
      <c r="AG39" s="18">
        <v>2050</v>
      </c>
      <c r="AH39" s="18"/>
      <c r="AI39" s="18"/>
      <c r="AJ39" s="18"/>
      <c r="AK39" s="18"/>
    </row>
    <row r="40" spans="1:37">
      <c r="B40" s="18" t="s">
        <v>96</v>
      </c>
      <c r="C40" s="18"/>
      <c r="D40" s="18"/>
      <c r="E40" s="18"/>
      <c r="G40" s="210">
        <f t="shared" ref="G40:AG40" si="0">G5/F5-1</f>
        <v>-2.7136244608102489E-2</v>
      </c>
      <c r="H40" s="210">
        <f t="shared" si="0"/>
        <v>-2.2790371339537541E-2</v>
      </c>
      <c r="I40" s="210">
        <f t="shared" si="0"/>
        <v>-1.7763995865557991E-2</v>
      </c>
      <c r="J40" s="210">
        <f t="shared" si="0"/>
        <v>-1.5466541068958728E-2</v>
      </c>
      <c r="K40" s="210">
        <f t="shared" si="0"/>
        <v>-1.3681630270838019E-2</v>
      </c>
      <c r="L40" s="210">
        <f t="shared" si="0"/>
        <v>-1.2252460976728163E-2</v>
      </c>
      <c r="M40" s="210">
        <f t="shared" si="0"/>
        <v>-1.1080701247792479E-2</v>
      </c>
      <c r="N40" s="210">
        <f t="shared" si="0"/>
        <v>-1.2065674418940575E-2</v>
      </c>
      <c r="O40" s="210">
        <f t="shared" si="0"/>
        <v>-1.1234901180134149E-2</v>
      </c>
      <c r="P40" s="210">
        <f t="shared" si="0"/>
        <v>-1.0520085914697108E-2</v>
      </c>
      <c r="Q40" s="210">
        <f t="shared" si="0"/>
        <v>-9.8980944796817072E-3</v>
      </c>
      <c r="R40" s="210">
        <f t="shared" si="0"/>
        <v>-9.3516121705178312E-3</v>
      </c>
      <c r="S40" s="210">
        <f t="shared" si="0"/>
        <v>-8.8674139603294178E-3</v>
      </c>
      <c r="T40" s="210">
        <f t="shared" si="0"/>
        <v>-8.4352188430293351E-3</v>
      </c>
      <c r="U40" s="210">
        <f t="shared" si="0"/>
        <v>-8.0469099811997236E-3</v>
      </c>
      <c r="V40" s="210">
        <f t="shared" si="0"/>
        <v>-7.6959910066014547E-3</v>
      </c>
      <c r="W40" s="210">
        <f t="shared" si="0"/>
        <v>-7.3771988832583846E-3</v>
      </c>
      <c r="X40" s="210">
        <f t="shared" si="0"/>
        <v>-7.0862230360427825E-3</v>
      </c>
      <c r="Y40" s="210">
        <f t="shared" si="0"/>
        <v>-6.8194981316930248E-3</v>
      </c>
      <c r="Z40" s="210">
        <f t="shared" si="0"/>
        <v>-6.5740488750294368E-3</v>
      </c>
      <c r="AA40" s="210">
        <f t="shared" si="0"/>
        <v>-6.3473721662926641E-3</v>
      </c>
      <c r="AB40" s="210">
        <f t="shared" si="0"/>
        <v>-6.1373465086342893E-3</v>
      </c>
      <c r="AC40" s="210">
        <f t="shared" si="0"/>
        <v>-5.9421615705628206E-3</v>
      </c>
      <c r="AD40" s="210">
        <f t="shared" si="0"/>
        <v>-5.7602628471585815E-3</v>
      </c>
      <c r="AE40" s="210">
        <f t="shared" si="0"/>
        <v>-5.5903077657155631E-3</v>
      </c>
      <c r="AF40" s="210">
        <f t="shared" si="0"/>
        <v>-5.4311305601624227E-3</v>
      </c>
      <c r="AG40" s="210">
        <f t="shared" si="0"/>
        <v>-5.2817139316335693E-3</v>
      </c>
    </row>
    <row r="41" spans="1:37">
      <c r="B41" s="18" t="s">
        <v>33</v>
      </c>
      <c r="C41" s="18"/>
      <c r="D41" s="18"/>
      <c r="E41" s="18"/>
      <c r="G41" s="210">
        <f t="shared" ref="G41:AG41" si="1">G6/F6-1</f>
        <v>-3.9131763986548496E-2</v>
      </c>
      <c r="H41" s="210">
        <f t="shared" si="1"/>
        <v>-4.0725421571746745E-2</v>
      </c>
      <c r="I41" s="210">
        <f t="shared" si="1"/>
        <v>-4.1262709527435937E-2</v>
      </c>
      <c r="J41" s="210">
        <f t="shared" si="1"/>
        <v>-4.3148036123376032E-2</v>
      </c>
      <c r="K41" s="210">
        <f t="shared" si="1"/>
        <v>-4.5208226066648094E-2</v>
      </c>
      <c r="L41" s="210">
        <f t="shared" si="1"/>
        <v>-4.7468801547095429E-2</v>
      </c>
      <c r="M41" s="210">
        <f t="shared" si="1"/>
        <v>-4.9960505429455293E-2</v>
      </c>
      <c r="N41" s="210">
        <f t="shared" si="1"/>
        <v>-1.0000000000000009E-2</v>
      </c>
      <c r="O41" s="210">
        <f t="shared" si="1"/>
        <v>-1.0101010101010277E-2</v>
      </c>
      <c r="P41" s="210">
        <f t="shared" si="1"/>
        <v>-1.0204081632653073E-2</v>
      </c>
      <c r="Q41" s="210">
        <f t="shared" si="1"/>
        <v>-1.0309278350515649E-2</v>
      </c>
      <c r="R41" s="210">
        <f t="shared" si="1"/>
        <v>-1.041666666666663E-2</v>
      </c>
      <c r="S41" s="210">
        <f t="shared" si="1"/>
        <v>-1.0526315789473606E-2</v>
      </c>
      <c r="T41" s="210">
        <f t="shared" si="1"/>
        <v>-1.0638297872340607E-2</v>
      </c>
      <c r="U41" s="210">
        <f t="shared" si="1"/>
        <v>-1.0752688172043001E-2</v>
      </c>
      <c r="V41" s="210">
        <f t="shared" si="1"/>
        <v>-1.0869565217391242E-2</v>
      </c>
      <c r="W41" s="210">
        <f t="shared" si="1"/>
        <v>-1.0989010989011172E-2</v>
      </c>
      <c r="X41" s="210">
        <f t="shared" si="1"/>
        <v>-1.1111111111111072E-2</v>
      </c>
      <c r="Y41" s="210">
        <f t="shared" si="1"/>
        <v>-1.1235955056179692E-2</v>
      </c>
      <c r="Z41" s="210">
        <f t="shared" si="1"/>
        <v>-1.1363636363636354E-2</v>
      </c>
      <c r="AA41" s="210">
        <f t="shared" si="1"/>
        <v>-1.1494252873563426E-2</v>
      </c>
      <c r="AB41" s="210">
        <f t="shared" si="1"/>
        <v>-1.1627906976744096E-2</v>
      </c>
      <c r="AC41" s="210">
        <f t="shared" si="1"/>
        <v>-1.1764705882352899E-2</v>
      </c>
      <c r="AD41" s="210">
        <f t="shared" si="1"/>
        <v>-1.1904761904762085E-2</v>
      </c>
      <c r="AE41" s="210">
        <f t="shared" si="1"/>
        <v>-1.2048192771084265E-2</v>
      </c>
      <c r="AF41" s="210">
        <f t="shared" si="1"/>
        <v>-1.2195121951219745E-2</v>
      </c>
      <c r="AG41" s="210">
        <f t="shared" si="1"/>
        <v>-1.2345679012345623E-2</v>
      </c>
    </row>
    <row r="42" spans="1:37">
      <c r="B42" s="18" t="s">
        <v>34</v>
      </c>
      <c r="C42" s="18"/>
      <c r="D42" s="18"/>
      <c r="E42" s="18"/>
      <c r="G42" s="210">
        <f t="shared" ref="G42:AG42" si="2">G7/F7-1</f>
        <v>-3.9131763986548496E-2</v>
      </c>
      <c r="H42" s="210">
        <f t="shared" si="2"/>
        <v>-4.0725421571746745E-2</v>
      </c>
      <c r="I42" s="210">
        <f t="shared" si="2"/>
        <v>-4.1262709527435937E-2</v>
      </c>
      <c r="J42" s="210">
        <f t="shared" si="2"/>
        <v>-4.3148036123375921E-2</v>
      </c>
      <c r="K42" s="210">
        <f t="shared" si="2"/>
        <v>-4.5208226066648205E-2</v>
      </c>
      <c r="L42" s="210">
        <f t="shared" si="2"/>
        <v>-4.7468801547095429E-2</v>
      </c>
      <c r="M42" s="210">
        <f t="shared" si="2"/>
        <v>-4.9960505429455182E-2</v>
      </c>
      <c r="N42" s="210">
        <f t="shared" si="2"/>
        <v>-9.9999999999998979E-3</v>
      </c>
      <c r="O42" s="210">
        <f t="shared" si="2"/>
        <v>-1.0101010101010166E-2</v>
      </c>
      <c r="P42" s="210">
        <f t="shared" si="2"/>
        <v>-1.0204081632652851E-2</v>
      </c>
      <c r="Q42" s="210">
        <f t="shared" si="2"/>
        <v>-1.0309278350515538E-2</v>
      </c>
      <c r="R42" s="210">
        <f t="shared" si="2"/>
        <v>-1.041666666666663E-2</v>
      </c>
      <c r="S42" s="210">
        <f t="shared" si="2"/>
        <v>-1.0526315789473606E-2</v>
      </c>
      <c r="T42" s="210">
        <f t="shared" si="2"/>
        <v>-1.0638297872340496E-2</v>
      </c>
      <c r="U42" s="210">
        <f t="shared" si="2"/>
        <v>-1.0752688172043001E-2</v>
      </c>
      <c r="V42" s="210">
        <f t="shared" si="2"/>
        <v>-1.0869565217391353E-2</v>
      </c>
      <c r="W42" s="210">
        <f t="shared" si="2"/>
        <v>-1.0989010989011061E-2</v>
      </c>
      <c r="X42" s="210">
        <f t="shared" si="2"/>
        <v>-1.1111111111111072E-2</v>
      </c>
      <c r="Y42" s="210">
        <f t="shared" si="2"/>
        <v>-1.1235955056179803E-2</v>
      </c>
      <c r="Z42" s="210">
        <f t="shared" si="2"/>
        <v>-1.1363636363636354E-2</v>
      </c>
      <c r="AA42" s="210">
        <f t="shared" si="2"/>
        <v>-1.1494252873563315E-2</v>
      </c>
      <c r="AB42" s="210">
        <f t="shared" si="2"/>
        <v>-1.1627906976744096E-2</v>
      </c>
      <c r="AC42" s="210">
        <f t="shared" si="2"/>
        <v>-1.1764705882352899E-2</v>
      </c>
      <c r="AD42" s="210">
        <f t="shared" si="2"/>
        <v>-1.1904761904761973E-2</v>
      </c>
      <c r="AE42" s="210">
        <f t="shared" si="2"/>
        <v>-1.2048192771084265E-2</v>
      </c>
      <c r="AF42" s="210">
        <f t="shared" si="2"/>
        <v>-1.2195121951219634E-2</v>
      </c>
      <c r="AG42" s="210">
        <f t="shared" si="2"/>
        <v>-1.2345679012345623E-2</v>
      </c>
    </row>
    <row r="43" spans="1:37">
      <c r="B43" s="18" t="s">
        <v>35</v>
      </c>
      <c r="C43" s="18"/>
      <c r="D43" s="18"/>
      <c r="E43" s="18"/>
      <c r="G43" s="210">
        <f t="shared" ref="G43:AG43" si="3">G8/F8-1</f>
        <v>-3.9131763986548385E-2</v>
      </c>
      <c r="H43" s="210">
        <f t="shared" si="3"/>
        <v>-4.0725421571746745E-2</v>
      </c>
      <c r="I43" s="210">
        <f t="shared" si="3"/>
        <v>-4.1262709527436048E-2</v>
      </c>
      <c r="J43" s="210">
        <f t="shared" si="3"/>
        <v>-4.3148036123376143E-2</v>
      </c>
      <c r="K43" s="210">
        <f t="shared" si="3"/>
        <v>-4.5208226066648094E-2</v>
      </c>
      <c r="L43" s="210">
        <f t="shared" si="3"/>
        <v>-4.7468801547095429E-2</v>
      </c>
      <c r="M43" s="210">
        <f t="shared" si="3"/>
        <v>-4.9960505429455293E-2</v>
      </c>
      <c r="N43" s="210">
        <f t="shared" si="3"/>
        <v>-9.9999999999998979E-3</v>
      </c>
      <c r="O43" s="210">
        <f t="shared" si="3"/>
        <v>-1.0101010101010277E-2</v>
      </c>
      <c r="P43" s="210">
        <f t="shared" si="3"/>
        <v>-1.0204081632652962E-2</v>
      </c>
      <c r="Q43" s="210">
        <f t="shared" si="3"/>
        <v>-1.0309278350515538E-2</v>
      </c>
      <c r="R43" s="210">
        <f t="shared" si="3"/>
        <v>-1.041666666666663E-2</v>
      </c>
      <c r="S43" s="210">
        <f t="shared" si="3"/>
        <v>-1.0526315789473606E-2</v>
      </c>
      <c r="T43" s="210">
        <f t="shared" si="3"/>
        <v>-1.0638297872340607E-2</v>
      </c>
      <c r="U43" s="210">
        <f t="shared" si="3"/>
        <v>-1.0752688172043001E-2</v>
      </c>
      <c r="V43" s="210">
        <f t="shared" si="3"/>
        <v>-1.0869565217391353E-2</v>
      </c>
      <c r="W43" s="210">
        <f t="shared" si="3"/>
        <v>-1.0989010989011172E-2</v>
      </c>
      <c r="X43" s="210">
        <f t="shared" si="3"/>
        <v>-1.1111111111111072E-2</v>
      </c>
      <c r="Y43" s="210">
        <f t="shared" si="3"/>
        <v>-1.1235955056179803E-2</v>
      </c>
      <c r="Z43" s="210">
        <f t="shared" si="3"/>
        <v>-1.1363636363636354E-2</v>
      </c>
      <c r="AA43" s="210">
        <f t="shared" si="3"/>
        <v>-1.1494252873563315E-2</v>
      </c>
      <c r="AB43" s="210">
        <f t="shared" si="3"/>
        <v>-1.1627906976744096E-2</v>
      </c>
      <c r="AC43" s="210">
        <f t="shared" si="3"/>
        <v>-1.1764705882352899E-2</v>
      </c>
      <c r="AD43" s="210">
        <f t="shared" si="3"/>
        <v>-1.1904761904761862E-2</v>
      </c>
      <c r="AE43" s="210">
        <f t="shared" si="3"/>
        <v>-1.2048192771084154E-2</v>
      </c>
      <c r="AF43" s="210">
        <f t="shared" si="3"/>
        <v>-1.2195121951219634E-2</v>
      </c>
      <c r="AG43" s="210">
        <f t="shared" si="3"/>
        <v>-1.2345679012345734E-2</v>
      </c>
    </row>
    <row r="44" spans="1:37">
      <c r="B44" s="18" t="s">
        <v>36</v>
      </c>
      <c r="C44" s="18"/>
      <c r="D44" s="18"/>
      <c r="E44" s="18"/>
      <c r="G44" s="210">
        <f t="shared" ref="G44:AG44" si="4">G9/F9-1</f>
        <v>-3.9131763986548385E-2</v>
      </c>
      <c r="H44" s="210">
        <f t="shared" si="4"/>
        <v>-4.0725421571746745E-2</v>
      </c>
      <c r="I44" s="210">
        <f t="shared" si="4"/>
        <v>-4.1262709527435937E-2</v>
      </c>
      <c r="J44" s="210">
        <f t="shared" si="4"/>
        <v>-4.3148036123376143E-2</v>
      </c>
      <c r="K44" s="210">
        <f t="shared" si="4"/>
        <v>-4.5208226066648094E-2</v>
      </c>
      <c r="L44" s="210">
        <f t="shared" si="4"/>
        <v>-4.7468801547095429E-2</v>
      </c>
      <c r="M44" s="210">
        <f t="shared" si="4"/>
        <v>-4.9960505429455293E-2</v>
      </c>
      <c r="N44" s="210">
        <f t="shared" si="4"/>
        <v>-9.9999999999998979E-3</v>
      </c>
      <c r="O44" s="210">
        <f t="shared" si="4"/>
        <v>-1.0101010101010166E-2</v>
      </c>
      <c r="P44" s="210">
        <f t="shared" si="4"/>
        <v>-1.0204081632652962E-2</v>
      </c>
      <c r="Q44" s="210">
        <f t="shared" si="4"/>
        <v>-1.0309278350515538E-2</v>
      </c>
      <c r="R44" s="210">
        <f t="shared" si="4"/>
        <v>-1.041666666666663E-2</v>
      </c>
      <c r="S44" s="210">
        <f t="shared" si="4"/>
        <v>-1.0526315789473606E-2</v>
      </c>
      <c r="T44" s="210">
        <f t="shared" si="4"/>
        <v>-1.0638297872340496E-2</v>
      </c>
      <c r="U44" s="210">
        <f t="shared" si="4"/>
        <v>-1.075268817204289E-2</v>
      </c>
      <c r="V44" s="210">
        <f t="shared" si="4"/>
        <v>-1.0869565217391353E-2</v>
      </c>
      <c r="W44" s="210">
        <f t="shared" si="4"/>
        <v>-1.0989010989011061E-2</v>
      </c>
      <c r="X44" s="210">
        <f t="shared" si="4"/>
        <v>-1.1111111111111072E-2</v>
      </c>
      <c r="Y44" s="210">
        <f t="shared" si="4"/>
        <v>-1.1235955056179914E-2</v>
      </c>
      <c r="Z44" s="210">
        <f t="shared" si="4"/>
        <v>-1.1363636363636243E-2</v>
      </c>
      <c r="AA44" s="210">
        <f t="shared" si="4"/>
        <v>-1.1494252873563315E-2</v>
      </c>
      <c r="AB44" s="210">
        <f t="shared" si="4"/>
        <v>-1.1627906976744096E-2</v>
      </c>
      <c r="AC44" s="210">
        <f t="shared" si="4"/>
        <v>-1.1764705882352899E-2</v>
      </c>
      <c r="AD44" s="210">
        <f t="shared" si="4"/>
        <v>-1.1904761904761973E-2</v>
      </c>
      <c r="AE44" s="210">
        <f t="shared" si="4"/>
        <v>-1.2048192771084265E-2</v>
      </c>
      <c r="AF44" s="210">
        <f t="shared" si="4"/>
        <v>-1.2195121951219634E-2</v>
      </c>
      <c r="AG44" s="210">
        <f t="shared" si="4"/>
        <v>-1.2345679012345623E-2</v>
      </c>
    </row>
    <row r="45" spans="1:37">
      <c r="B45" s="18" t="s">
        <v>37</v>
      </c>
      <c r="C45" s="18"/>
      <c r="D45" s="18"/>
      <c r="E45" s="18"/>
      <c r="G45" s="210">
        <f t="shared" ref="G45:AG45" si="5">G10/F10-1</f>
        <v>-4.2874773277052247E-2</v>
      </c>
      <c r="H45" s="210">
        <f t="shared" si="5"/>
        <v>-4.4795364368202084E-2</v>
      </c>
      <c r="I45" s="210">
        <f t="shared" si="5"/>
        <v>-4.6164104195735023E-2</v>
      </c>
      <c r="J45" s="210">
        <f t="shared" si="5"/>
        <v>-4.8474594000630589E-2</v>
      </c>
      <c r="K45" s="210">
        <f t="shared" si="5"/>
        <v>-5.1024076622575021E-2</v>
      </c>
      <c r="L45" s="210">
        <f t="shared" si="5"/>
        <v>-5.3851681254950323E-2</v>
      </c>
      <c r="M45" s="210">
        <f t="shared" si="5"/>
        <v>-5.7005571900098251E-2</v>
      </c>
      <c r="N45" s="210">
        <f t="shared" si="5"/>
        <v>-8.9108561626982663E-3</v>
      </c>
      <c r="O45" s="210">
        <f t="shared" si="5"/>
        <v>-8.9909734337287883E-3</v>
      </c>
      <c r="P45" s="210">
        <f t="shared" si="5"/>
        <v>-9.0725444397630195E-3</v>
      </c>
      <c r="Q45" s="210">
        <f t="shared" si="5"/>
        <v>-9.1556091102892312E-3</v>
      </c>
      <c r="R45" s="210">
        <f t="shared" si="5"/>
        <v>-9.240208850622933E-3</v>
      </c>
      <c r="S45" s="210">
        <f t="shared" si="5"/>
        <v>-9.3263866107277105E-3</v>
      </c>
      <c r="T45" s="210">
        <f t="shared" si="5"/>
        <v>-9.4141869579229542E-3</v>
      </c>
      <c r="U45" s="210">
        <f t="shared" si="5"/>
        <v>-9.5036561537380493E-3</v>
      </c>
      <c r="V45" s="210">
        <f t="shared" si="5"/>
        <v>-9.5948422351908036E-3</v>
      </c>
      <c r="W45" s="210">
        <f t="shared" si="5"/>
        <v>-9.6877951007896534E-3</v>
      </c>
      <c r="X45" s="210">
        <f t="shared" si="5"/>
        <v>-9.7825666015856072E-3</v>
      </c>
      <c r="Y45" s="210">
        <f t="shared" si="5"/>
        <v>-9.8792106376192068E-3</v>
      </c>
      <c r="Z45" s="210">
        <f t="shared" si="5"/>
        <v>-9.9777832601426475E-3</v>
      </c>
      <c r="AA45" s="210">
        <f t="shared" si="5"/>
        <v>-1.0078342780023175E-2</v>
      </c>
      <c r="AB45" s="210">
        <f t="shared" si="5"/>
        <v>-1.0180949882767965E-2</v>
      </c>
      <c r="AC45" s="210">
        <f t="shared" si="5"/>
        <v>-1.0285667750648098E-2</v>
      </c>
      <c r="AD45" s="210">
        <f t="shared" si="5"/>
        <v>-1.039256219243756E-2</v>
      </c>
      <c r="AE45" s="210">
        <f t="shared" si="5"/>
        <v>-1.0501701781326367E-2</v>
      </c>
      <c r="AF45" s="210">
        <f t="shared" si="5"/>
        <v>-1.061315800161744E-2</v>
      </c>
      <c r="AG45" s="210">
        <f t="shared" si="5"/>
        <v>-1.0727005404863266E-2</v>
      </c>
    </row>
    <row r="46" spans="1:37">
      <c r="B46" s="18" t="s">
        <v>97</v>
      </c>
      <c r="C46" s="18"/>
      <c r="D46" s="18"/>
      <c r="E46" s="18"/>
      <c r="G46" s="210">
        <f t="shared" ref="G46:AG46" si="6">G11/F11-1</f>
        <v>-4.2874773277052247E-2</v>
      </c>
      <c r="H46" s="210">
        <f t="shared" si="6"/>
        <v>-4.4795364368201973E-2</v>
      </c>
      <c r="I46" s="210">
        <f t="shared" si="6"/>
        <v>-4.6164104195735134E-2</v>
      </c>
      <c r="J46" s="210">
        <f t="shared" si="6"/>
        <v>-4.8474594000630589E-2</v>
      </c>
      <c r="K46" s="210">
        <f t="shared" si="6"/>
        <v>-5.1024076622575021E-2</v>
      </c>
      <c r="L46" s="210">
        <f t="shared" si="6"/>
        <v>-5.3851681254950434E-2</v>
      </c>
      <c r="M46" s="210">
        <f t="shared" si="6"/>
        <v>-5.7005571900098362E-2</v>
      </c>
      <c r="N46" s="210">
        <f t="shared" si="6"/>
        <v>-8.9108561626983773E-3</v>
      </c>
      <c r="O46" s="210">
        <f t="shared" si="6"/>
        <v>-8.9909734337286773E-3</v>
      </c>
      <c r="P46" s="210">
        <f t="shared" si="6"/>
        <v>-9.0725444397629085E-3</v>
      </c>
      <c r="Q46" s="210">
        <f t="shared" si="6"/>
        <v>-9.1556091102891202E-3</v>
      </c>
      <c r="R46" s="210">
        <f t="shared" si="6"/>
        <v>-9.240208850622933E-3</v>
      </c>
      <c r="S46" s="210">
        <f t="shared" si="6"/>
        <v>-9.3263866107277105E-3</v>
      </c>
      <c r="T46" s="210">
        <f t="shared" si="6"/>
        <v>-9.4141869579229542E-3</v>
      </c>
      <c r="U46" s="210">
        <f t="shared" si="6"/>
        <v>-9.5036561537380493E-3</v>
      </c>
      <c r="V46" s="210">
        <f t="shared" si="6"/>
        <v>-9.5948422351908036E-3</v>
      </c>
      <c r="W46" s="210">
        <f t="shared" si="6"/>
        <v>-9.6877951007896534E-3</v>
      </c>
      <c r="X46" s="210">
        <f t="shared" si="6"/>
        <v>-9.7825666015856072E-3</v>
      </c>
      <c r="Y46" s="210">
        <f t="shared" si="6"/>
        <v>-9.8792106376192068E-3</v>
      </c>
      <c r="Z46" s="210">
        <f t="shared" si="6"/>
        <v>-9.9777832601426475E-3</v>
      </c>
      <c r="AA46" s="210">
        <f t="shared" si="6"/>
        <v>-1.0078342780023286E-2</v>
      </c>
      <c r="AB46" s="210">
        <f t="shared" si="6"/>
        <v>-1.0180949882767965E-2</v>
      </c>
      <c r="AC46" s="210">
        <f t="shared" si="6"/>
        <v>-1.0285667750648209E-2</v>
      </c>
      <c r="AD46" s="210">
        <f t="shared" si="6"/>
        <v>-1.0392562192437671E-2</v>
      </c>
      <c r="AE46" s="210">
        <f t="shared" si="6"/>
        <v>-1.0501701781326367E-2</v>
      </c>
      <c r="AF46" s="210">
        <f t="shared" si="6"/>
        <v>-1.061315800161744E-2</v>
      </c>
      <c r="AG46" s="210">
        <f t="shared" si="6"/>
        <v>-1.0727005404863266E-2</v>
      </c>
    </row>
    <row r="47" spans="1:37">
      <c r="B47" s="18" t="s">
        <v>39</v>
      </c>
      <c r="C47" s="18"/>
      <c r="D47" s="18"/>
      <c r="E47" s="18"/>
      <c r="G47" s="210">
        <f t="shared" ref="G47:AG47" si="7">G12/F12-1</f>
        <v>-7.9365627599604083E-2</v>
      </c>
      <c r="H47" s="210">
        <f t="shared" si="7"/>
        <v>-8.6207543384103524E-2</v>
      </c>
      <c r="I47" s="210">
        <f t="shared" si="7"/>
        <v>-9.4340397275067489E-2</v>
      </c>
      <c r="J47" s="210">
        <f t="shared" si="7"/>
        <v>-0.10416761108833572</v>
      </c>
      <c r="K47" s="210">
        <f t="shared" si="7"/>
        <v>-0.11628024659265523</v>
      </c>
      <c r="L47" s="210">
        <f t="shared" si="7"/>
        <v>-0.13158045426088449</v>
      </c>
      <c r="M47" s="210">
        <f t="shared" si="7"/>
        <v>-0.1515171496386527</v>
      </c>
      <c r="N47" s="210">
        <f t="shared" si="7"/>
        <v>-1.1085347893228459E-2</v>
      </c>
      <c r="O47" s="210">
        <f t="shared" si="7"/>
        <v>-1.1209610323411057E-2</v>
      </c>
      <c r="P47" s="210">
        <f t="shared" si="7"/>
        <v>-1.1336690202943256E-2</v>
      </c>
      <c r="Q47" s="210">
        <f t="shared" si="7"/>
        <v>-1.1466684452233089E-2</v>
      </c>
      <c r="R47" s="210">
        <f t="shared" si="7"/>
        <v>-1.1599694488677037E-2</v>
      </c>
      <c r="S47" s="210">
        <f t="shared" si="7"/>
        <v>-1.1735826490539503E-2</v>
      </c>
      <c r="T47" s="210">
        <f t="shared" si="7"/>
        <v>-1.1875191679633579E-2</v>
      </c>
      <c r="U47" s="210">
        <f t="shared" si="7"/>
        <v>-1.2017906624386065E-2</v>
      </c>
      <c r="V47" s="210">
        <f t="shared" si="7"/>
        <v>-1.2164093565020795E-2</v>
      </c>
      <c r="W47" s="210">
        <f t="shared" si="7"/>
        <v>-1.2313880762767626E-2</v>
      </c>
      <c r="X47" s="210">
        <f t="shared" si="7"/>
        <v>-1.24674028751941E-2</v>
      </c>
      <c r="Y47" s="210">
        <f t="shared" si="7"/>
        <v>-1.262480135996813E-2</v>
      </c>
      <c r="Z47" s="210">
        <f t="shared" si="7"/>
        <v>-1.2786224909595689E-2</v>
      </c>
      <c r="AA47" s="210">
        <f t="shared" si="7"/>
        <v>-1.2951829919942925E-2</v>
      </c>
      <c r="AB47" s="210">
        <f t="shared" si="7"/>
        <v>-1.3121780995645205E-2</v>
      </c>
      <c r="AC47" s="210">
        <f t="shared" si="7"/>
        <v>-1.3296251495836575E-2</v>
      </c>
      <c r="AD47" s="210">
        <f t="shared" si="7"/>
        <v>-1.3475424124002378E-2</v>
      </c>
      <c r="AE47" s="210">
        <f t="shared" si="7"/>
        <v>-1.3659491566174853E-2</v>
      </c>
      <c r="AF47" s="210">
        <f t="shared" si="7"/>
        <v>-1.3848657182157331E-2</v>
      </c>
      <c r="AG47" s="210">
        <f t="shared" si="7"/>
        <v>-1.4043135754990166E-2</v>
      </c>
    </row>
    <row r="48" spans="1:37">
      <c r="B48" s="18" t="s">
        <v>40</v>
      </c>
      <c r="C48" s="18"/>
      <c r="D48" s="18"/>
      <c r="E48" s="18"/>
      <c r="G48" s="210">
        <f t="shared" ref="G48:AG48" si="8">G13/F13-1</f>
        <v>-6.3938611314252602E-3</v>
      </c>
      <c r="H48" s="210">
        <f t="shared" si="8"/>
        <v>-6.5756607378271159E-3</v>
      </c>
      <c r="I48" s="210">
        <f t="shared" si="8"/>
        <v>-4.1765287719879307E-3</v>
      </c>
      <c r="J48" s="210">
        <f t="shared" si="8"/>
        <v>-4.2192822470279445E-3</v>
      </c>
      <c r="K48" s="210">
        <f t="shared" si="8"/>
        <v>-4.261841544044076E-3</v>
      </c>
      <c r="L48" s="210">
        <f t="shared" si="8"/>
        <v>-4.3055875410232813E-3</v>
      </c>
      <c r="M48" s="210">
        <f t="shared" si="8"/>
        <v>-4.3496667251825549E-3</v>
      </c>
      <c r="N48" s="210">
        <f t="shared" si="8"/>
        <v>-6.6929724293691706E-3</v>
      </c>
      <c r="O48" s="210">
        <f t="shared" si="8"/>
        <v>-6.7380300753585587E-3</v>
      </c>
      <c r="P48" s="210">
        <f t="shared" si="8"/>
        <v>-6.7830360497298514E-3</v>
      </c>
      <c r="Q48" s="210">
        <f t="shared" si="8"/>
        <v>-6.8306507693304264E-3</v>
      </c>
      <c r="R48" s="210">
        <f t="shared" si="8"/>
        <v>-6.8767219730777596E-3</v>
      </c>
      <c r="S48" s="210">
        <f t="shared" si="8"/>
        <v>-6.9245166166729266E-3</v>
      </c>
      <c r="T48" s="210">
        <f t="shared" si="8"/>
        <v>-6.9722186110203754E-3</v>
      </c>
      <c r="U48" s="210">
        <f t="shared" si="8"/>
        <v>-7.0217729436290455E-3</v>
      </c>
      <c r="V48" s="210">
        <f t="shared" si="8"/>
        <v>-7.071279171988798E-3</v>
      </c>
      <c r="W48" s="210">
        <f t="shared" si="8"/>
        <v>-7.1214764042425438E-3</v>
      </c>
      <c r="X48" s="210">
        <f t="shared" si="8"/>
        <v>-7.1735519605192755E-3</v>
      </c>
      <c r="Y48" s="210">
        <f t="shared" si="8"/>
        <v>-7.224617066034611E-3</v>
      </c>
      <c r="Z48" s="210">
        <f t="shared" si="8"/>
        <v>-7.2772240448442105E-3</v>
      </c>
      <c r="AA48" s="210">
        <f t="shared" si="8"/>
        <v>-7.3303707449418054E-3</v>
      </c>
      <c r="AB48" s="210">
        <f t="shared" si="8"/>
        <v>-7.3838434002361231E-3</v>
      </c>
      <c r="AC48" s="210">
        <f t="shared" si="8"/>
        <v>-7.4397026691108703E-3</v>
      </c>
      <c r="AD48" s="210">
        <f t="shared" si="8"/>
        <v>-7.4954799507502834E-3</v>
      </c>
      <c r="AE48" s="210">
        <f t="shared" si="8"/>
        <v>-7.5524460268697746E-3</v>
      </c>
      <c r="AF48" s="210">
        <f t="shared" si="8"/>
        <v>-7.6093820979180604E-3</v>
      </c>
      <c r="AG48" s="210">
        <f t="shared" si="8"/>
        <v>-7.6677378743040814E-3</v>
      </c>
    </row>
    <row r="49" spans="2:33">
      <c r="B49" s="18" t="s">
        <v>72</v>
      </c>
      <c r="C49" s="18"/>
      <c r="D49" s="18"/>
      <c r="E49" s="18"/>
      <c r="G49" s="210">
        <f t="shared" ref="G49:AG49" si="9">G14/F14-1</f>
        <v>0</v>
      </c>
      <c r="H49" s="210">
        <f t="shared" si="9"/>
        <v>0</v>
      </c>
      <c r="I49" s="210">
        <f t="shared" si="9"/>
        <v>1.2407262820564036E-3</v>
      </c>
      <c r="J49" s="210">
        <f t="shared" si="9"/>
        <v>1.2400088896864503E-3</v>
      </c>
      <c r="K49" s="210">
        <f t="shared" si="9"/>
        <v>1.2392948133683745E-3</v>
      </c>
      <c r="L49" s="210">
        <f t="shared" si="9"/>
        <v>1.238584031062695E-3</v>
      </c>
      <c r="M49" s="210">
        <f t="shared" si="9"/>
        <v>1.2378765208933551E-3</v>
      </c>
      <c r="N49" s="210">
        <f t="shared" si="9"/>
        <v>0</v>
      </c>
      <c r="O49" s="210">
        <f t="shared" si="9"/>
        <v>0</v>
      </c>
      <c r="P49" s="210">
        <f t="shared" si="9"/>
        <v>0</v>
      </c>
      <c r="Q49" s="210">
        <f t="shared" si="9"/>
        <v>0</v>
      </c>
      <c r="R49" s="210">
        <f t="shared" si="9"/>
        <v>0</v>
      </c>
      <c r="S49" s="210">
        <f t="shared" si="9"/>
        <v>0</v>
      </c>
      <c r="T49" s="210">
        <f t="shared" si="9"/>
        <v>0</v>
      </c>
      <c r="U49" s="210">
        <f t="shared" si="9"/>
        <v>0</v>
      </c>
      <c r="V49" s="210">
        <f t="shared" si="9"/>
        <v>0</v>
      </c>
      <c r="W49" s="210">
        <f t="shared" si="9"/>
        <v>0</v>
      </c>
      <c r="X49" s="210">
        <f t="shared" si="9"/>
        <v>0</v>
      </c>
      <c r="Y49" s="210">
        <f t="shared" si="9"/>
        <v>0</v>
      </c>
      <c r="Z49" s="210">
        <f t="shared" si="9"/>
        <v>0</v>
      </c>
      <c r="AA49" s="210">
        <f t="shared" si="9"/>
        <v>0</v>
      </c>
      <c r="AB49" s="210">
        <f t="shared" si="9"/>
        <v>0</v>
      </c>
      <c r="AC49" s="210">
        <f t="shared" si="9"/>
        <v>0</v>
      </c>
      <c r="AD49" s="210">
        <f t="shared" si="9"/>
        <v>0</v>
      </c>
      <c r="AE49" s="210">
        <f t="shared" si="9"/>
        <v>0</v>
      </c>
      <c r="AF49" s="210">
        <f t="shared" si="9"/>
        <v>0</v>
      </c>
      <c r="AG49" s="210">
        <f t="shared" si="9"/>
        <v>0</v>
      </c>
    </row>
    <row r="50" spans="2:33">
      <c r="B50" s="18" t="s">
        <v>73</v>
      </c>
      <c r="C50" s="18"/>
      <c r="D50" s="18"/>
      <c r="E50" s="18"/>
      <c r="G50" s="210">
        <f t="shared" ref="G50:AG50" si="10">G15/F15-1</f>
        <v>0</v>
      </c>
      <c r="H50" s="210">
        <f t="shared" si="10"/>
        <v>0</v>
      </c>
      <c r="I50" s="210">
        <f t="shared" si="10"/>
        <v>1.2407262820564036E-3</v>
      </c>
      <c r="J50" s="210">
        <f t="shared" si="10"/>
        <v>1.2400088896864503E-3</v>
      </c>
      <c r="K50" s="210">
        <f t="shared" si="10"/>
        <v>1.2392948133683745E-3</v>
      </c>
      <c r="L50" s="210">
        <f t="shared" si="10"/>
        <v>1.238584031062695E-3</v>
      </c>
      <c r="M50" s="210">
        <f t="shared" si="10"/>
        <v>1.2378765208933551E-3</v>
      </c>
      <c r="N50" s="210">
        <f t="shared" si="10"/>
        <v>0</v>
      </c>
      <c r="O50" s="210">
        <f t="shared" si="10"/>
        <v>0</v>
      </c>
      <c r="P50" s="210">
        <f t="shared" si="10"/>
        <v>0</v>
      </c>
      <c r="Q50" s="210">
        <f t="shared" si="10"/>
        <v>0</v>
      </c>
      <c r="R50" s="210">
        <f t="shared" si="10"/>
        <v>0</v>
      </c>
      <c r="S50" s="210">
        <f t="shared" si="10"/>
        <v>0</v>
      </c>
      <c r="T50" s="210">
        <f t="shared" si="10"/>
        <v>0</v>
      </c>
      <c r="U50" s="210">
        <f t="shared" si="10"/>
        <v>0</v>
      </c>
      <c r="V50" s="210">
        <f t="shared" si="10"/>
        <v>0</v>
      </c>
      <c r="W50" s="210">
        <f t="shared" si="10"/>
        <v>0</v>
      </c>
      <c r="X50" s="210">
        <f t="shared" si="10"/>
        <v>0</v>
      </c>
      <c r="Y50" s="210">
        <f t="shared" si="10"/>
        <v>0</v>
      </c>
      <c r="Z50" s="210">
        <f t="shared" si="10"/>
        <v>0</v>
      </c>
      <c r="AA50" s="210">
        <f t="shared" si="10"/>
        <v>0</v>
      </c>
      <c r="AB50" s="210">
        <f t="shared" si="10"/>
        <v>0</v>
      </c>
      <c r="AC50" s="210">
        <f t="shared" si="10"/>
        <v>0</v>
      </c>
      <c r="AD50" s="210">
        <f t="shared" si="10"/>
        <v>0</v>
      </c>
      <c r="AE50" s="210">
        <f t="shared" si="10"/>
        <v>0</v>
      </c>
      <c r="AF50" s="210">
        <f t="shared" si="10"/>
        <v>0</v>
      </c>
      <c r="AG50" s="210">
        <f t="shared" si="10"/>
        <v>0</v>
      </c>
    </row>
    <row r="51" spans="2:33">
      <c r="B51" s="18" t="s">
        <v>162</v>
      </c>
      <c r="C51" s="18"/>
      <c r="D51" s="18"/>
      <c r="E51" s="18"/>
      <c r="G51" s="210">
        <f t="shared" ref="G51:AG51" si="11">G16/F16-1</f>
        <v>-5.1428980942531233E-2</v>
      </c>
      <c r="H51" s="210">
        <f t="shared" si="11"/>
        <v>-5.0236855292242644E-2</v>
      </c>
      <c r="I51" s="210">
        <f t="shared" si="11"/>
        <v>-2.9540510567241163E-2</v>
      </c>
      <c r="J51" s="210">
        <f t="shared" si="11"/>
        <v>-2.838303726673741E-2</v>
      </c>
      <c r="K51" s="210">
        <f t="shared" si="11"/>
        <v>-3.7467976785679036E-2</v>
      </c>
      <c r="L51" s="210">
        <f t="shared" si="11"/>
        <v>-2.177211491004849E-2</v>
      </c>
      <c r="M51" s="210">
        <f t="shared" si="11"/>
        <v>-2.8776666858348343E-2</v>
      </c>
      <c r="N51" s="210">
        <f t="shared" si="11"/>
        <v>-1.190045996966449E-2</v>
      </c>
      <c r="O51" s="210">
        <f t="shared" si="11"/>
        <v>-1.2650547332121231E-2</v>
      </c>
      <c r="P51" s="210">
        <f t="shared" si="11"/>
        <v>-1.2812634167099213E-2</v>
      </c>
      <c r="Q51" s="210">
        <f t="shared" si="11"/>
        <v>-1.2978928428940217E-2</v>
      </c>
      <c r="R51" s="210">
        <f t="shared" si="11"/>
        <v>-1.3149596095535454E-2</v>
      </c>
      <c r="S51" s="210">
        <f t="shared" si="11"/>
        <v>-1.3324811991269669E-2</v>
      </c>
      <c r="T51" s="210">
        <f t="shared" si="11"/>
        <v>-1.3504760384378867E-2</v>
      </c>
      <c r="U51" s="210">
        <f t="shared" si="11"/>
        <v>-1.3689635633354347E-2</v>
      </c>
      <c r="V51" s="210">
        <f t="shared" si="11"/>
        <v>-1.3879642887201227E-2</v>
      </c>
      <c r="W51" s="210">
        <f t="shared" si="11"/>
        <v>-1.4074998844807562E-2</v>
      </c>
      <c r="X51" s="210">
        <f t="shared" si="11"/>
        <v>-1.4275932579370099E-2</v>
      </c>
      <c r="Y51" s="210">
        <f t="shared" si="11"/>
        <v>-1.4482686434477032E-2</v>
      </c>
      <c r="Z51" s="210">
        <f t="shared" si="11"/>
        <v>-1.4695516999166602E-2</v>
      </c>
      <c r="AA51" s="210">
        <f t="shared" si="11"/>
        <v>-1.4914696170273856E-2</v>
      </c>
      <c r="AB51" s="210">
        <f t="shared" si="11"/>
        <v>-1.5140512311261234E-2</v>
      </c>
      <c r="AC51" s="210">
        <f t="shared" si="11"/>
        <v>-1.5373271517942433E-2</v>
      </c>
      <c r="AD51" s="210">
        <f t="shared" si="11"/>
        <v>-1.5613299002803949E-2</v>
      </c>
      <c r="AE51" s="210">
        <f t="shared" si="11"/>
        <v>-1.5860940611026941E-2</v>
      </c>
      <c r="AF51" s="210">
        <f t="shared" si="11"/>
        <v>-1.6116564483148133E-2</v>
      </c>
      <c r="AG51" s="210">
        <f t="shared" si="11"/>
        <v>-1.6160632232353533E-2</v>
      </c>
    </row>
    <row r="52" spans="2:33">
      <c r="B52" s="18" t="s">
        <v>163</v>
      </c>
      <c r="C52" s="18"/>
      <c r="D52" s="18"/>
      <c r="E52" s="18"/>
      <c r="G52" s="210">
        <f t="shared" ref="G52:AG52" si="12">G17/F17-1</f>
        <v>-7.0833333333333526E-2</v>
      </c>
      <c r="H52" s="210">
        <f t="shared" si="12"/>
        <v>-5.3811659192825045E-2</v>
      </c>
      <c r="I52" s="210">
        <f t="shared" si="12"/>
        <v>-4.2654028436019065E-2</v>
      </c>
      <c r="J52" s="210">
        <f t="shared" si="12"/>
        <v>-3.9603960396039639E-2</v>
      </c>
      <c r="K52" s="210">
        <f t="shared" si="12"/>
        <v>-4.6391752577319534E-2</v>
      </c>
      <c r="L52" s="210">
        <f t="shared" si="12"/>
        <v>-3.7837837837837784E-2</v>
      </c>
      <c r="M52" s="210">
        <f t="shared" si="12"/>
        <v>-3.932584269662931E-2</v>
      </c>
      <c r="N52" s="210">
        <f t="shared" si="12"/>
        <v>-1.2002923976607516E-2</v>
      </c>
      <c r="O52" s="210">
        <f t="shared" si="12"/>
        <v>-1.2651859305407354E-2</v>
      </c>
      <c r="P52" s="210">
        <f t="shared" si="12"/>
        <v>-1.2813979977218115E-2</v>
      </c>
      <c r="Q52" s="210">
        <f t="shared" si="12"/>
        <v>-1.2980309401993351E-2</v>
      </c>
      <c r="R52" s="210">
        <f t="shared" si="12"/>
        <v>-1.3151013627835884E-2</v>
      </c>
      <c r="S52" s="210">
        <f t="shared" si="12"/>
        <v>-1.3326267554044979E-2</v>
      </c>
      <c r="T52" s="210">
        <f t="shared" si="12"/>
        <v>-1.3506255528878408E-2</v>
      </c>
      <c r="U52" s="210">
        <f t="shared" si="12"/>
        <v>-1.3691171996347395E-2</v>
      </c>
      <c r="V52" s="210">
        <f t="shared" si="12"/>
        <v>-1.3881222196965526E-2</v>
      </c>
      <c r="W52" s="210">
        <f t="shared" si="12"/>
        <v>-1.4076622927610249E-2</v>
      </c>
      <c r="X52" s="210">
        <f t="shared" si="12"/>
        <v>-1.4277603366508074E-2</v>
      </c>
      <c r="Y52" s="210">
        <f t="shared" si="12"/>
        <v>-1.4484405969948932E-2</v>
      </c>
      <c r="Z52" s="210">
        <f t="shared" si="12"/>
        <v>-1.469728744799903E-2</v>
      </c>
      <c r="AA52" s="210">
        <f t="shared" si="12"/>
        <v>-1.4916519827629537E-2</v>
      </c>
      <c r="AB52" s="210">
        <f t="shared" si="12"/>
        <v>-1.5142391612356865E-2</v>
      </c>
      <c r="AC52" s="210">
        <f t="shared" si="12"/>
        <v>-1.5375209048894334E-2</v>
      </c>
      <c r="AD52" s="210">
        <f t="shared" si="12"/>
        <v>-1.5615297512512671E-2</v>
      </c>
      <c r="AE52" s="210">
        <f t="shared" si="12"/>
        <v>-1.5863003024172762E-2</v>
      </c>
      <c r="AF52" s="210">
        <f t="shared" si="12"/>
        <v>-1.6118693914484172E-2</v>
      </c>
      <c r="AG52" s="210">
        <f t="shared" si="12"/>
        <v>-1.6382762651135696E-2</v>
      </c>
    </row>
    <row r="53" spans="2:33">
      <c r="B53" s="18" t="s">
        <v>164</v>
      </c>
      <c r="C53" s="18"/>
      <c r="D53" s="18"/>
      <c r="E53" s="18"/>
      <c r="G53" s="210">
        <f t="shared" ref="G53:AG53" si="13">G18/F18-1</f>
        <v>-7.9033471573990877E-2</v>
      </c>
      <c r="H53" s="210">
        <f t="shared" si="13"/>
        <v>-5.5367625718093172E-2</v>
      </c>
      <c r="I53" s="210">
        <f t="shared" si="13"/>
        <v>-4.8392810416873933E-2</v>
      </c>
      <c r="J53" s="210">
        <f t="shared" si="13"/>
        <v>-4.4611781399232164E-2</v>
      </c>
      <c r="K53" s="210">
        <f t="shared" si="13"/>
        <v>-5.04420234337839E-2</v>
      </c>
      <c r="L53" s="210">
        <f t="shared" si="13"/>
        <v>-4.5229283535108911E-2</v>
      </c>
      <c r="M53" s="210">
        <f t="shared" si="13"/>
        <v>-4.4298500767634752E-2</v>
      </c>
      <c r="N53" s="210">
        <f t="shared" si="13"/>
        <v>-1.2052007783811214E-2</v>
      </c>
      <c r="O53" s="210">
        <f t="shared" si="13"/>
        <v>-1.2652487882445662E-2</v>
      </c>
      <c r="P53" s="210">
        <f t="shared" si="13"/>
        <v>-1.2814624767025107E-2</v>
      </c>
      <c r="Q53" s="210">
        <f t="shared" si="13"/>
        <v>-1.29809710400145E-2</v>
      </c>
      <c r="R53" s="210">
        <f t="shared" si="13"/>
        <v>-1.3151692783163638E-2</v>
      </c>
      <c r="S53" s="210">
        <f t="shared" si="13"/>
        <v>-1.3326964931673957E-2</v>
      </c>
      <c r="T53" s="210">
        <f t="shared" si="13"/>
        <v>-1.3506971872150553E-2</v>
      </c>
      <c r="U53" s="210">
        <f t="shared" si="13"/>
        <v>-1.3691908089588312E-2</v>
      </c>
      <c r="V53" s="210">
        <f t="shared" si="13"/>
        <v>-1.3881978868355738E-2</v>
      </c>
      <c r="W53" s="210">
        <f t="shared" si="13"/>
        <v>-1.407740105228894E-2</v>
      </c>
      <c r="X53" s="210">
        <f t="shared" si="13"/>
        <v>-1.4278403869949274E-2</v>
      </c>
      <c r="Y53" s="210">
        <f t="shared" si="13"/>
        <v>-1.4485229831638247E-2</v>
      </c>
      <c r="Z53" s="210">
        <f t="shared" si="13"/>
        <v>-1.4698135705423443E-2</v>
      </c>
      <c r="AA53" s="210">
        <f t="shared" si="13"/>
        <v>-1.4917393580642702E-2</v>
      </c>
      <c r="AB53" s="210">
        <f t="shared" si="13"/>
        <v>-1.514329202793474E-2</v>
      </c>
      <c r="AC53" s="210">
        <f t="shared" si="13"/>
        <v>-1.5376137366330922E-2</v>
      </c>
      <c r="AD53" s="210">
        <f t="shared" si="13"/>
        <v>-1.5616255049117678E-2</v>
      </c>
      <c r="AE53" s="210">
        <f t="shared" si="13"/>
        <v>-1.5863991181500059E-2</v>
      </c>
      <c r="AF53" s="210">
        <f t="shared" si="13"/>
        <v>-1.6119714185181988E-2</v>
      </c>
      <c r="AG53" s="210">
        <f t="shared" si="13"/>
        <v>-1.6489191949466964E-2</v>
      </c>
    </row>
    <row r="54" spans="2:33">
      <c r="B54" s="18" t="s">
        <v>46</v>
      </c>
      <c r="C54" s="18"/>
      <c r="D54" s="18"/>
      <c r="E54" s="18"/>
      <c r="G54" s="210">
        <f t="shared" ref="G54:AG54" si="14">G19/F19-1</f>
        <v>-7.1674591806386578E-2</v>
      </c>
      <c r="H54" s="210">
        <f t="shared" si="14"/>
        <v>-7.3264385645884222E-2</v>
      </c>
      <c r="I54" s="210">
        <f t="shared" si="14"/>
        <v>-4.0441192889828392E-2</v>
      </c>
      <c r="J54" s="210">
        <f t="shared" si="14"/>
        <v>-3.740415840679967E-2</v>
      </c>
      <c r="K54" s="210">
        <f t="shared" si="14"/>
        <v>-3.3361868158894858E-2</v>
      </c>
      <c r="L54" s="210">
        <f t="shared" si="14"/>
        <v>-3.302317664533394E-2</v>
      </c>
      <c r="M54" s="210">
        <f t="shared" si="14"/>
        <v>-3.0911948209232598E-2</v>
      </c>
      <c r="N54" s="210">
        <f t="shared" si="14"/>
        <v>-1.2229761593109179E-2</v>
      </c>
      <c r="O54" s="210">
        <f t="shared" si="14"/>
        <v>-1.2654616380193384E-2</v>
      </c>
      <c r="P54" s="210">
        <f t="shared" si="14"/>
        <v>-1.2816808170813987E-2</v>
      </c>
      <c r="Q54" s="210">
        <f t="shared" si="14"/>
        <v>-1.2983211502075598E-2</v>
      </c>
      <c r="R54" s="210">
        <f t="shared" si="14"/>
        <v>-1.3153992569707507E-2</v>
      </c>
      <c r="S54" s="210">
        <f t="shared" si="14"/>
        <v>-1.332932643053053E-2</v>
      </c>
      <c r="T54" s="210">
        <f t="shared" si="14"/>
        <v>-1.3509397601037976E-2</v>
      </c>
      <c r="U54" s="210">
        <f t="shared" si="14"/>
        <v>-1.3694400705068666E-2</v>
      </c>
      <c r="V54" s="210">
        <f t="shared" si="14"/>
        <v>-1.3884541175533949E-2</v>
      </c>
      <c r="W54" s="210">
        <f t="shared" si="14"/>
        <v>-1.4080036015340247E-2</v>
      </c>
      <c r="X54" s="210">
        <f t="shared" si="14"/>
        <v>-1.4281114623582392E-2</v>
      </c>
      <c r="Y54" s="210">
        <f t="shared" si="14"/>
        <v>-1.4488019693489784E-2</v>
      </c>
      <c r="Z54" s="210">
        <f t="shared" si="14"/>
        <v>-1.4701008189659359E-2</v>
      </c>
      <c r="AA54" s="210">
        <f t="shared" si="14"/>
        <v>-1.4920352412668758E-2</v>
      </c>
      <c r="AB54" s="210">
        <f t="shared" si="14"/>
        <v>-1.5146341160547583E-2</v>
      </c>
      <c r="AC54" s="210">
        <f t="shared" si="14"/>
        <v>-1.5379280997335432E-2</v>
      </c>
      <c r="AD54" s="210">
        <f t="shared" si="14"/>
        <v>-1.5619497640589231E-2</v>
      </c>
      <c r="AE54" s="210">
        <f t="shared" si="14"/>
        <v>-1.5867337480933275E-2</v>
      </c>
      <c r="AF54" s="210">
        <f t="shared" si="14"/>
        <v>-1.6123169248664082E-2</v>
      </c>
      <c r="AG54" s="210">
        <f t="shared" si="14"/>
        <v>-1.6745320791628049E-2</v>
      </c>
    </row>
    <row r="55" spans="2:33">
      <c r="B55" s="18" t="s">
        <v>47</v>
      </c>
      <c r="C55" s="18"/>
      <c r="D55" s="18"/>
      <c r="E55" s="18"/>
      <c r="G55" s="217" t="s">
        <v>71</v>
      </c>
      <c r="H55" s="217" t="s">
        <v>71</v>
      </c>
      <c r="I55" s="217" t="s">
        <v>71</v>
      </c>
      <c r="J55" s="217" t="s">
        <v>71</v>
      </c>
      <c r="K55" s="217" t="s">
        <v>71</v>
      </c>
      <c r="L55" s="217" t="s">
        <v>71</v>
      </c>
      <c r="M55" s="217" t="s">
        <v>71</v>
      </c>
      <c r="N55" s="217" t="s">
        <v>71</v>
      </c>
      <c r="O55" s="217" t="s">
        <v>71</v>
      </c>
      <c r="P55" s="217" t="s">
        <v>71</v>
      </c>
      <c r="Q55" s="217" t="s">
        <v>71</v>
      </c>
      <c r="R55" s="217" t="s">
        <v>71</v>
      </c>
      <c r="S55" s="217" t="s">
        <v>71</v>
      </c>
      <c r="T55" s="217" t="s">
        <v>71</v>
      </c>
      <c r="U55" s="217" t="s">
        <v>71</v>
      </c>
      <c r="V55" s="217" t="s">
        <v>71</v>
      </c>
      <c r="W55" s="217" t="s">
        <v>71</v>
      </c>
      <c r="X55" s="217" t="s">
        <v>71</v>
      </c>
      <c r="Y55" s="217" t="s">
        <v>71</v>
      </c>
      <c r="Z55" s="217" t="s">
        <v>71</v>
      </c>
      <c r="AA55" s="217" t="s">
        <v>71</v>
      </c>
      <c r="AB55" s="217" t="s">
        <v>71</v>
      </c>
      <c r="AC55" s="217" t="s">
        <v>71</v>
      </c>
      <c r="AD55" s="217" t="s">
        <v>71</v>
      </c>
      <c r="AE55" s="217" t="s">
        <v>71</v>
      </c>
      <c r="AF55" s="217" t="s">
        <v>71</v>
      </c>
      <c r="AG55" s="217" t="s">
        <v>71</v>
      </c>
    </row>
    <row r="56" spans="2:33">
      <c r="B56" s="18" t="s">
        <v>48</v>
      </c>
      <c r="C56" s="18"/>
      <c r="D56" s="18"/>
      <c r="E56" s="18"/>
      <c r="G56" s="217" t="s">
        <v>71</v>
      </c>
      <c r="H56" s="217" t="s">
        <v>71</v>
      </c>
      <c r="I56" s="217" t="s">
        <v>71</v>
      </c>
      <c r="J56" s="217" t="s">
        <v>71</v>
      </c>
      <c r="K56" s="217" t="s">
        <v>71</v>
      </c>
      <c r="L56" s="217" t="s">
        <v>71</v>
      </c>
      <c r="M56" s="217" t="s">
        <v>71</v>
      </c>
      <c r="N56" s="217" t="s">
        <v>71</v>
      </c>
      <c r="O56" s="217" t="s">
        <v>71</v>
      </c>
      <c r="P56" s="217" t="s">
        <v>71</v>
      </c>
      <c r="Q56" s="217" t="s">
        <v>71</v>
      </c>
      <c r="R56" s="217" t="s">
        <v>71</v>
      </c>
      <c r="S56" s="217" t="s">
        <v>71</v>
      </c>
      <c r="T56" s="217" t="s">
        <v>71</v>
      </c>
      <c r="U56" s="217" t="s">
        <v>71</v>
      </c>
      <c r="V56" s="217" t="s">
        <v>71</v>
      </c>
      <c r="W56" s="217" t="s">
        <v>71</v>
      </c>
      <c r="X56" s="217" t="s">
        <v>71</v>
      </c>
      <c r="Y56" s="217" t="s">
        <v>71</v>
      </c>
      <c r="Z56" s="217" t="s">
        <v>71</v>
      </c>
      <c r="AA56" s="217" t="s">
        <v>71</v>
      </c>
      <c r="AB56" s="217" t="s">
        <v>71</v>
      </c>
      <c r="AC56" s="217" t="s">
        <v>71</v>
      </c>
      <c r="AD56" s="217" t="s">
        <v>71</v>
      </c>
      <c r="AE56" s="217" t="s">
        <v>71</v>
      </c>
      <c r="AF56" s="217" t="s">
        <v>71</v>
      </c>
      <c r="AG56" s="217" t="s">
        <v>71</v>
      </c>
    </row>
    <row r="57" spans="2:33">
      <c r="B57" s="18" t="s">
        <v>49</v>
      </c>
      <c r="C57" s="18"/>
      <c r="D57" s="18"/>
      <c r="E57" s="18"/>
      <c r="G57" s="217" t="s">
        <v>71</v>
      </c>
      <c r="H57" s="217" t="s">
        <v>71</v>
      </c>
      <c r="I57" s="217" t="s">
        <v>71</v>
      </c>
      <c r="J57" s="217" t="s">
        <v>71</v>
      </c>
      <c r="K57" s="217" t="s">
        <v>71</v>
      </c>
      <c r="L57" s="217" t="s">
        <v>71</v>
      </c>
      <c r="M57" s="217" t="s">
        <v>71</v>
      </c>
      <c r="N57" s="217" t="s">
        <v>71</v>
      </c>
      <c r="O57" s="217" t="s">
        <v>71</v>
      </c>
      <c r="P57" s="217" t="s">
        <v>71</v>
      </c>
      <c r="Q57" s="217" t="s">
        <v>71</v>
      </c>
      <c r="R57" s="217" t="s">
        <v>71</v>
      </c>
      <c r="S57" s="217" t="s">
        <v>71</v>
      </c>
      <c r="T57" s="217" t="s">
        <v>71</v>
      </c>
      <c r="U57" s="217" t="s">
        <v>71</v>
      </c>
      <c r="V57" s="217" t="s">
        <v>71</v>
      </c>
      <c r="W57" s="217" t="s">
        <v>71</v>
      </c>
      <c r="X57" s="217" t="s">
        <v>71</v>
      </c>
      <c r="Y57" s="217" t="s">
        <v>71</v>
      </c>
      <c r="Z57" s="217" t="s">
        <v>71</v>
      </c>
      <c r="AA57" s="217" t="s">
        <v>71</v>
      </c>
      <c r="AB57" s="217" t="s">
        <v>71</v>
      </c>
      <c r="AC57" s="217" t="s">
        <v>71</v>
      </c>
      <c r="AD57" s="217" t="s">
        <v>71</v>
      </c>
      <c r="AE57" s="217" t="s">
        <v>71</v>
      </c>
      <c r="AF57" s="217" t="s">
        <v>71</v>
      </c>
      <c r="AG57" s="217" t="s">
        <v>71</v>
      </c>
    </row>
    <row r="58" spans="2:33">
      <c r="B58" s="18" t="s">
        <v>50</v>
      </c>
      <c r="C58" s="18"/>
      <c r="D58" s="18"/>
      <c r="E58" s="18"/>
      <c r="G58" s="210">
        <f t="shared" ref="G58:AG58" si="15">G23/F23-1</f>
        <v>-2.3136246786632397E-2</v>
      </c>
      <c r="H58" s="210">
        <f t="shared" si="15"/>
        <v>-1.8421052631578894E-2</v>
      </c>
      <c r="I58" s="210">
        <f t="shared" si="15"/>
        <v>-1.072386058981234E-2</v>
      </c>
      <c r="J58" s="210">
        <f t="shared" si="15"/>
        <v>-1.3550135501355087E-2</v>
      </c>
      <c r="K58" s="210">
        <f t="shared" si="15"/>
        <v>-8.2417582417582125E-3</v>
      </c>
      <c r="L58" s="210">
        <f t="shared" si="15"/>
        <v>-8.3102493074794781E-3</v>
      </c>
      <c r="M58" s="210">
        <f t="shared" si="15"/>
        <v>-5.5865921787707773E-3</v>
      </c>
      <c r="N58" s="210">
        <f t="shared" si="15"/>
        <v>-7.0224719101124045E-3</v>
      </c>
      <c r="O58" s="210">
        <f t="shared" si="15"/>
        <v>-5.657708628005631E-3</v>
      </c>
      <c r="P58" s="210">
        <f t="shared" si="15"/>
        <v>-5.6899004267425557E-3</v>
      </c>
      <c r="Q58" s="210">
        <f t="shared" si="15"/>
        <v>-4.2918454935622075E-3</v>
      </c>
      <c r="R58" s="210">
        <f t="shared" si="15"/>
        <v>-5.7471264367816577E-3</v>
      </c>
      <c r="S58" s="210">
        <f t="shared" si="15"/>
        <v>-5.7803468208093012E-3</v>
      </c>
      <c r="T58" s="210">
        <f t="shared" si="15"/>
        <v>-5.8139534883722144E-3</v>
      </c>
      <c r="U58" s="210">
        <f t="shared" si="15"/>
        <v>-4.3859649122807154E-3</v>
      </c>
      <c r="V58" s="210">
        <f t="shared" si="15"/>
        <v>-5.87371512481627E-3</v>
      </c>
      <c r="W58" s="210">
        <f t="shared" si="15"/>
        <v>-5.9084194977845339E-3</v>
      </c>
      <c r="X58" s="210">
        <f t="shared" si="15"/>
        <v>-5.9435364041603433E-3</v>
      </c>
      <c r="Y58" s="210">
        <f t="shared" si="15"/>
        <v>-4.484304932735439E-3</v>
      </c>
      <c r="Z58" s="210">
        <f t="shared" si="15"/>
        <v>-6.0060060060062037E-3</v>
      </c>
      <c r="AA58" s="210">
        <f t="shared" si="15"/>
        <v>-6.0422960725076136E-3</v>
      </c>
      <c r="AB58" s="210">
        <f t="shared" si="15"/>
        <v>-6.0790273556231567E-3</v>
      </c>
      <c r="AC58" s="210">
        <f t="shared" si="15"/>
        <v>-4.5871559633027248E-3</v>
      </c>
      <c r="AD58" s="210">
        <f t="shared" si="15"/>
        <v>-6.1443932411673341E-3</v>
      </c>
      <c r="AE58" s="210">
        <f t="shared" si="15"/>
        <v>-4.6367851622874934E-3</v>
      </c>
      <c r="AF58" s="210">
        <f t="shared" si="15"/>
        <v>-1.5527950310559868E-3</v>
      </c>
      <c r="AG58" s="210">
        <f t="shared" si="15"/>
        <v>-3.1104199066874783E-3</v>
      </c>
    </row>
    <row r="59" spans="2:33">
      <c r="B59" s="18" t="s">
        <v>51</v>
      </c>
      <c r="C59" s="18"/>
      <c r="D59" s="18"/>
      <c r="E59" s="18"/>
      <c r="G59" s="210">
        <f t="shared" ref="G59:AG59" si="16">G24/F24-1</f>
        <v>-1.3667425968109326E-2</v>
      </c>
      <c r="H59" s="210">
        <f t="shared" si="16"/>
        <v>-9.2378752886835835E-3</v>
      </c>
      <c r="I59" s="210">
        <f t="shared" si="16"/>
        <v>-6.9930069930069783E-3</v>
      </c>
      <c r="J59" s="210">
        <f t="shared" si="16"/>
        <v>-8.2159624413146171E-3</v>
      </c>
      <c r="K59" s="210">
        <f t="shared" si="16"/>
        <v>-5.9171597633136397E-3</v>
      </c>
      <c r="L59" s="210">
        <f t="shared" si="16"/>
        <v>-5.9523809523809312E-3</v>
      </c>
      <c r="M59" s="210">
        <f t="shared" si="16"/>
        <v>-3.5928143712574689E-3</v>
      </c>
      <c r="N59" s="210">
        <f t="shared" si="16"/>
        <v>-6.0096153846154188E-3</v>
      </c>
      <c r="O59" s="210">
        <f t="shared" si="16"/>
        <v>-3.6275695284159193E-3</v>
      </c>
      <c r="P59" s="210">
        <f t="shared" si="16"/>
        <v>-4.8543689320387218E-3</v>
      </c>
      <c r="Q59" s="210">
        <f t="shared" si="16"/>
        <v>-3.6585365853659679E-3</v>
      </c>
      <c r="R59" s="210">
        <f t="shared" si="16"/>
        <v>-4.8959608323133619E-3</v>
      </c>
      <c r="S59" s="210">
        <f t="shared" si="16"/>
        <v>-3.6900369003690647E-3</v>
      </c>
      <c r="T59" s="210">
        <f t="shared" si="16"/>
        <v>-4.9382716049383157E-3</v>
      </c>
      <c r="U59" s="210">
        <f t="shared" si="16"/>
        <v>-3.7220843672456372E-3</v>
      </c>
      <c r="V59" s="210">
        <f t="shared" si="16"/>
        <v>-4.9813200498132204E-3</v>
      </c>
      <c r="W59" s="210">
        <f t="shared" si="16"/>
        <v>-3.754693366708528E-3</v>
      </c>
      <c r="X59" s="210">
        <f t="shared" si="16"/>
        <v>-3.7688442211054607E-3</v>
      </c>
      <c r="Y59" s="210">
        <f t="shared" si="16"/>
        <v>-5.0441361916770955E-3</v>
      </c>
      <c r="Z59" s="210">
        <f t="shared" si="16"/>
        <v>-3.8022813688213253E-3</v>
      </c>
      <c r="AA59" s="210">
        <f t="shared" si="16"/>
        <v>-5.0890585241730735E-3</v>
      </c>
      <c r="AB59" s="210">
        <f t="shared" si="16"/>
        <v>-3.8363171355498826E-3</v>
      </c>
      <c r="AC59" s="210">
        <f t="shared" si="16"/>
        <v>-5.1347881899871384E-3</v>
      </c>
      <c r="AD59" s="210">
        <f t="shared" si="16"/>
        <v>-3.870967741935516E-3</v>
      </c>
      <c r="AE59" s="210">
        <f t="shared" si="16"/>
        <v>-5.1813471502590858E-3</v>
      </c>
      <c r="AF59" s="210">
        <f t="shared" si="16"/>
        <v>-2.6041666666667407E-3</v>
      </c>
      <c r="AG59" s="210">
        <f t="shared" si="16"/>
        <v>-2.6109660574412663E-3</v>
      </c>
    </row>
    <row r="60" spans="2:33" ht="17.25">
      <c r="B60" s="18" t="s">
        <v>178</v>
      </c>
      <c r="C60" s="18"/>
      <c r="D60" s="18"/>
      <c r="E60" s="18"/>
      <c r="G60" s="210">
        <f t="shared" ref="G60:L60" si="17">G25/F25-1</f>
        <v>-1.3476907109175151E-2</v>
      </c>
      <c r="H60" s="210">
        <f t="shared" si="17"/>
        <v>-8.0885100444133551E-3</v>
      </c>
      <c r="I60" s="210">
        <f t="shared" si="17"/>
        <v>-9.2404717884633225E-3</v>
      </c>
      <c r="J60" s="210">
        <f t="shared" si="17"/>
        <v>-1.2323023844919567E-2</v>
      </c>
      <c r="K60" s="210">
        <f t="shared" si="17"/>
        <v>-1.3124433447054717E-2</v>
      </c>
      <c r="L60" s="210">
        <f t="shared" si="17"/>
        <v>-1.2787718138756787E-2</v>
      </c>
      <c r="M60" s="210">
        <f t="shared" ref="H60:AG67" si="18">M25/L25-1</f>
        <v>-9.8851506403387912E-3</v>
      </c>
      <c r="N60" s="210">
        <f t="shared" si="18"/>
        <v>-8.8687641531935979E-3</v>
      </c>
      <c r="O60" s="210">
        <f t="shared" si="18"/>
        <v>-8.9109542638383665E-3</v>
      </c>
      <c r="P60" s="210">
        <f t="shared" si="18"/>
        <v>-8.6086070665043479E-3</v>
      </c>
      <c r="Q60" s="210">
        <f t="shared" si="18"/>
        <v>-7.2973756859516792E-3</v>
      </c>
      <c r="R60" s="210">
        <f t="shared" si="18"/>
        <v>-7.9365570709770683E-3</v>
      </c>
      <c r="S60" s="210">
        <f t="shared" si="18"/>
        <v>-6.6880705726560796E-3</v>
      </c>
      <c r="T60" s="210">
        <f t="shared" si="18"/>
        <v>-4.3479333933204023E-3</v>
      </c>
      <c r="U60" s="210">
        <f t="shared" si="18"/>
        <v>-4.1345288993870355E-3</v>
      </c>
      <c r="V60" s="210">
        <f t="shared" si="18"/>
        <v>-4.1460814249666411E-3</v>
      </c>
      <c r="W60" s="210">
        <f t="shared" si="18"/>
        <v>-4.4263477493005077E-3</v>
      </c>
      <c r="X60" s="210">
        <f t="shared" si="18"/>
        <v>-5.1836645112978141E-3</v>
      </c>
      <c r="Y60" s="210">
        <f t="shared" si="18"/>
        <v>-5.3837470860980119E-3</v>
      </c>
      <c r="Z60" s="210">
        <f t="shared" si="18"/>
        <v>-5.6735762485475849E-3</v>
      </c>
      <c r="AA60" s="210">
        <f t="shared" si="18"/>
        <v>-6.118729770188458E-3</v>
      </c>
      <c r="AB60" s="210">
        <f t="shared" si="18"/>
        <v>-6.1443085380764595E-3</v>
      </c>
      <c r="AC60" s="210">
        <f t="shared" si="18"/>
        <v>-5.6239537702924558E-3</v>
      </c>
      <c r="AD60" s="210">
        <f t="shared" si="18"/>
        <v>-5.8985860197466877E-3</v>
      </c>
      <c r="AE60" s="210">
        <f t="shared" si="18"/>
        <v>-5.3940398646470378E-3</v>
      </c>
      <c r="AF60" s="210">
        <f t="shared" si="18"/>
        <v>-4.6946984297268068E-3</v>
      </c>
      <c r="AG60" s="210">
        <f t="shared" si="18"/>
        <v>-5.2262357235892676E-3</v>
      </c>
    </row>
    <row r="61" spans="2:33">
      <c r="B61" s="18" t="s">
        <v>53</v>
      </c>
      <c r="C61" s="18"/>
      <c r="D61" s="18"/>
      <c r="E61" s="18"/>
      <c r="G61" s="210">
        <f t="shared" ref="G61:G67" si="19">G26/F26-1</f>
        <v>-6.3700086235646269E-3</v>
      </c>
      <c r="H61" s="210">
        <f t="shared" si="18"/>
        <v>-6.4101174086168555E-3</v>
      </c>
      <c r="I61" s="210">
        <f t="shared" si="18"/>
        <v>-1.9663767216585581E-3</v>
      </c>
      <c r="J61" s="210">
        <f t="shared" si="18"/>
        <v>-2.0048630003091095E-3</v>
      </c>
      <c r="K61" s="210">
        <f t="shared" si="18"/>
        <v>-2.0430354234979298E-3</v>
      </c>
      <c r="L61" s="210">
        <f t="shared" si="18"/>
        <v>-2.0825247176412542E-3</v>
      </c>
      <c r="M61" s="210">
        <f t="shared" si="18"/>
        <v>-2.1223403803989349E-3</v>
      </c>
      <c r="N61" s="210">
        <f t="shared" si="18"/>
        <v>-6.6670525507390721E-3</v>
      </c>
      <c r="O61" s="210">
        <f t="shared" si="18"/>
        <v>-6.711511268747361E-3</v>
      </c>
      <c r="P61" s="210">
        <f t="shared" si="18"/>
        <v>-6.7563074389084266E-3</v>
      </c>
      <c r="Q61" s="210">
        <f t="shared" si="18"/>
        <v>-6.8035633758922742E-3</v>
      </c>
      <c r="R61" s="210">
        <f t="shared" si="18"/>
        <v>-6.8491865237736427E-3</v>
      </c>
      <c r="S61" s="210">
        <f t="shared" si="18"/>
        <v>-6.8966601584882214E-3</v>
      </c>
      <c r="T61" s="210">
        <f t="shared" si="18"/>
        <v>-6.9439850962270677E-3</v>
      </c>
      <c r="U61" s="210">
        <f t="shared" si="18"/>
        <v>-6.9931517091285089E-3</v>
      </c>
      <c r="V61" s="210">
        <f t="shared" si="18"/>
        <v>-7.0422336883875225E-3</v>
      </c>
      <c r="W61" s="210">
        <f t="shared" si="18"/>
        <v>-7.0919304414758244E-3</v>
      </c>
      <c r="X61" s="210">
        <f t="shared" si="18"/>
        <v>-7.1436398493861519E-3</v>
      </c>
      <c r="Y61" s="210">
        <f t="shared" si="18"/>
        <v>-7.194269548801091E-3</v>
      </c>
      <c r="Z61" s="210">
        <f t="shared" si="18"/>
        <v>-7.2464404293234308E-3</v>
      </c>
      <c r="AA61" s="210">
        <f t="shared" si="18"/>
        <v>-7.2993391982962841E-3</v>
      </c>
      <c r="AB61" s="210">
        <f t="shared" si="18"/>
        <v>-7.3520884301008227E-3</v>
      </c>
      <c r="AC61" s="210">
        <f t="shared" si="18"/>
        <v>-7.4075750750989267E-3</v>
      </c>
      <c r="AD61" s="210">
        <f t="shared" si="18"/>
        <v>-7.4627039555472674E-3</v>
      </c>
      <c r="AE61" s="210">
        <f t="shared" si="18"/>
        <v>-7.5193661522819921E-3</v>
      </c>
      <c r="AF61" s="210">
        <f t="shared" si="18"/>
        <v>-7.5757748092838417E-3</v>
      </c>
      <c r="AG61" s="210">
        <f t="shared" si="18"/>
        <v>-7.6335875876941683E-3</v>
      </c>
    </row>
    <row r="62" spans="2:33">
      <c r="B62" s="18" t="s">
        <v>179</v>
      </c>
      <c r="C62" s="18"/>
      <c r="D62" s="18"/>
      <c r="E62" s="18"/>
      <c r="G62" s="210">
        <f t="shared" si="19"/>
        <v>-3.9131763986548607E-2</v>
      </c>
      <c r="H62" s="210">
        <f t="shared" si="18"/>
        <v>-4.0725421571746634E-2</v>
      </c>
      <c r="I62" s="210">
        <f t="shared" si="18"/>
        <v>-4.1262709527435937E-2</v>
      </c>
      <c r="J62" s="210">
        <f t="shared" si="18"/>
        <v>-4.3148036123376143E-2</v>
      </c>
      <c r="K62" s="210">
        <f t="shared" si="18"/>
        <v>-4.5208226066647983E-2</v>
      </c>
      <c r="L62" s="210">
        <f t="shared" si="18"/>
        <v>-4.7468801547095429E-2</v>
      </c>
      <c r="M62" s="210">
        <f t="shared" si="18"/>
        <v>-4.9960505429455293E-2</v>
      </c>
      <c r="N62" s="210">
        <f t="shared" si="18"/>
        <v>-9.9999999999998979E-3</v>
      </c>
      <c r="O62" s="210">
        <f t="shared" si="18"/>
        <v>-1.0101010101010166E-2</v>
      </c>
      <c r="P62" s="210">
        <f t="shared" si="18"/>
        <v>-1.0204081632652962E-2</v>
      </c>
      <c r="Q62" s="210">
        <f t="shared" si="18"/>
        <v>-1.0309278350515538E-2</v>
      </c>
      <c r="R62" s="210">
        <f t="shared" si="18"/>
        <v>-1.041666666666663E-2</v>
      </c>
      <c r="S62" s="210">
        <f t="shared" si="18"/>
        <v>-1.0526315789473606E-2</v>
      </c>
      <c r="T62" s="210">
        <f t="shared" si="18"/>
        <v>-1.0638297872340496E-2</v>
      </c>
      <c r="U62" s="210">
        <f t="shared" si="18"/>
        <v>-1.0752688172043001E-2</v>
      </c>
      <c r="V62" s="210">
        <f t="shared" si="18"/>
        <v>-1.0869565217391353E-2</v>
      </c>
      <c r="W62" s="210">
        <f t="shared" si="18"/>
        <v>-1.0989010989011061E-2</v>
      </c>
      <c r="X62" s="210">
        <f t="shared" si="18"/>
        <v>-1.1111111111111072E-2</v>
      </c>
      <c r="Y62" s="210">
        <f t="shared" si="18"/>
        <v>-1.1235955056179803E-2</v>
      </c>
      <c r="Z62" s="210">
        <f t="shared" si="18"/>
        <v>-1.1363636363636354E-2</v>
      </c>
      <c r="AA62" s="210">
        <f t="shared" si="18"/>
        <v>-1.1494252873563315E-2</v>
      </c>
      <c r="AB62" s="210">
        <f t="shared" si="18"/>
        <v>-1.1627906976744207E-2</v>
      </c>
      <c r="AC62" s="210">
        <f t="shared" si="18"/>
        <v>-1.1764705882352899E-2</v>
      </c>
      <c r="AD62" s="210">
        <f t="shared" si="18"/>
        <v>-1.1904761904761973E-2</v>
      </c>
      <c r="AE62" s="210">
        <f t="shared" si="18"/>
        <v>-1.2048192771084265E-2</v>
      </c>
      <c r="AF62" s="210">
        <f t="shared" si="18"/>
        <v>-1.2195121951219634E-2</v>
      </c>
      <c r="AG62" s="210">
        <f t="shared" si="18"/>
        <v>-1.2345679012345623E-2</v>
      </c>
    </row>
    <row r="63" spans="2:33">
      <c r="B63" s="18" t="s">
        <v>180</v>
      </c>
      <c r="C63" s="18"/>
      <c r="D63" s="18"/>
      <c r="E63" s="18"/>
      <c r="G63" s="210">
        <f t="shared" si="19"/>
        <v>-4.2874773277052247E-2</v>
      </c>
      <c r="H63" s="210">
        <f t="shared" si="18"/>
        <v>-4.4795364368201973E-2</v>
      </c>
      <c r="I63" s="210">
        <f t="shared" si="18"/>
        <v>-4.6164104195735134E-2</v>
      </c>
      <c r="J63" s="210">
        <f t="shared" si="18"/>
        <v>-4.8474594000630589E-2</v>
      </c>
      <c r="K63" s="210">
        <f t="shared" si="18"/>
        <v>-5.1024076622575021E-2</v>
      </c>
      <c r="L63" s="210">
        <f t="shared" si="18"/>
        <v>-5.3851681254950323E-2</v>
      </c>
      <c r="M63" s="210">
        <f t="shared" si="18"/>
        <v>-5.7005571900098251E-2</v>
      </c>
      <c r="N63" s="210">
        <f t="shared" si="18"/>
        <v>-8.9108561626981553E-3</v>
      </c>
      <c r="O63" s="210">
        <f t="shared" si="18"/>
        <v>-8.9909734337287883E-3</v>
      </c>
      <c r="P63" s="210">
        <f t="shared" si="18"/>
        <v>-9.0725444397630195E-3</v>
      </c>
      <c r="Q63" s="210">
        <f t="shared" si="18"/>
        <v>-9.1556091102892312E-3</v>
      </c>
      <c r="R63" s="210">
        <f t="shared" si="18"/>
        <v>-9.240208850622933E-3</v>
      </c>
      <c r="S63" s="210">
        <f t="shared" si="18"/>
        <v>-9.3263866107277105E-3</v>
      </c>
      <c r="T63" s="210">
        <f t="shared" si="18"/>
        <v>-9.4141869579229542E-3</v>
      </c>
      <c r="U63" s="210">
        <f t="shared" si="18"/>
        <v>-9.5036561537381603E-3</v>
      </c>
      <c r="V63" s="210">
        <f t="shared" si="18"/>
        <v>-9.5948422351906926E-3</v>
      </c>
      <c r="W63" s="210">
        <f t="shared" si="18"/>
        <v>-9.6877951007896534E-3</v>
      </c>
      <c r="X63" s="210">
        <f t="shared" si="18"/>
        <v>-9.7825666015856072E-3</v>
      </c>
      <c r="Y63" s="210">
        <f t="shared" si="18"/>
        <v>-9.8792106376192068E-3</v>
      </c>
      <c r="Z63" s="210">
        <f t="shared" si="18"/>
        <v>-9.9777832601427585E-3</v>
      </c>
      <c r="AA63" s="210">
        <f t="shared" si="18"/>
        <v>-1.0078342780023175E-2</v>
      </c>
      <c r="AB63" s="210">
        <f t="shared" si="18"/>
        <v>-1.0180949882767965E-2</v>
      </c>
      <c r="AC63" s="210">
        <f t="shared" si="18"/>
        <v>-1.0285667750648098E-2</v>
      </c>
      <c r="AD63" s="210">
        <f t="shared" si="18"/>
        <v>-1.0392562192437671E-2</v>
      </c>
      <c r="AE63" s="210">
        <f t="shared" si="18"/>
        <v>-1.0501701781326367E-2</v>
      </c>
      <c r="AF63" s="210">
        <f t="shared" si="18"/>
        <v>-1.061315800161744E-2</v>
      </c>
      <c r="AG63" s="210">
        <f t="shared" si="18"/>
        <v>-1.0727005404863266E-2</v>
      </c>
    </row>
    <row r="64" spans="2:33">
      <c r="B64" s="18" t="s">
        <v>181</v>
      </c>
      <c r="C64" s="18"/>
      <c r="D64" s="18"/>
      <c r="E64" s="18"/>
      <c r="G64" s="210">
        <f t="shared" si="19"/>
        <v>-7.0833333333333526E-2</v>
      </c>
      <c r="H64" s="210">
        <f t="shared" si="18"/>
        <v>-5.3811659192824934E-2</v>
      </c>
      <c r="I64" s="210">
        <f t="shared" si="18"/>
        <v>-4.2654028436018954E-2</v>
      </c>
      <c r="J64" s="210">
        <f t="shared" si="18"/>
        <v>-3.9603960396039639E-2</v>
      </c>
      <c r="K64" s="210">
        <f t="shared" si="18"/>
        <v>-4.6391752577319534E-2</v>
      </c>
      <c r="L64" s="210">
        <f t="shared" si="18"/>
        <v>-3.7837837837837784E-2</v>
      </c>
      <c r="M64" s="210">
        <f t="shared" si="18"/>
        <v>-3.932584269662931E-2</v>
      </c>
      <c r="N64" s="210">
        <f t="shared" si="18"/>
        <v>-1.2002923976607516E-2</v>
      </c>
      <c r="O64" s="210">
        <f t="shared" si="18"/>
        <v>-1.2651859305407243E-2</v>
      </c>
      <c r="P64" s="210">
        <f t="shared" si="18"/>
        <v>-1.2813979977218004E-2</v>
      </c>
      <c r="Q64" s="210">
        <f t="shared" si="18"/>
        <v>-1.298030940199324E-2</v>
      </c>
      <c r="R64" s="210">
        <f t="shared" si="18"/>
        <v>-1.3151013627835773E-2</v>
      </c>
      <c r="S64" s="210">
        <f t="shared" si="18"/>
        <v>-1.3326267554044979E-2</v>
      </c>
      <c r="T64" s="210">
        <f t="shared" si="18"/>
        <v>-1.3506255528878408E-2</v>
      </c>
      <c r="U64" s="210">
        <f t="shared" si="18"/>
        <v>-1.3691171996347395E-2</v>
      </c>
      <c r="V64" s="210">
        <f t="shared" si="18"/>
        <v>-1.3881222196965526E-2</v>
      </c>
      <c r="W64" s="210">
        <f t="shared" si="18"/>
        <v>-1.4076622927610249E-2</v>
      </c>
      <c r="X64" s="210">
        <f t="shared" si="18"/>
        <v>-1.4277603366508074E-2</v>
      </c>
      <c r="Y64" s="210">
        <f t="shared" si="18"/>
        <v>-1.4484405969948821E-2</v>
      </c>
      <c r="Z64" s="210">
        <f t="shared" si="18"/>
        <v>-1.4697287447999141E-2</v>
      </c>
      <c r="AA64" s="210">
        <f t="shared" si="18"/>
        <v>-1.4916519827629537E-2</v>
      </c>
      <c r="AB64" s="210">
        <f t="shared" si="18"/>
        <v>-1.5142391612356865E-2</v>
      </c>
      <c r="AC64" s="210">
        <f t="shared" si="18"/>
        <v>-1.5375209048894334E-2</v>
      </c>
      <c r="AD64" s="210">
        <f t="shared" si="18"/>
        <v>-1.5615297512512671E-2</v>
      </c>
      <c r="AE64" s="210">
        <f t="shared" si="18"/>
        <v>-1.5863003024172873E-2</v>
      </c>
      <c r="AF64" s="210">
        <f t="shared" si="18"/>
        <v>-1.6118693914484061E-2</v>
      </c>
      <c r="AG64" s="210">
        <f t="shared" si="18"/>
        <v>-1.6382762651135585E-2</v>
      </c>
    </row>
    <row r="65" spans="1:33">
      <c r="B65" s="18" t="s">
        <v>182</v>
      </c>
      <c r="C65" s="18"/>
      <c r="D65" s="18"/>
      <c r="E65" s="18"/>
      <c r="G65" s="210">
        <f t="shared" si="19"/>
        <v>-3.9131763986548385E-2</v>
      </c>
      <c r="H65" s="210">
        <f t="shared" si="18"/>
        <v>-4.0725421571746634E-2</v>
      </c>
      <c r="I65" s="210">
        <f t="shared" si="18"/>
        <v>-4.1262709527435937E-2</v>
      </c>
      <c r="J65" s="210">
        <f t="shared" si="18"/>
        <v>-4.3148036123375921E-2</v>
      </c>
      <c r="K65" s="210">
        <f t="shared" si="18"/>
        <v>-4.5208226066648094E-2</v>
      </c>
      <c r="L65" s="210">
        <f t="shared" si="18"/>
        <v>-4.7468801547095429E-2</v>
      </c>
      <c r="M65" s="210">
        <f t="shared" si="18"/>
        <v>-4.9960505429455293E-2</v>
      </c>
      <c r="N65" s="210">
        <f t="shared" si="18"/>
        <v>-9.9999999999998979E-3</v>
      </c>
      <c r="O65" s="210">
        <f t="shared" si="18"/>
        <v>-1.0101010101010166E-2</v>
      </c>
      <c r="P65" s="210">
        <f t="shared" si="18"/>
        <v>-1.0204081632652851E-2</v>
      </c>
      <c r="Q65" s="210">
        <f t="shared" si="18"/>
        <v>-1.0309278350515538E-2</v>
      </c>
      <c r="R65" s="210">
        <f t="shared" si="18"/>
        <v>-1.041666666666663E-2</v>
      </c>
      <c r="S65" s="210">
        <f t="shared" si="18"/>
        <v>-1.0526315789473606E-2</v>
      </c>
      <c r="T65" s="210">
        <f t="shared" si="18"/>
        <v>-1.0638297872340496E-2</v>
      </c>
      <c r="U65" s="210">
        <f t="shared" si="18"/>
        <v>-1.0752688172043001E-2</v>
      </c>
      <c r="V65" s="210">
        <f t="shared" si="18"/>
        <v>-1.0869565217391353E-2</v>
      </c>
      <c r="W65" s="210">
        <f t="shared" si="18"/>
        <v>-1.0989010989011061E-2</v>
      </c>
      <c r="X65" s="210">
        <f t="shared" si="18"/>
        <v>-1.1111111111111072E-2</v>
      </c>
      <c r="Y65" s="210">
        <f t="shared" si="18"/>
        <v>-1.1235955056179692E-2</v>
      </c>
      <c r="Z65" s="210">
        <f t="shared" si="18"/>
        <v>-1.1363636363636354E-2</v>
      </c>
      <c r="AA65" s="210">
        <f t="shared" si="18"/>
        <v>-1.1494252873563315E-2</v>
      </c>
      <c r="AB65" s="210">
        <f t="shared" si="18"/>
        <v>-1.1627906976744096E-2</v>
      </c>
      <c r="AC65" s="210">
        <f t="shared" si="18"/>
        <v>-1.1764705882352899E-2</v>
      </c>
      <c r="AD65" s="210">
        <f t="shared" si="18"/>
        <v>-1.1904761904761973E-2</v>
      </c>
      <c r="AE65" s="210">
        <f t="shared" si="18"/>
        <v>-1.2048192771084265E-2</v>
      </c>
      <c r="AF65" s="210">
        <f t="shared" si="18"/>
        <v>-1.2195121951219634E-2</v>
      </c>
      <c r="AG65" s="210">
        <f t="shared" si="18"/>
        <v>-1.2345679012345623E-2</v>
      </c>
    </row>
    <row r="66" spans="1:33">
      <c r="B66" s="18" t="s">
        <v>183</v>
      </c>
      <c r="C66" s="18"/>
      <c r="D66" s="18"/>
      <c r="E66" s="18"/>
      <c r="G66" s="210">
        <f t="shared" si="19"/>
        <v>-4.2874773277052247E-2</v>
      </c>
      <c r="H66" s="210">
        <f t="shared" si="18"/>
        <v>-4.4795364368201973E-2</v>
      </c>
      <c r="I66" s="210">
        <f t="shared" si="18"/>
        <v>-4.6164104195735134E-2</v>
      </c>
      <c r="J66" s="210">
        <f t="shared" si="18"/>
        <v>-4.8474594000630589E-2</v>
      </c>
      <c r="K66" s="210">
        <f t="shared" si="18"/>
        <v>-5.1024076622575021E-2</v>
      </c>
      <c r="L66" s="210">
        <f t="shared" si="18"/>
        <v>-5.3851681254950434E-2</v>
      </c>
      <c r="M66" s="210">
        <f t="shared" si="18"/>
        <v>-5.7005571900098251E-2</v>
      </c>
      <c r="N66" s="210">
        <f t="shared" si="18"/>
        <v>-8.9108561626983773E-3</v>
      </c>
      <c r="O66" s="210">
        <f t="shared" si="18"/>
        <v>-8.9909734337287883E-3</v>
      </c>
      <c r="P66" s="210">
        <f t="shared" si="18"/>
        <v>-9.0725444397630195E-3</v>
      </c>
      <c r="Q66" s="210">
        <f t="shared" si="18"/>
        <v>-9.1556091102892312E-3</v>
      </c>
      <c r="R66" s="210">
        <f t="shared" si="18"/>
        <v>-9.240208850622933E-3</v>
      </c>
      <c r="S66" s="210">
        <f t="shared" si="18"/>
        <v>-9.3263866107277105E-3</v>
      </c>
      <c r="T66" s="210">
        <f t="shared" si="18"/>
        <v>-9.4141869579229542E-3</v>
      </c>
      <c r="U66" s="210">
        <f t="shared" si="18"/>
        <v>-9.5036561537380493E-3</v>
      </c>
      <c r="V66" s="210">
        <f t="shared" si="18"/>
        <v>-9.5948422351909146E-3</v>
      </c>
      <c r="W66" s="210">
        <f t="shared" si="18"/>
        <v>-9.6877951007896534E-3</v>
      </c>
      <c r="X66" s="210">
        <f t="shared" si="18"/>
        <v>-9.7825666015856072E-3</v>
      </c>
      <c r="Y66" s="210">
        <f t="shared" si="18"/>
        <v>-9.8792106376192068E-3</v>
      </c>
      <c r="Z66" s="210">
        <f t="shared" si="18"/>
        <v>-9.9777832601426475E-3</v>
      </c>
      <c r="AA66" s="210">
        <f t="shared" si="18"/>
        <v>-1.0078342780023175E-2</v>
      </c>
      <c r="AB66" s="210">
        <f t="shared" si="18"/>
        <v>-1.0180949882767965E-2</v>
      </c>
      <c r="AC66" s="210">
        <f t="shared" si="18"/>
        <v>-1.0285667750648098E-2</v>
      </c>
      <c r="AD66" s="210">
        <f t="shared" si="18"/>
        <v>-1.0392562192437671E-2</v>
      </c>
      <c r="AE66" s="210">
        <f t="shared" si="18"/>
        <v>-1.0501701781326367E-2</v>
      </c>
      <c r="AF66" s="210">
        <f t="shared" si="18"/>
        <v>-1.061315800161744E-2</v>
      </c>
      <c r="AG66" s="210">
        <f t="shared" si="18"/>
        <v>-1.0727005404863266E-2</v>
      </c>
    </row>
    <row r="67" spans="1:33">
      <c r="B67" s="18" t="s">
        <v>184</v>
      </c>
      <c r="C67" s="18"/>
      <c r="D67" s="18"/>
      <c r="E67" s="18"/>
      <c r="G67" s="210">
        <f t="shared" si="19"/>
        <v>-7.0833333333333415E-2</v>
      </c>
      <c r="H67" s="210">
        <f t="shared" si="18"/>
        <v>-5.3811659192824823E-2</v>
      </c>
      <c r="I67" s="210">
        <f t="shared" si="18"/>
        <v>-4.2654028436019065E-2</v>
      </c>
      <c r="J67" s="210">
        <f t="shared" si="18"/>
        <v>-3.9603960396039639E-2</v>
      </c>
      <c r="K67" s="210">
        <f t="shared" si="18"/>
        <v>-4.6391752577319534E-2</v>
      </c>
      <c r="L67" s="210">
        <f t="shared" si="18"/>
        <v>-3.7837837837837784E-2</v>
      </c>
      <c r="M67" s="210">
        <f t="shared" si="18"/>
        <v>-3.9325842696629421E-2</v>
      </c>
      <c r="N67" s="210">
        <f t="shared" si="18"/>
        <v>-1.2002923976607516E-2</v>
      </c>
      <c r="O67" s="210">
        <f t="shared" si="18"/>
        <v>-1.2651859305407354E-2</v>
      </c>
      <c r="P67" s="210">
        <f t="shared" si="18"/>
        <v>-1.2813979977218004E-2</v>
      </c>
      <c r="Q67" s="210">
        <f t="shared" si="18"/>
        <v>-1.298030940199324E-2</v>
      </c>
      <c r="R67" s="210">
        <f t="shared" si="18"/>
        <v>-1.3151013627835884E-2</v>
      </c>
      <c r="S67" s="210">
        <f t="shared" si="18"/>
        <v>-1.3326267554044868E-2</v>
      </c>
      <c r="T67" s="210">
        <f t="shared" si="18"/>
        <v>-1.3506255528878408E-2</v>
      </c>
      <c r="U67" s="210">
        <f t="shared" si="18"/>
        <v>-1.3691171996347395E-2</v>
      </c>
      <c r="V67" s="210">
        <f t="shared" si="18"/>
        <v>-1.3881222196965637E-2</v>
      </c>
      <c r="W67" s="210">
        <f t="shared" si="18"/>
        <v>-1.4076622927610138E-2</v>
      </c>
      <c r="X67" s="210">
        <f t="shared" si="18"/>
        <v>-1.4277603366508074E-2</v>
      </c>
      <c r="Y67" s="210">
        <f t="shared" si="18"/>
        <v>-1.4484405969948821E-2</v>
      </c>
      <c r="Z67" s="210">
        <f t="shared" si="18"/>
        <v>-1.4697287447999141E-2</v>
      </c>
      <c r="AA67" s="210">
        <f t="shared" si="18"/>
        <v>-1.4916519827629537E-2</v>
      </c>
      <c r="AB67" s="210">
        <f t="shared" si="18"/>
        <v>-1.5142391612356754E-2</v>
      </c>
      <c r="AC67" s="210">
        <f t="shared" si="18"/>
        <v>-1.5375209048894334E-2</v>
      </c>
      <c r="AD67" s="210">
        <f t="shared" si="18"/>
        <v>-1.5615297512512671E-2</v>
      </c>
      <c r="AE67" s="210">
        <f t="shared" si="18"/>
        <v>-1.5863003024172873E-2</v>
      </c>
      <c r="AF67" s="210">
        <f t="shared" si="18"/>
        <v>-1.611869391448395E-2</v>
      </c>
      <c r="AG67" s="210">
        <f t="shared" si="18"/>
        <v>-1.6382762651135696E-2</v>
      </c>
    </row>
    <row r="68" spans="1:33">
      <c r="A68" s="133" t="s">
        <v>54</v>
      </c>
    </row>
    <row r="69" spans="1:33">
      <c r="A69" s="133" t="s">
        <v>185</v>
      </c>
    </row>
  </sheetData>
  <pageMargins left="0.7" right="0.7" top="0.75" bottom="0.75" header="0.3" footer="0.3"/>
  <pageSetup orientation="portrait" horizontalDpi="90" verticalDpi="9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53"/>
  <sheetViews>
    <sheetView workbookViewId="0">
      <selection activeCell="E37" sqref="E37"/>
    </sheetView>
  </sheetViews>
  <sheetFormatPr defaultRowHeight="15"/>
  <cols>
    <col min="2" max="2" width="25.140625" bestFit="1" customWidth="1"/>
    <col min="4" max="5" width="16.7109375" bestFit="1" customWidth="1"/>
  </cols>
  <sheetData>
    <row r="3" spans="1:5">
      <c r="A3" s="206" t="s">
        <v>186</v>
      </c>
      <c r="C3" s="18" t="s">
        <v>187</v>
      </c>
      <c r="D3" s="18" t="s">
        <v>188</v>
      </c>
      <c r="E3" s="18" t="s">
        <v>189</v>
      </c>
    </row>
    <row r="4" spans="1:5">
      <c r="B4" s="18" t="s">
        <v>96</v>
      </c>
      <c r="C4" s="207">
        <v>5658.1000723585184</v>
      </c>
      <c r="D4" s="208">
        <v>4807.7764799274364</v>
      </c>
      <c r="E4" s="208">
        <v>4728.1641758045389</v>
      </c>
    </row>
    <row r="5" spans="1:5">
      <c r="B5" s="18" t="s">
        <v>33</v>
      </c>
      <c r="C5" s="209" t="s">
        <v>71</v>
      </c>
      <c r="D5" s="208">
        <v>1660.8193719929088</v>
      </c>
      <c r="E5" s="208">
        <v>1730.3999999999999</v>
      </c>
    </row>
    <row r="6" spans="1:5">
      <c r="B6" s="18" t="s">
        <v>34</v>
      </c>
      <c r="C6" s="207">
        <v>1867.6880602512365</v>
      </c>
      <c r="D6" s="208">
        <v>1427.5557609521395</v>
      </c>
      <c r="E6" s="208">
        <v>1464.4</v>
      </c>
    </row>
    <row r="7" spans="1:5">
      <c r="B7" s="18" t="s">
        <v>35</v>
      </c>
      <c r="C7" s="207">
        <v>1864.3260717003852</v>
      </c>
      <c r="D7" s="208">
        <v>1801.1283109648004</v>
      </c>
      <c r="E7" s="208">
        <v>1890.3999999999999</v>
      </c>
    </row>
    <row r="8" spans="1:5">
      <c r="B8" s="18" t="s">
        <v>36</v>
      </c>
      <c r="C8" s="207">
        <v>1864.3260717003852</v>
      </c>
      <c r="D8" s="208">
        <v>1696.8831539630282</v>
      </c>
      <c r="E8" s="208">
        <v>1771.5249999999999</v>
      </c>
    </row>
    <row r="9" spans="1:5">
      <c r="B9" s="18" t="s">
        <v>37</v>
      </c>
      <c r="C9" s="207">
        <v>1727.334360666423</v>
      </c>
      <c r="D9" s="208">
        <v>1360.4149247675616</v>
      </c>
      <c r="E9" s="208">
        <v>1229.7840499881536</v>
      </c>
    </row>
    <row r="10" spans="1:5">
      <c r="B10" s="18" t="s">
        <v>97</v>
      </c>
      <c r="C10" s="207">
        <v>1727.334360666423</v>
      </c>
      <c r="D10" s="208">
        <v>1624.5323407860496</v>
      </c>
      <c r="E10" s="208">
        <v>1536.9090499881536</v>
      </c>
    </row>
    <row r="11" spans="1:5">
      <c r="B11" s="18" t="s">
        <v>39</v>
      </c>
      <c r="C11" s="207">
        <v>3771.7946753864007</v>
      </c>
      <c r="D11" s="208">
        <v>2253.2786335714422</v>
      </c>
      <c r="E11" s="208">
        <v>2286.9841372703927</v>
      </c>
    </row>
    <row r="12" spans="1:5">
      <c r="B12" s="18" t="s">
        <v>40</v>
      </c>
      <c r="C12" s="207">
        <v>7396.172711324868</v>
      </c>
      <c r="D12" s="208">
        <v>4948.7418244488335</v>
      </c>
      <c r="E12" s="208">
        <v>4905.5465615733265</v>
      </c>
    </row>
    <row r="13" spans="1:5">
      <c r="B13" s="18" t="s">
        <v>72</v>
      </c>
      <c r="C13" s="207">
        <v>2790.6197427058523</v>
      </c>
      <c r="D13" s="209" t="s">
        <v>71</v>
      </c>
      <c r="E13" s="208">
        <v>3910.0621861874979</v>
      </c>
    </row>
    <row r="14" spans="1:5">
      <c r="B14" s="18" t="s">
        <v>73</v>
      </c>
      <c r="C14" s="207">
        <v>2790.6197427058523</v>
      </c>
      <c r="D14" s="209" t="s">
        <v>71</v>
      </c>
      <c r="E14" s="208">
        <v>3602.0621861874979</v>
      </c>
    </row>
    <row r="15" spans="1:5">
      <c r="B15" s="18" t="s">
        <v>162</v>
      </c>
      <c r="C15" s="207">
        <v>1148.5186051531791</v>
      </c>
      <c r="D15" s="208">
        <v>787.26613199242126</v>
      </c>
      <c r="E15" s="208">
        <v>804.91024727931494</v>
      </c>
    </row>
    <row r="16" spans="1:5">
      <c r="B16" s="18" t="s">
        <v>163</v>
      </c>
      <c r="C16" s="207">
        <v>2032.2210771780972</v>
      </c>
      <c r="D16" s="208">
        <v>1287.3477849714945</v>
      </c>
      <c r="E16" s="208">
        <v>1310.4487704776809</v>
      </c>
    </row>
    <row r="17" spans="2:5">
      <c r="B17" s="18" t="s">
        <v>164</v>
      </c>
      <c r="C17" s="209" t="s">
        <v>71</v>
      </c>
      <c r="D17" s="208">
        <v>1790.7555229045499</v>
      </c>
      <c r="E17" s="208">
        <v>1819.4037188698669</v>
      </c>
    </row>
    <row r="18" spans="2:5">
      <c r="B18" s="18" t="s">
        <v>46</v>
      </c>
      <c r="C18" s="209" t="s">
        <v>71</v>
      </c>
      <c r="D18" s="208">
        <v>3631.6262819813978</v>
      </c>
      <c r="E18" s="208">
        <v>3922.5730125978253</v>
      </c>
    </row>
    <row r="19" spans="2:5">
      <c r="B19" s="18" t="s">
        <v>47</v>
      </c>
      <c r="C19" s="207">
        <v>2714.5859988639741</v>
      </c>
      <c r="D19" s="208">
        <v>1285.4150668738312</v>
      </c>
      <c r="E19" s="208">
        <v>1309.4353765834364</v>
      </c>
    </row>
    <row r="20" spans="2:5">
      <c r="B20" s="18" t="s">
        <v>48</v>
      </c>
      <c r="C20" s="207">
        <v>2588.2676692376426</v>
      </c>
      <c r="D20" s="208">
        <v>1225.7472163960679</v>
      </c>
      <c r="E20" s="208">
        <v>1145.4648175741224</v>
      </c>
    </row>
    <row r="21" spans="2:5">
      <c r="B21" s="18" t="s">
        <v>49</v>
      </c>
      <c r="C21" s="209" t="s">
        <v>71</v>
      </c>
      <c r="D21" s="208">
        <v>1572.5153891899349</v>
      </c>
      <c r="E21" s="208">
        <v>1189.0802182116215</v>
      </c>
    </row>
    <row r="22" spans="2:5">
      <c r="B22" s="18" t="s">
        <v>50</v>
      </c>
      <c r="C22" s="207">
        <v>1002.6813171724959</v>
      </c>
      <c r="D22" s="208">
        <v>1005.0058953948637</v>
      </c>
      <c r="E22" s="208">
        <v>943.71551884765506</v>
      </c>
    </row>
    <row r="23" spans="2:5">
      <c r="B23" s="18" t="s">
        <v>51</v>
      </c>
      <c r="C23" s="207">
        <v>1308.6115731861505</v>
      </c>
      <c r="D23" s="208">
        <v>1079.1536971466483</v>
      </c>
      <c r="E23" s="208">
        <v>987.08880069031079</v>
      </c>
    </row>
    <row r="24" spans="2:5">
      <c r="B24" s="18" t="s">
        <v>168</v>
      </c>
      <c r="C24" s="207">
        <v>1768.5435617338949</v>
      </c>
      <c r="D24" s="209" t="s">
        <v>71</v>
      </c>
      <c r="E24" s="208">
        <v>2045.2460424148403</v>
      </c>
    </row>
    <row r="25" spans="2:5">
      <c r="B25" s="18" t="s">
        <v>53</v>
      </c>
      <c r="C25" s="209" t="s">
        <v>71</v>
      </c>
      <c r="D25" s="209" t="s">
        <v>71</v>
      </c>
      <c r="E25" s="208">
        <v>10930.335336856853</v>
      </c>
    </row>
    <row r="26" spans="2:5">
      <c r="B26" s="205" t="s">
        <v>190</v>
      </c>
      <c r="C26" s="207">
        <v>2682.3087558668362</v>
      </c>
      <c r="D26" s="209" t="s">
        <v>71</v>
      </c>
      <c r="E26" s="209" t="s">
        <v>71</v>
      </c>
    </row>
    <row r="27" spans="2:5">
      <c r="B27" s="205" t="s">
        <v>191</v>
      </c>
      <c r="C27" s="207">
        <v>3713.8926487112894</v>
      </c>
      <c r="D27" s="209" t="s">
        <v>71</v>
      </c>
      <c r="E27" s="209" t="s">
        <v>71</v>
      </c>
    </row>
    <row r="29" spans="2:5">
      <c r="B29" s="204"/>
    </row>
    <row r="30" spans="2:5">
      <c r="B30" s="205"/>
    </row>
    <row r="31" spans="2:5">
      <c r="B31" s="205"/>
    </row>
    <row r="32" spans="2:5">
      <c r="B32" s="205"/>
    </row>
    <row r="33" spans="2:2">
      <c r="B33" s="205"/>
    </row>
    <row r="34" spans="2:2">
      <c r="B34" s="205"/>
    </row>
    <row r="35" spans="2:2">
      <c r="B35" s="205"/>
    </row>
    <row r="36" spans="2:2">
      <c r="B36" s="205"/>
    </row>
    <row r="37" spans="2:2">
      <c r="B37" s="205"/>
    </row>
    <row r="38" spans="2:2">
      <c r="B38" s="205"/>
    </row>
    <row r="39" spans="2:2">
      <c r="B39" s="205"/>
    </row>
    <row r="40" spans="2:2">
      <c r="B40" s="205"/>
    </row>
    <row r="41" spans="2:2">
      <c r="B41" s="205"/>
    </row>
    <row r="42" spans="2:2">
      <c r="B42" s="205"/>
    </row>
    <row r="43" spans="2:2" ht="14.25" customHeight="1">
      <c r="B43" s="205"/>
    </row>
    <row r="44" spans="2:2">
      <c r="B44" s="205"/>
    </row>
    <row r="45" spans="2:2">
      <c r="B45" s="205"/>
    </row>
    <row r="46" spans="2:2">
      <c r="B46" s="205"/>
    </row>
    <row r="47" spans="2:2">
      <c r="B47" s="205"/>
    </row>
    <row r="48" spans="2:2">
      <c r="B48" s="205"/>
    </row>
    <row r="49" spans="2:2">
      <c r="B49" s="205"/>
    </row>
    <row r="50" spans="2:2">
      <c r="B50" s="205"/>
    </row>
    <row r="51" spans="2:2">
      <c r="B51" s="205"/>
    </row>
    <row r="52" spans="2:2" ht="14.25" customHeight="1">
      <c r="B52" s="205"/>
    </row>
    <row r="53" spans="2:2">
      <c r="B53" s="205"/>
    </row>
  </sheetData>
  <sortState xmlns:xlrd2="http://schemas.microsoft.com/office/spreadsheetml/2017/richdata2" ref="A30:C53">
    <sortCondition ref="A29"/>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1"/>
  <sheetViews>
    <sheetView workbookViewId="0">
      <selection sqref="A1:C1"/>
    </sheetView>
  </sheetViews>
  <sheetFormatPr defaultRowHeight="15"/>
  <cols>
    <col min="1" max="1" width="30.42578125" bestFit="1" customWidth="1"/>
    <col min="2" max="2" width="14.42578125" bestFit="1" customWidth="1"/>
    <col min="3" max="3" width="12.28515625" customWidth="1"/>
    <col min="4" max="4" width="13.42578125" customWidth="1"/>
    <col min="5" max="5" width="13.7109375" bestFit="1" customWidth="1"/>
    <col min="6" max="6" width="12" customWidth="1"/>
    <col min="7" max="7" width="13.140625" customWidth="1"/>
    <col min="8" max="8" width="12.7109375" bestFit="1" customWidth="1"/>
    <col min="9" max="9" width="10.5703125" bestFit="1" customWidth="1"/>
    <col min="10" max="10" width="12.7109375" customWidth="1"/>
    <col min="11" max="11" width="14.42578125" customWidth="1"/>
    <col min="12" max="12" width="14.7109375" bestFit="1" customWidth="1"/>
    <col min="13" max="18" width="10.5703125" bestFit="1" customWidth="1"/>
    <col min="19" max="19" width="13.28515625" bestFit="1" customWidth="1"/>
    <col min="20" max="33" width="10.5703125" bestFit="1" customWidth="1"/>
  </cols>
  <sheetData>
    <row r="1" spans="1:15">
      <c r="A1" s="228" t="s">
        <v>192</v>
      </c>
      <c r="B1" s="229"/>
      <c r="C1" s="229"/>
      <c r="E1" s="229" t="s">
        <v>193</v>
      </c>
      <c r="F1" s="229"/>
    </row>
    <row r="2" spans="1:15" ht="57.6" customHeight="1">
      <c r="A2" s="1"/>
      <c r="B2" s="4" t="s">
        <v>194</v>
      </c>
      <c r="C2" s="6" t="s">
        <v>195</v>
      </c>
      <c r="D2" s="44" t="s">
        <v>196</v>
      </c>
      <c r="E2" s="46" t="s">
        <v>197</v>
      </c>
      <c r="F2" s="44" t="s">
        <v>198</v>
      </c>
      <c r="G2" s="17" t="s">
        <v>199</v>
      </c>
      <c r="H2" s="18"/>
      <c r="J2" s="6"/>
      <c r="K2" s="6"/>
      <c r="L2" s="6"/>
      <c r="M2" s="6"/>
      <c r="N2" s="6"/>
      <c r="O2" s="6"/>
    </row>
    <row r="3" spans="1:15">
      <c r="A3" t="s">
        <v>200</v>
      </c>
      <c r="B3">
        <v>1005</v>
      </c>
      <c r="D3" s="34"/>
      <c r="E3" s="47"/>
      <c r="F3" s="34"/>
      <c r="J3" s="171"/>
      <c r="K3" s="30"/>
      <c r="L3" s="30"/>
      <c r="M3" s="30"/>
      <c r="N3" s="30"/>
    </row>
    <row r="4" spans="1:15">
      <c r="A4" s="1" t="s">
        <v>201</v>
      </c>
      <c r="B4" s="4" t="s">
        <v>124</v>
      </c>
      <c r="C4" t="s">
        <v>202</v>
      </c>
      <c r="D4" s="45" t="s">
        <v>124</v>
      </c>
      <c r="E4" s="47" t="s">
        <v>203</v>
      </c>
      <c r="F4" s="45" t="s">
        <v>124</v>
      </c>
      <c r="G4" s="43" t="s">
        <v>124</v>
      </c>
      <c r="J4" s="30"/>
    </row>
    <row r="5" spans="1:15">
      <c r="A5" s="1" t="s">
        <v>204</v>
      </c>
      <c r="D5" s="34"/>
      <c r="E5" s="47"/>
      <c r="F5" s="34"/>
    </row>
    <row r="6" spans="1:15">
      <c r="A6" s="3" t="s">
        <v>205</v>
      </c>
      <c r="B6" s="28">
        <v>1301</v>
      </c>
      <c r="C6" s="48">
        <f>B6/$B$23</f>
        <v>0.24418168168168169</v>
      </c>
      <c r="D6" s="83">
        <f>$B$29*C6</f>
        <v>1010.2742714808982</v>
      </c>
      <c r="E6" s="51">
        <v>0</v>
      </c>
      <c r="F6" s="83">
        <f t="shared" ref="F6:F14" si="0">D6+E6</f>
        <v>1010.2742714808982</v>
      </c>
      <c r="G6" s="85">
        <f>F6</f>
        <v>1010.2742714808982</v>
      </c>
    </row>
    <row r="7" spans="1:15">
      <c r="A7" s="1" t="s">
        <v>206</v>
      </c>
      <c r="B7" s="87"/>
      <c r="C7" s="7"/>
      <c r="D7" s="84"/>
      <c r="E7" s="41"/>
      <c r="F7" s="88">
        <f t="shared" si="0"/>
        <v>0</v>
      </c>
      <c r="G7" s="86"/>
      <c r="J7" s="168"/>
    </row>
    <row r="8" spans="1:15">
      <c r="A8" s="2" t="s">
        <v>207</v>
      </c>
      <c r="B8" s="87">
        <v>165</v>
      </c>
      <c r="C8" s="7">
        <f t="shared" ref="C8:C14" si="1">B8/$B$23</f>
        <v>3.0968468468468468E-2</v>
      </c>
      <c r="D8" s="84">
        <f>$B$29*C8</f>
        <v>128.12855864285027</v>
      </c>
      <c r="E8" s="41">
        <v>0</v>
      </c>
      <c r="F8" s="88">
        <f t="shared" si="0"/>
        <v>128.12855864285027</v>
      </c>
      <c r="G8" s="86">
        <f t="shared" ref="G8:G14" si="2">F8</f>
        <v>128.12855864285027</v>
      </c>
    </row>
    <row r="9" spans="1:15">
      <c r="A9" s="2" t="s">
        <v>208</v>
      </c>
      <c r="B9" s="87">
        <v>85</v>
      </c>
      <c r="C9" s="7">
        <f t="shared" si="1"/>
        <v>1.5953453453453455E-2</v>
      </c>
      <c r="D9" s="84">
        <f t="shared" ref="D9:D22" si="3">$B$29*C9</f>
        <v>66.005621119044079</v>
      </c>
      <c r="E9" s="41">
        <v>0</v>
      </c>
      <c r="F9" s="88">
        <f t="shared" si="0"/>
        <v>66.005621119044079</v>
      </c>
      <c r="G9" s="86">
        <f t="shared" si="2"/>
        <v>66.005621119044079</v>
      </c>
    </row>
    <row r="10" spans="1:15">
      <c r="A10" s="2" t="s">
        <v>209</v>
      </c>
      <c r="B10" s="87">
        <v>1438</v>
      </c>
      <c r="C10" s="7">
        <f t="shared" si="1"/>
        <v>0.26989489489489488</v>
      </c>
      <c r="D10" s="84">
        <f>$B$29*C10</f>
        <v>1116.6598019904161</v>
      </c>
      <c r="E10" s="41">
        <v>0</v>
      </c>
      <c r="F10" s="88">
        <f t="shared" si="0"/>
        <v>1116.6598019904161</v>
      </c>
      <c r="G10" s="86">
        <f t="shared" si="2"/>
        <v>1116.6598019904161</v>
      </c>
    </row>
    <row r="11" spans="1:15">
      <c r="A11" s="2" t="s">
        <v>210</v>
      </c>
      <c r="B11" s="87">
        <v>44</v>
      </c>
      <c r="C11" s="7">
        <f t="shared" si="1"/>
        <v>8.2582582582582578E-3</v>
      </c>
      <c r="D11" s="84">
        <f t="shared" si="3"/>
        <v>34.167615638093402</v>
      </c>
      <c r="E11" s="41">
        <v>0</v>
      </c>
      <c r="F11" s="88">
        <f t="shared" si="0"/>
        <v>34.167615638093402</v>
      </c>
      <c r="G11" s="86">
        <f t="shared" si="2"/>
        <v>34.167615638093402</v>
      </c>
    </row>
    <row r="12" spans="1:15">
      <c r="A12" s="2" t="s">
        <v>211</v>
      </c>
      <c r="B12" s="87">
        <v>979</v>
      </c>
      <c r="C12" s="7">
        <f t="shared" si="1"/>
        <v>0.18374624624624625</v>
      </c>
      <c r="D12" s="84">
        <f t="shared" si="3"/>
        <v>760.22944794757825</v>
      </c>
      <c r="E12" s="41">
        <f>'Spur Line Assumptions'!H6</f>
        <v>590</v>
      </c>
      <c r="F12" s="88">
        <f t="shared" si="0"/>
        <v>1350.2294479475781</v>
      </c>
      <c r="G12" s="86">
        <f t="shared" si="2"/>
        <v>1350.2294479475781</v>
      </c>
    </row>
    <row r="13" spans="1:15">
      <c r="A13" s="2" t="s">
        <v>212</v>
      </c>
      <c r="B13" s="87">
        <v>439</v>
      </c>
      <c r="C13" s="7">
        <f t="shared" si="1"/>
        <v>8.2394894894894891E-2</v>
      </c>
      <c r="D13" s="84">
        <f t="shared" si="3"/>
        <v>340.89961966188645</v>
      </c>
      <c r="E13" s="41">
        <v>0</v>
      </c>
      <c r="F13" s="88">
        <f t="shared" si="0"/>
        <v>340.89961966188645</v>
      </c>
      <c r="G13" s="86">
        <f t="shared" si="2"/>
        <v>340.89961966188645</v>
      </c>
    </row>
    <row r="14" spans="1:15">
      <c r="A14" s="12" t="s">
        <v>213</v>
      </c>
      <c r="B14" s="28">
        <v>88</v>
      </c>
      <c r="C14" s="48">
        <f t="shared" si="1"/>
        <v>1.6516516516516516E-2</v>
      </c>
      <c r="D14" s="83">
        <f>$B$29*C14</f>
        <v>68.335231276186803</v>
      </c>
      <c r="E14" s="51">
        <v>0</v>
      </c>
      <c r="F14" s="83">
        <f t="shared" si="0"/>
        <v>68.335231276186803</v>
      </c>
      <c r="G14" s="85">
        <f t="shared" si="2"/>
        <v>68.335231276186803</v>
      </c>
    </row>
    <row r="15" spans="1:15">
      <c r="A15" s="3" t="s">
        <v>205</v>
      </c>
      <c r="B15" s="87">
        <v>3237</v>
      </c>
      <c r="C15" s="7">
        <f>B15/$B$23</f>
        <v>0.60754504504504503</v>
      </c>
      <c r="D15" s="84">
        <f>$B$29*C15</f>
        <v>2513.6493595570078</v>
      </c>
      <c r="E15" s="41">
        <v>0</v>
      </c>
      <c r="F15" s="88">
        <f>SUM(F8:F14)</f>
        <v>3104.425896276055</v>
      </c>
      <c r="G15" s="86">
        <f>F15</f>
        <v>3104.425896276055</v>
      </c>
      <c r="I15" s="95"/>
    </row>
    <row r="16" spans="1:15">
      <c r="A16" s="1" t="s">
        <v>214</v>
      </c>
      <c r="B16" s="87"/>
      <c r="C16" s="7"/>
      <c r="D16" s="84"/>
      <c r="E16" s="41"/>
      <c r="F16" s="88">
        <f t="shared" ref="F16:F22" si="4">D16+E16</f>
        <v>0</v>
      </c>
      <c r="G16" s="86"/>
    </row>
    <row r="17" spans="1:29">
      <c r="A17" s="2" t="s">
        <v>215</v>
      </c>
      <c r="B17" s="87">
        <v>52</v>
      </c>
      <c r="C17" s="7">
        <f t="shared" ref="C17:C23" si="5">B17/$B$23</f>
        <v>9.7597597597597601E-3</v>
      </c>
      <c r="D17" s="84">
        <f t="shared" si="3"/>
        <v>40.379909390474026</v>
      </c>
      <c r="E17" s="41">
        <v>0</v>
      </c>
      <c r="F17" s="88">
        <f t="shared" si="4"/>
        <v>40.379909390474026</v>
      </c>
      <c r="G17" s="86">
        <f t="shared" ref="G17:G22" si="6">F17</f>
        <v>40.379909390474026</v>
      </c>
    </row>
    <row r="18" spans="1:29">
      <c r="A18" s="2" t="s">
        <v>216</v>
      </c>
      <c r="B18" s="87">
        <v>76</v>
      </c>
      <c r="C18" s="7">
        <f t="shared" si="5"/>
        <v>1.4264264264264264E-2</v>
      </c>
      <c r="D18" s="84">
        <f t="shared" si="3"/>
        <v>59.016790647615878</v>
      </c>
      <c r="E18" s="41">
        <v>0</v>
      </c>
      <c r="F18" s="88">
        <f t="shared" si="4"/>
        <v>59.016790647615878</v>
      </c>
      <c r="G18" s="86">
        <f t="shared" si="6"/>
        <v>59.016790647615878</v>
      </c>
    </row>
    <row r="19" spans="1:29">
      <c r="A19" s="2" t="s">
        <v>217</v>
      </c>
      <c r="B19" s="87">
        <v>221</v>
      </c>
      <c r="C19" s="7">
        <f t="shared" si="5"/>
        <v>4.1478978978978981E-2</v>
      </c>
      <c r="D19" s="84">
        <f t="shared" si="3"/>
        <v>171.61461490951461</v>
      </c>
      <c r="E19" s="41">
        <v>0</v>
      </c>
      <c r="F19" s="88">
        <f t="shared" si="4"/>
        <v>171.61461490951461</v>
      </c>
      <c r="G19" s="86">
        <f t="shared" si="6"/>
        <v>171.61461490951461</v>
      </c>
    </row>
    <row r="20" spans="1:29">
      <c r="A20" s="2" t="s">
        <v>218</v>
      </c>
      <c r="B20" s="87">
        <v>389</v>
      </c>
      <c r="C20" s="7">
        <f t="shared" si="5"/>
        <v>7.301051051051051E-2</v>
      </c>
      <c r="D20" s="84">
        <f t="shared" si="3"/>
        <v>302.07278370950758</v>
      </c>
      <c r="E20" s="41">
        <v>0</v>
      </c>
      <c r="F20" s="88">
        <f t="shared" si="4"/>
        <v>302.07278370950758</v>
      </c>
      <c r="G20" s="86">
        <f t="shared" si="6"/>
        <v>302.07278370950758</v>
      </c>
    </row>
    <row r="21" spans="1:29">
      <c r="A21" s="12" t="s">
        <v>219</v>
      </c>
      <c r="B21" s="28">
        <v>52</v>
      </c>
      <c r="C21" s="48">
        <f t="shared" si="5"/>
        <v>9.7597597597597601E-3</v>
      </c>
      <c r="D21" s="83">
        <f t="shared" si="3"/>
        <v>40.379909390474026</v>
      </c>
      <c r="E21" s="51">
        <v>0</v>
      </c>
      <c r="F21" s="83">
        <f t="shared" si="4"/>
        <v>40.379909390474026</v>
      </c>
      <c r="G21" s="85">
        <f t="shared" si="6"/>
        <v>40.379909390474026</v>
      </c>
    </row>
    <row r="22" spans="1:29">
      <c r="A22" s="3" t="s">
        <v>205</v>
      </c>
      <c r="B22" s="87">
        <v>790</v>
      </c>
      <c r="C22" s="7">
        <f t="shared" si="5"/>
        <v>0.14827327327327328</v>
      </c>
      <c r="D22" s="84">
        <f t="shared" si="3"/>
        <v>613.46400804758616</v>
      </c>
      <c r="E22" s="41">
        <v>0</v>
      </c>
      <c r="F22" s="88">
        <f t="shared" si="4"/>
        <v>613.46400804758616</v>
      </c>
      <c r="G22" s="86">
        <f t="shared" si="6"/>
        <v>613.46400804758616</v>
      </c>
    </row>
    <row r="23" spans="1:29">
      <c r="A23" s="1" t="s">
        <v>220</v>
      </c>
      <c r="B23" s="87">
        <v>5328</v>
      </c>
      <c r="C23" s="7">
        <f t="shared" si="5"/>
        <v>1</v>
      </c>
      <c r="D23" s="84">
        <f>$B$29*C23</f>
        <v>4137.3876390854921</v>
      </c>
      <c r="E23" s="41">
        <v>0</v>
      </c>
      <c r="F23" s="182">
        <f>SUM(F22,F15,F6)</f>
        <v>4728.1641758045389</v>
      </c>
      <c r="G23" s="86">
        <f>SUM(G22,G15,G6)</f>
        <v>4728.1641758045389</v>
      </c>
    </row>
    <row r="25" spans="1:29" ht="14.45" customHeight="1">
      <c r="A25" s="227" t="s">
        <v>221</v>
      </c>
      <c r="B25" s="22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row>
    <row r="26" spans="1:29" ht="14.45" customHeight="1">
      <c r="A26" s="227"/>
      <c r="B26" s="22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row>
    <row r="28" spans="1:29">
      <c r="A28" t="s">
        <v>95</v>
      </c>
      <c r="B28">
        <v>2023</v>
      </c>
      <c r="C28">
        <v>2024</v>
      </c>
      <c r="D28">
        <v>2025</v>
      </c>
      <c r="E28">
        <v>2026</v>
      </c>
      <c r="F28">
        <v>2027</v>
      </c>
      <c r="G28">
        <v>2028</v>
      </c>
      <c r="H28">
        <v>2029</v>
      </c>
      <c r="I28">
        <v>2030</v>
      </c>
      <c r="J28">
        <v>2031</v>
      </c>
      <c r="K28">
        <v>2032</v>
      </c>
      <c r="L28">
        <v>2033</v>
      </c>
      <c r="M28">
        <v>2034</v>
      </c>
      <c r="N28">
        <v>2035</v>
      </c>
      <c r="O28">
        <v>2036</v>
      </c>
      <c r="P28">
        <v>2037</v>
      </c>
      <c r="Q28">
        <v>2038</v>
      </c>
      <c r="R28">
        <v>2039</v>
      </c>
      <c r="S28">
        <v>2040</v>
      </c>
      <c r="T28">
        <v>2041</v>
      </c>
      <c r="U28">
        <v>2042</v>
      </c>
      <c r="V28">
        <v>2043</v>
      </c>
      <c r="W28">
        <v>2044</v>
      </c>
      <c r="X28">
        <v>2045</v>
      </c>
      <c r="Y28">
        <v>2046</v>
      </c>
      <c r="Z28">
        <v>2047</v>
      </c>
      <c r="AA28">
        <v>2048</v>
      </c>
      <c r="AB28">
        <v>2049</v>
      </c>
      <c r="AC28">
        <v>2050</v>
      </c>
    </row>
    <row r="29" spans="1:29">
      <c r="A29" t="s">
        <v>222</v>
      </c>
      <c r="B29" s="8">
        <v>4137.3876390854921</v>
      </c>
      <c r="C29" s="8">
        <v>4025.1144760727284</v>
      </c>
      <c r="D29" s="8">
        <v>3933.3806224788823</v>
      </c>
      <c r="E29" s="8">
        <v>3863.5080653635014</v>
      </c>
      <c r="F29" s="8">
        <v>3803.7529592003034</v>
      </c>
      <c r="G29" s="8">
        <v>3751.7114175709189</v>
      </c>
      <c r="H29" s="8">
        <v>3705.7437198311859</v>
      </c>
      <c r="I29" s="8">
        <v>3664.6814807708538</v>
      </c>
      <c r="J29" s="8">
        <v>3620.464627174752</v>
      </c>
      <c r="K29" s="8">
        <v>3579.7890648622724</v>
      </c>
      <c r="L29" s="8">
        <v>3542.1293763434282</v>
      </c>
      <c r="M29" s="8">
        <v>3507.0690451171249</v>
      </c>
      <c r="N29" s="8">
        <v>3474.2722955519612</v>
      </c>
      <c r="O29" s="8">
        <v>3443.4644848963981</v>
      </c>
      <c r="P29" s="8">
        <v>3414.4181083880976</v>
      </c>
      <c r="Q29" s="8">
        <v>3386.9425932317204</v>
      </c>
      <c r="R29" s="8">
        <v>3360.8767134943337</v>
      </c>
      <c r="S29" s="8">
        <v>3336.0828575567743</v>
      </c>
      <c r="T29" s="8">
        <v>3312.4426303614082</v>
      </c>
      <c r="U29" s="8">
        <v>3289.8534340323181</v>
      </c>
      <c r="V29" s="8">
        <v>3268.2257767653064</v>
      </c>
      <c r="W29" s="8">
        <v>3247.4811314367062</v>
      </c>
      <c r="X29" s="8">
        <v>3227.5502144528273</v>
      </c>
      <c r="Y29" s="8">
        <v>3208.3715896014437</v>
      </c>
      <c r="Z29" s="8">
        <v>3189.8905259339836</v>
      </c>
      <c r="AA29" s="8">
        <v>3172.0580561550728</v>
      </c>
      <c r="AB29" s="8">
        <v>3154.8301947076793</v>
      </c>
      <c r="AC29" s="8">
        <v>3138.1672841163536</v>
      </c>
    </row>
    <row r="30" spans="1:29">
      <c r="A30" t="s">
        <v>223</v>
      </c>
      <c r="B30" s="15" t="s">
        <v>71</v>
      </c>
      <c r="C30" s="14">
        <f>1-(C29/B29)</f>
        <v>2.7136244608102489E-2</v>
      </c>
      <c r="D30" s="14">
        <f t="shared" ref="D30:AC30" si="7">1-(D29/C29)</f>
        <v>2.2790371339537652E-2</v>
      </c>
      <c r="E30" s="14">
        <f t="shared" si="7"/>
        <v>1.7763995865557991E-2</v>
      </c>
      <c r="F30" s="14">
        <f t="shared" si="7"/>
        <v>1.5466541068958728E-2</v>
      </c>
      <c r="G30" s="14">
        <f t="shared" si="7"/>
        <v>1.3681630270838019E-2</v>
      </c>
      <c r="H30" s="14">
        <f t="shared" si="7"/>
        <v>1.2252460976728163E-2</v>
      </c>
      <c r="I30" s="14">
        <f t="shared" si="7"/>
        <v>1.1080701247792368E-2</v>
      </c>
      <c r="J30" s="14">
        <f t="shared" si="7"/>
        <v>1.2065674418940464E-2</v>
      </c>
      <c r="K30" s="14">
        <f t="shared" si="7"/>
        <v>1.1234901180134149E-2</v>
      </c>
      <c r="L30" s="14">
        <f t="shared" si="7"/>
        <v>1.0520085914697108E-2</v>
      </c>
      <c r="M30" s="14">
        <f t="shared" si="7"/>
        <v>9.8980944796817072E-3</v>
      </c>
      <c r="N30" s="14">
        <f t="shared" si="7"/>
        <v>9.3516121705178312E-3</v>
      </c>
      <c r="O30" s="14">
        <f t="shared" si="7"/>
        <v>8.8674139603294178E-3</v>
      </c>
      <c r="P30" s="14">
        <f t="shared" si="7"/>
        <v>8.4352188430293351E-3</v>
      </c>
      <c r="Q30" s="14">
        <f t="shared" si="7"/>
        <v>8.0469099811997236E-3</v>
      </c>
      <c r="R30" s="14">
        <f t="shared" si="7"/>
        <v>7.6959910066014547E-3</v>
      </c>
      <c r="S30" s="14">
        <f t="shared" si="7"/>
        <v>7.3771988832583846E-3</v>
      </c>
      <c r="T30" s="14">
        <f t="shared" si="7"/>
        <v>7.0862230360427825E-3</v>
      </c>
      <c r="U30" s="14">
        <f t="shared" si="7"/>
        <v>6.8194981316930248E-3</v>
      </c>
      <c r="V30" s="14">
        <f t="shared" si="7"/>
        <v>6.5740488750294368E-3</v>
      </c>
      <c r="W30" s="14">
        <f t="shared" si="7"/>
        <v>6.3473721662926641E-3</v>
      </c>
      <c r="X30" s="14">
        <f t="shared" si="7"/>
        <v>6.1373465086342893E-3</v>
      </c>
      <c r="Y30" s="14">
        <f t="shared" si="7"/>
        <v>5.9421615705629316E-3</v>
      </c>
      <c r="Z30" s="14">
        <f t="shared" si="7"/>
        <v>5.7602628471585815E-3</v>
      </c>
      <c r="AA30" s="14">
        <f t="shared" si="7"/>
        <v>5.5903077657154521E-3</v>
      </c>
      <c r="AB30" s="14">
        <f t="shared" si="7"/>
        <v>5.4311305601625337E-3</v>
      </c>
      <c r="AC30" s="14">
        <f t="shared" si="7"/>
        <v>5.2817139316335693E-3</v>
      </c>
    </row>
    <row r="31" spans="1:29">
      <c r="A31" t="s">
        <v>224</v>
      </c>
      <c r="B31" s="95">
        <f>G23</f>
        <v>4728.1641758045389</v>
      </c>
      <c r="C31" s="8">
        <f>B31*(1-C30)</f>
        <v>4599.8595561826396</v>
      </c>
      <c r="D31" s="8">
        <f t="shared" ref="D31:AC31" si="8">C31*(1-D30)</f>
        <v>4495.0270487875168</v>
      </c>
      <c r="E31" s="8">
        <f t="shared" si="8"/>
        <v>4415.1774068772838</v>
      </c>
      <c r="F31" s="8">
        <f t="shared" si="8"/>
        <v>4346.8898841870778</v>
      </c>
      <c r="G31" s="8">
        <f t="shared" si="8"/>
        <v>4287.4173439635842</v>
      </c>
      <c r="H31" s="8">
        <f t="shared" si="8"/>
        <v>4234.8859302657229</v>
      </c>
      <c r="I31" s="8">
        <f t="shared" si="8"/>
        <v>4187.9604244539687</v>
      </c>
      <c r="J31" s="8">
        <f t="shared" si="8"/>
        <v>4137.429857493099</v>
      </c>
      <c r="K31" s="8">
        <f t="shared" si="8"/>
        <v>4090.9462419044276</v>
      </c>
      <c r="L31" s="8">
        <f t="shared" si="8"/>
        <v>4047.9091359671856</v>
      </c>
      <c r="M31" s="8">
        <f t="shared" si="8"/>
        <v>4007.8425488942157</v>
      </c>
      <c r="N31" s="8">
        <f t="shared" si="8"/>
        <v>3970.3627597364575</v>
      </c>
      <c r="O31" s="8">
        <f t="shared" si="8"/>
        <v>3935.1559095731986</v>
      </c>
      <c r="P31" s="8">
        <f t="shared" si="8"/>
        <v>3901.9620082945085</v>
      </c>
      <c r="Q31" s="8">
        <f t="shared" si="8"/>
        <v>3870.5632712637012</v>
      </c>
      <c r="R31" s="8">
        <f t="shared" si="8"/>
        <v>3840.7754511375738</v>
      </c>
      <c r="S31" s="8">
        <f t="shared" si="8"/>
        <v>3812.4412867685955</v>
      </c>
      <c r="T31" s="8">
        <f t="shared" si="8"/>
        <v>3785.4254774987353</v>
      </c>
      <c r="U31" s="8">
        <f t="shared" si="8"/>
        <v>3759.6107755272697</v>
      </c>
      <c r="V31" s="8">
        <f t="shared" si="8"/>
        <v>3734.8949105378661</v>
      </c>
      <c r="W31" s="8">
        <f t="shared" si="8"/>
        <v>3711.18814253869</v>
      </c>
      <c r="X31" s="8">
        <f t="shared" si="8"/>
        <v>3688.4112949491951</v>
      </c>
      <c r="Y31" s="8">
        <f t="shared" si="8"/>
        <v>3666.4941590959179</v>
      </c>
      <c r="Z31" s="8">
        <f t="shared" si="8"/>
        <v>3645.3741890119536</v>
      </c>
      <c r="AA31" s="8">
        <f t="shared" si="8"/>
        <v>3624.9954253741812</v>
      </c>
      <c r="AB31" s="8">
        <f t="shared" si="8"/>
        <v>3605.3076019389823</v>
      </c>
      <c r="AC31" s="8">
        <f t="shared" si="8"/>
        <v>3586.2653985499969</v>
      </c>
    </row>
  </sheetData>
  <mergeCells count="3">
    <mergeCell ref="A25:B26"/>
    <mergeCell ref="A1:C1"/>
    <mergeCell ref="E1:F1"/>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A6D3C804874C43A3B32C9C349294C6" ma:contentTypeVersion="11" ma:contentTypeDescription="Create a new document." ma:contentTypeScope="" ma:versionID="d48ca9e62d4bf56aa7e8772ce2821b60">
  <xsd:schema xmlns:xsd="http://www.w3.org/2001/XMLSchema" xmlns:xs="http://www.w3.org/2001/XMLSchema" xmlns:p="http://schemas.microsoft.com/office/2006/metadata/properties" xmlns:ns2="cc873dea-6f09-4fe9-933a-b90171513557" xmlns:ns3="05c48ce0-4d89-4963-aafd-11232efce197" targetNamespace="http://schemas.microsoft.com/office/2006/metadata/properties" ma:root="true" ma:fieldsID="31e4756a3d966b4ef0e5915fca430901" ns2:_="" ns3:_="">
    <xsd:import namespace="cc873dea-6f09-4fe9-933a-b90171513557"/>
    <xsd:import namespace="05c48ce0-4d89-4963-aafd-11232efce19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73dea-6f09-4fe9-933a-b90171513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7dc18a2-e767-4186-bf39-58076ea21ab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c48ce0-4d89-4963-aafd-11232efce19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60020e5-ac92-4fe6-be47-48b84c4d8c1b}" ma:internalName="TaxCatchAll" ma:showField="CatchAllData" ma:web="05c48ce0-4d89-4963-aafd-11232efce1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5c48ce0-4d89-4963-aafd-11232efce197" xsi:nil="true"/>
    <lcf76f155ced4ddcb4097134ff3c332f xmlns="cc873dea-6f09-4fe9-933a-b901715135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8A5E58-66B3-4BD3-A661-6EFC66430350}"/>
</file>

<file path=customXml/itemProps2.xml><?xml version="1.0" encoding="utf-8"?>
<ds:datastoreItem xmlns:ds="http://schemas.openxmlformats.org/officeDocument/2006/customXml" ds:itemID="{EE51EDBF-5E9F-4F8C-B76B-CF8E4A0726AB}"/>
</file>

<file path=customXml/itemProps3.xml><?xml version="1.0" encoding="utf-8"?>
<ds:datastoreItem xmlns:ds="http://schemas.openxmlformats.org/officeDocument/2006/customXml" ds:itemID="{48A886EB-6F3E-450E-A1F8-8612C1BDD262}"/>
</file>

<file path=docProps/app.xml><?xml version="1.0" encoding="utf-8"?>
<Properties xmlns="http://schemas.openxmlformats.org/officeDocument/2006/extended-properties" xmlns:vt="http://schemas.openxmlformats.org/officeDocument/2006/docPropsVTypes">
  <Application>Microsoft Excel Online</Application>
  <Manager/>
  <Company>PUGET SOUND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Hart, Douglass</dc:creator>
  <cp:keywords/>
  <dc:description/>
  <cp:lastModifiedBy>Critchfield, Nathan</cp:lastModifiedBy>
  <cp:revision/>
  <dcterms:created xsi:type="dcterms:W3CDTF">2022-03-11T00:46:13Z</dcterms:created>
  <dcterms:modified xsi:type="dcterms:W3CDTF">2023-03-20T22:09:03Z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0x010100D2A6D3C804874C43A3B32C9C349294C6</vt:lpwstr>
  </property>
  <property fmtid="{D5CDD505-2E9C-101B-9397-08002B2CF9AE}" pid="3" name="MediaServiceImageTags">
    <vt:lpwstr/>
  </property>
</Properties>
</file>