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sestdpt1\SOPSCCI\4-Energy Efficiency\BEM\_Grants\250- CI Retro\_HVAC Controls\"/>
    </mc:Choice>
  </mc:AlternateContent>
  <xr:revisionPtr revIDLastSave="0" documentId="13_ncr:1_{99C75D39-7AE3-43C0-B0CA-F1465DB74B27}" xr6:coauthVersionLast="47" xr6:coauthVersionMax="47" xr10:uidLastSave="{00000000-0000-0000-0000-000000000000}"/>
  <bookViews>
    <workbookView xWindow="-28920" yWindow="-120" windowWidth="29040" windowHeight="15720" tabRatio="780" activeTab="2" xr2:uid="{00000000-000D-0000-FFFF-FFFF00000000}"/>
  </bookViews>
  <sheets>
    <sheet name="Project Path" sheetId="14" r:id="rId1"/>
    <sheet name="Instructions" sheetId="17" r:id="rId2"/>
    <sheet name="Worksheet" sheetId="1" r:id="rId3"/>
    <sheet name="OA Calibration" sheetId="8" r:id="rId4"/>
    <sheet name="Facility Guide" sheetId="6" r:id="rId5"/>
    <sheet name="Energy Code" sheetId="18" r:id="rId6"/>
    <sheet name="Trends" sheetId="10" r:id="rId7"/>
    <sheet name="PSE Only - Scope Review" sheetId="15" r:id="rId8"/>
    <sheet name="PSE Only - DSMc Inputs" sheetId="11" r:id="rId9"/>
    <sheet name="PSE Only - Bldg Changes" sheetId="12" r:id="rId10"/>
    <sheet name="Lookup 1" sheetId="3" state="hidden" r:id="rId11"/>
    <sheet name="Lookup 2" sheetId="2" state="hidden" r:id="rId12"/>
    <sheet name="Notes" sheetId="16" state="hidden" r:id="rId13"/>
    <sheet name="DoC EUI Existing Bldg" sheetId="7" state="hidden" r:id="rId14"/>
  </sheets>
  <externalReferences>
    <externalReference r:id="rId15"/>
  </externalReferences>
  <definedNames>
    <definedName name="Actual_Est">Worksheet!#REF!</definedName>
    <definedName name="AdjCost">Worksheet!$B$9</definedName>
    <definedName name="AnnualkWhs">Worksheet!$B$14</definedName>
    <definedName name="AnnualTherms">Worksheet!$B$12</definedName>
    <definedName name="BaseIncentive">Worksheet!#REF!</definedName>
    <definedName name="ElecBase">Worksheet!#REF!</definedName>
    <definedName name="ElecFAC">Worksheet!#REF!</definedName>
    <definedName name="File_Type">'[1]Bill History'!$AB$12</definedName>
    <definedName name="GasBase">Worksheet!#REF!</definedName>
    <definedName name="GasFAC">Worksheet!$R$46</definedName>
    <definedName name="IncentiveTable">Worksheet!$E$11:$J$24</definedName>
    <definedName name="Min_XDomain">Worksheet!$E$12:$E$14</definedName>
    <definedName name="Min_YRange">Worksheet!$G$12:$G$14</definedName>
    <definedName name="Percent_Est">Worksheet!#REF!</definedName>
    <definedName name="PercentEst">Worksheet!#REF!</definedName>
    <definedName name="_xlnm.Print_Area" localSheetId="4">'Facility Guide'!$A$2:$O$14</definedName>
    <definedName name="_xlnm.Print_Area" localSheetId="1">Instructions!$A$1:$M$22</definedName>
    <definedName name="_xlnm.Print_Area" localSheetId="3">'OA Calibration'!$A$1:$X$66</definedName>
    <definedName name="_xlnm.Print_Area" localSheetId="0">'Project Path'!$A$2:$N$32</definedName>
    <definedName name="_xlnm.Print_Area" localSheetId="9">'PSE Only - Bldg Changes'!$A$1:$I$43</definedName>
    <definedName name="_xlnm.Print_Area" localSheetId="8">'PSE Only - DSMc Inputs'!$A$1:$D$33</definedName>
    <definedName name="_xlnm.Print_Area" localSheetId="7">'PSE Only - Scope Review'!$A$1:$I$46</definedName>
    <definedName name="_xlnm.Print_Area" localSheetId="2">Worksheet!$A$1:$N$45</definedName>
    <definedName name="Project_Type">Worksheet!$B$6</definedName>
    <definedName name="sqft">Worksheet!$B$7</definedName>
    <definedName name="Table_Base">OFFSET(Worksheet!$G$12:$G$24,,,COUNT(Worksheet!$G:$G),1)</definedName>
    <definedName name="Table_EstA">OFFSET(Worksheet!$H$12:$H$24,,,COUNT(Worksheet!$H:$H),1)</definedName>
    <definedName name="Table_EstB">OFFSET(Worksheet!$I$12:$I$24,,,COUNT(Worksheet!$I:$I),1)</definedName>
    <definedName name="Table_MinPerf">OFFSET(Worksheet!$K$12:$K$34,,,COUNT(Worksheet!$K:$K),1)</definedName>
    <definedName name="Table_perf">OFFSET(Worksheet!$J$12:$J$24,,,COUNT(Worksheet!$J:$J),1)</definedName>
    <definedName name="Table_xAxis">OFFSET(Worksheet!$E$12:$E$24,,,COUNT(Worksheet!$E:$E),1)</definedName>
    <definedName name="TotCost">Worksheet!$B$8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34" i="1"/>
  <c r="C8" i="1"/>
  <c r="C17" i="1"/>
  <c r="G42" i="1"/>
  <c r="K38" i="1"/>
  <c r="B9" i="1"/>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M12" i="8"/>
  <c r="K12" i="8"/>
  <c r="I12" i="8"/>
  <c r="N12" i="8" s="1"/>
  <c r="D12" i="1" l="1"/>
  <c r="D14" i="1"/>
  <c r="W25" i="8"/>
  <c r="V25" i="8"/>
  <c r="L25" i="8"/>
  <c r="G25" i="8"/>
  <c r="W24" i="8"/>
  <c r="V24" i="8"/>
  <c r="L24" i="8"/>
  <c r="G24" i="8"/>
  <c r="W23" i="8"/>
  <c r="V23" i="8"/>
  <c r="L23" i="8"/>
  <c r="G23" i="8"/>
  <c r="W22" i="8"/>
  <c r="V22" i="8"/>
  <c r="L22" i="8"/>
  <c r="G22" i="8"/>
  <c r="W21" i="8"/>
  <c r="V21" i="8"/>
  <c r="L21" i="8"/>
  <c r="G21" i="8"/>
  <c r="W20" i="8"/>
  <c r="V20" i="8"/>
  <c r="L20" i="8"/>
  <c r="O20" i="8" s="1"/>
  <c r="Q20" i="8" s="1"/>
  <c r="G20" i="8"/>
  <c r="W50" i="8"/>
  <c r="V50" i="8"/>
  <c r="L50" i="8"/>
  <c r="O50" i="8" s="1"/>
  <c r="Q50" i="8" s="1"/>
  <c r="G50" i="8"/>
  <c r="W49" i="8"/>
  <c r="V49" i="8"/>
  <c r="L49" i="8"/>
  <c r="G49" i="8"/>
  <c r="W48" i="8"/>
  <c r="V48" i="8"/>
  <c r="L48" i="8"/>
  <c r="G48" i="8"/>
  <c r="W47" i="8"/>
  <c r="V47" i="8"/>
  <c r="L47" i="8"/>
  <c r="G47" i="8"/>
  <c r="W46" i="8"/>
  <c r="V46" i="8"/>
  <c r="L46" i="8"/>
  <c r="G46" i="8"/>
  <c r="W45" i="8"/>
  <c r="V45" i="8"/>
  <c r="L45" i="8"/>
  <c r="G45" i="8"/>
  <c r="W44" i="8"/>
  <c r="V44" i="8"/>
  <c r="L44" i="8"/>
  <c r="O44" i="8" s="1"/>
  <c r="Q44" i="8" s="1"/>
  <c r="G44" i="8"/>
  <c r="W43" i="8"/>
  <c r="V43" i="8"/>
  <c r="L43" i="8"/>
  <c r="O43" i="8" s="1"/>
  <c r="Q43" i="8" s="1"/>
  <c r="G43" i="8"/>
  <c r="W42" i="8"/>
  <c r="V42" i="8"/>
  <c r="L42" i="8"/>
  <c r="G42" i="8"/>
  <c r="W41" i="8"/>
  <c r="V41" i="8"/>
  <c r="L41" i="8"/>
  <c r="G41" i="8"/>
  <c r="W40" i="8"/>
  <c r="V40" i="8"/>
  <c r="L40" i="8"/>
  <c r="G40" i="8"/>
  <c r="W39" i="8"/>
  <c r="V39" i="8"/>
  <c r="L39" i="8"/>
  <c r="O39" i="8" s="1"/>
  <c r="Q39" i="8" s="1"/>
  <c r="G39" i="8"/>
  <c r="W38" i="8"/>
  <c r="V38" i="8"/>
  <c r="L38" i="8"/>
  <c r="O38" i="8" s="1"/>
  <c r="Q38" i="8" s="1"/>
  <c r="G38" i="8"/>
  <c r="W37" i="8"/>
  <c r="V37" i="8"/>
  <c r="L37" i="8"/>
  <c r="G37" i="8"/>
  <c r="W36" i="8"/>
  <c r="V36" i="8"/>
  <c r="L36" i="8"/>
  <c r="O36" i="8" s="1"/>
  <c r="Q36" i="8" s="1"/>
  <c r="G36" i="8"/>
  <c r="W35" i="8"/>
  <c r="V35" i="8"/>
  <c r="L35" i="8"/>
  <c r="G35" i="8"/>
  <c r="W34" i="8"/>
  <c r="V34" i="8"/>
  <c r="L34" i="8"/>
  <c r="G34" i="8"/>
  <c r="W33" i="8"/>
  <c r="V33" i="8"/>
  <c r="L33" i="8"/>
  <c r="G33" i="8"/>
  <c r="W32" i="8"/>
  <c r="V32" i="8"/>
  <c r="L32" i="8"/>
  <c r="O32" i="8" s="1"/>
  <c r="Q32" i="8" s="1"/>
  <c r="G32" i="8"/>
  <c r="W31" i="8"/>
  <c r="V31" i="8"/>
  <c r="L31" i="8"/>
  <c r="O31" i="8" s="1"/>
  <c r="Q31" i="8" s="1"/>
  <c r="G31" i="8"/>
  <c r="W30" i="8"/>
  <c r="V30" i="8"/>
  <c r="L30" i="8"/>
  <c r="G30" i="8"/>
  <c r="W29" i="8"/>
  <c r="V29" i="8"/>
  <c r="L29" i="8"/>
  <c r="G29" i="8"/>
  <c r="W28" i="8"/>
  <c r="V28" i="8"/>
  <c r="O28" i="8"/>
  <c r="Q28" i="8" s="1"/>
  <c r="L28" i="8"/>
  <c r="G28" i="8"/>
  <c r="W27" i="8"/>
  <c r="V27" i="8"/>
  <c r="L27" i="8"/>
  <c r="G27" i="8"/>
  <c r="W26" i="8"/>
  <c r="V26" i="8"/>
  <c r="L26" i="8"/>
  <c r="O26" i="8" s="1"/>
  <c r="Q26" i="8" s="1"/>
  <c r="G26" i="8"/>
  <c r="W19" i="8"/>
  <c r="V19" i="8"/>
  <c r="L19" i="8"/>
  <c r="O19" i="8" s="1"/>
  <c r="Q19" i="8" s="1"/>
  <c r="G19" i="8"/>
  <c r="W18" i="8"/>
  <c r="V18" i="8"/>
  <c r="L18" i="8"/>
  <c r="G18" i="8"/>
  <c r="W60" i="8"/>
  <c r="V60" i="8"/>
  <c r="L60" i="8"/>
  <c r="G60" i="8"/>
  <c r="W59" i="8"/>
  <c r="V59" i="8"/>
  <c r="L59" i="8"/>
  <c r="G59" i="8"/>
  <c r="W58" i="8"/>
  <c r="V58" i="8"/>
  <c r="L58" i="8"/>
  <c r="G58" i="8"/>
  <c r="W57" i="8"/>
  <c r="V57" i="8"/>
  <c r="L57" i="8"/>
  <c r="G57" i="8"/>
  <c r="W56" i="8"/>
  <c r="V56" i="8"/>
  <c r="L56" i="8"/>
  <c r="G56" i="8"/>
  <c r="W53" i="8"/>
  <c r="V53" i="8"/>
  <c r="L53" i="8"/>
  <c r="G53" i="8"/>
  <c r="W52" i="8"/>
  <c r="V52" i="8"/>
  <c r="L52" i="8"/>
  <c r="G52" i="8"/>
  <c r="W51" i="8"/>
  <c r="V51" i="8"/>
  <c r="L51" i="8"/>
  <c r="G51" i="8"/>
  <c r="W61" i="8"/>
  <c r="V61" i="8"/>
  <c r="L61" i="8"/>
  <c r="G61" i="8"/>
  <c r="W55" i="8"/>
  <c r="V55" i="8"/>
  <c r="L55" i="8"/>
  <c r="G55" i="8"/>
  <c r="W54" i="8"/>
  <c r="V54" i="8"/>
  <c r="L54" i="8"/>
  <c r="G54" i="8"/>
  <c r="A18" i="1"/>
  <c r="K37" i="1"/>
  <c r="E38" i="1" s="1"/>
  <c r="B2" i="15"/>
  <c r="O25" i="8" l="1"/>
  <c r="Q25" i="8" s="1"/>
  <c r="O24" i="8"/>
  <c r="Q24" i="8" s="1"/>
  <c r="O29" i="8"/>
  <c r="Q29" i="8" s="1"/>
  <c r="O22" i="8"/>
  <c r="Q22" i="8" s="1"/>
  <c r="O46" i="8"/>
  <c r="Q46" i="8" s="1"/>
  <c r="O30" i="8"/>
  <c r="Q30" i="8" s="1"/>
  <c r="O42" i="8"/>
  <c r="Q42" i="8" s="1"/>
  <c r="O23" i="8"/>
  <c r="Q23" i="8" s="1"/>
  <c r="O58" i="8"/>
  <c r="Q58" i="8" s="1"/>
  <c r="O21" i="8"/>
  <c r="Q21" i="8" s="1"/>
  <c r="O18" i="8"/>
  <c r="Q18" i="8" s="1"/>
  <c r="O49" i="8"/>
  <c r="Q49" i="8" s="1"/>
  <c r="O37" i="8"/>
  <c r="Q37" i="8" s="1"/>
  <c r="O35" i="8"/>
  <c r="Q35" i="8" s="1"/>
  <c r="O40" i="8"/>
  <c r="Q40" i="8" s="1"/>
  <c r="O47" i="8"/>
  <c r="Q47" i="8" s="1"/>
  <c r="O33" i="8"/>
  <c r="Q33" i="8" s="1"/>
  <c r="O45" i="8"/>
  <c r="Q45" i="8" s="1"/>
  <c r="O41" i="8"/>
  <c r="Q41" i="8" s="1"/>
  <c r="O48" i="8"/>
  <c r="Q48" i="8" s="1"/>
  <c r="O27" i="8"/>
  <c r="Q27" i="8" s="1"/>
  <c r="O34" i="8"/>
  <c r="Q34" i="8" s="1"/>
  <c r="O53" i="8"/>
  <c r="Q53" i="8" s="1"/>
  <c r="O57" i="8"/>
  <c r="Q57" i="8" s="1"/>
  <c r="O51" i="8"/>
  <c r="Q51" i="8" s="1"/>
  <c r="O60" i="8"/>
  <c r="Q60" i="8" s="1"/>
  <c r="O56" i="8"/>
  <c r="Q56" i="8" s="1"/>
  <c r="O52" i="8"/>
  <c r="Q52" i="8" s="1"/>
  <c r="O59" i="8"/>
  <c r="Q59" i="8" s="1"/>
  <c r="O54" i="8"/>
  <c r="Q54" i="8" s="1"/>
  <c r="O61" i="8"/>
  <c r="Q61" i="8" s="1"/>
  <c r="O55" i="8"/>
  <c r="Q55" i="8" s="1"/>
  <c r="B2" i="12"/>
  <c r="W15" i="8" l="1"/>
  <c r="W16" i="8"/>
  <c r="W17" i="8"/>
  <c r="W62" i="8"/>
  <c r="W63" i="8"/>
  <c r="W64" i="8"/>
  <c r="V15" i="8"/>
  <c r="V16" i="8"/>
  <c r="V17" i="8"/>
  <c r="V62" i="8"/>
  <c r="V63" i="8"/>
  <c r="V64" i="8"/>
  <c r="V65" i="8"/>
  <c r="L16" i="8"/>
  <c r="L17" i="8"/>
  <c r="L62" i="8"/>
  <c r="L63" i="8"/>
  <c r="L64" i="8"/>
  <c r="G16" i="8"/>
  <c r="G17" i="8"/>
  <c r="G62" i="8"/>
  <c r="G63" i="8"/>
  <c r="W13" i="8"/>
  <c r="W14" i="8"/>
  <c r="W65" i="8"/>
  <c r="W66" i="8"/>
  <c r="V13" i="8"/>
  <c r="V14" i="8"/>
  <c r="V66" i="8"/>
  <c r="W12" i="8"/>
  <c r="V12" i="8"/>
  <c r="G66" i="8"/>
  <c r="G14" i="8"/>
  <c r="G15" i="8"/>
  <c r="G64" i="8"/>
  <c r="G65" i="8"/>
  <c r="G13" i="8"/>
  <c r="G12" i="8"/>
  <c r="O62" i="8" l="1"/>
  <c r="Q62" i="8" s="1"/>
  <c r="O17" i="8"/>
  <c r="Q17" i="8" s="1"/>
  <c r="O16" i="8"/>
  <c r="Q16" i="8" s="1"/>
  <c r="O64" i="8"/>
  <c r="Q64" i="8" s="1"/>
  <c r="O63" i="8"/>
  <c r="Q63" i="8" s="1"/>
  <c r="D16" i="11"/>
  <c r="D10" i="11"/>
  <c r="D32" i="11" l="1"/>
  <c r="B35" i="1" s="1"/>
  <c r="D26" i="11"/>
  <c r="B36" i="1" l="1"/>
  <c r="C1" i="8"/>
  <c r="L66" i="8"/>
  <c r="L65" i="8"/>
  <c r="L15" i="8"/>
  <c r="L14" i="8"/>
  <c r="L13" i="8"/>
  <c r="L12" i="8"/>
  <c r="O14" i="8" l="1"/>
  <c r="Q14" i="8" s="1"/>
  <c r="O66" i="8"/>
  <c r="Q66" i="8" s="1"/>
  <c r="O13" i="8"/>
  <c r="Q13" i="8" s="1"/>
  <c r="O12" i="8"/>
  <c r="Q12" i="8" s="1"/>
  <c r="O15" i="8"/>
  <c r="Q15" i="8" s="1"/>
  <c r="O65" i="8"/>
  <c r="Q65" i="8" s="1"/>
  <c r="E39" i="1" l="1"/>
  <c r="C42" i="1" l="1"/>
  <c r="B14" i="11" l="1"/>
  <c r="B8" i="11"/>
  <c r="C29" i="1" l="1"/>
  <c r="C35" i="1" s="1"/>
  <c r="AN30" i="11"/>
  <c r="AN31" i="11" s="1"/>
  <c r="AN8" i="11"/>
  <c r="C28" i="1"/>
  <c r="AN9" i="11"/>
  <c r="AO9" i="11" l="1"/>
  <c r="C34" i="1"/>
  <c r="B24" i="11" s="1"/>
  <c r="AN11" i="11" s="1"/>
  <c r="D28" i="1"/>
  <c r="D29" i="1" s="1"/>
  <c r="AO8" i="11"/>
  <c r="D45" i="1" l="1"/>
  <c r="D44" i="1"/>
  <c r="D43" i="1"/>
  <c r="D30" i="1"/>
  <c r="D42" i="1" s="1"/>
  <c r="B28" i="1"/>
  <c r="B7" i="11"/>
  <c r="B10" i="11"/>
  <c r="K24" i="1"/>
  <c r="B30" i="11" l="1"/>
  <c r="B13" i="11"/>
  <c r="B17" i="11" s="1"/>
  <c r="AN34" i="11" l="1"/>
  <c r="AP34" i="11" s="1"/>
  <c r="B29" i="11" s="1"/>
  <c r="AN33" i="11"/>
  <c r="AP33" i="11" s="1"/>
  <c r="AN12" i="11"/>
  <c r="B29" i="1"/>
  <c r="B30" i="1" s="1"/>
  <c r="B16" i="11"/>
  <c r="B23" i="11" l="1"/>
  <c r="B33" i="11" s="1"/>
  <c r="AO11" i="11"/>
  <c r="AP11" i="11" s="1"/>
  <c r="AO12" i="11"/>
  <c r="AP12" i="11" s="1"/>
  <c r="B26" i="11" l="1"/>
  <c r="D34" i="1" s="1"/>
  <c r="B32" i="11"/>
  <c r="D35" i="1" s="1"/>
  <c r="D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Schmitt, Tyson</author>
  </authors>
  <commentList>
    <comment ref="C16" authorId="0" shapeId="0" xr:uid="{AC8A21FC-5BC0-4A61-A14A-E78B198F6BB7}">
      <text>
        <r>
          <rPr>
            <sz val="9"/>
            <color indexed="81"/>
            <rFont val="Tahoma"/>
            <family val="2"/>
          </rPr>
          <t>Overwrite this value for multi-type buildings.</t>
        </r>
      </text>
    </comment>
    <comment ref="B34" authorId="0" shapeId="0" xr:uid="{7B6BD19B-83D5-4B2F-99F6-C90B031E4EE7}">
      <text>
        <r>
          <rPr>
            <b/>
            <sz val="9"/>
            <color indexed="81"/>
            <rFont val="Tahoma"/>
            <family val="2"/>
          </rPr>
          <t xml:space="preserve">Only change this number </t>
        </r>
        <r>
          <rPr>
            <b/>
            <u/>
            <sz val="9"/>
            <color indexed="81"/>
            <rFont val="Tahoma"/>
            <family val="2"/>
          </rPr>
          <t>after</t>
        </r>
        <r>
          <rPr>
            <b/>
            <sz val="9"/>
            <color indexed="81"/>
            <rFont val="Tahoma"/>
            <family val="2"/>
          </rPr>
          <t xml:space="preserve"> the performance period</t>
        </r>
      </text>
    </comment>
    <comment ref="B35" authorId="0" shapeId="0" xr:uid="{051DCF5D-A18B-4CD2-A51B-10C523DE8BFF}">
      <text>
        <r>
          <rPr>
            <b/>
            <sz val="9"/>
            <color indexed="81"/>
            <rFont val="Tahoma"/>
            <family val="2"/>
          </rPr>
          <t xml:space="preserve">Only change this number </t>
        </r>
        <r>
          <rPr>
            <b/>
            <u/>
            <sz val="9"/>
            <color indexed="81"/>
            <rFont val="Tahoma"/>
            <family val="2"/>
          </rPr>
          <t>after</t>
        </r>
        <r>
          <rPr>
            <b/>
            <sz val="9"/>
            <color indexed="81"/>
            <rFont val="Tahoma"/>
            <family val="2"/>
          </rPr>
          <t xml:space="preserve"> the performance period</t>
        </r>
      </text>
    </comment>
  </commentList>
</comments>
</file>

<file path=xl/sharedStrings.xml><?xml version="1.0" encoding="utf-8"?>
<sst xmlns="http://schemas.openxmlformats.org/spreadsheetml/2006/main" count="1389" uniqueCount="1202">
  <si>
    <t>Project Type</t>
  </si>
  <si>
    <t>Totals</t>
  </si>
  <si>
    <t>UOM</t>
  </si>
  <si>
    <t>Therm</t>
  </si>
  <si>
    <t>kWh</t>
  </si>
  <si>
    <t>Data Center</t>
  </si>
  <si>
    <t>Description</t>
  </si>
  <si>
    <t>Pool</t>
  </si>
  <si>
    <t>Electric Cost Effectiveness Standard
2014/2015 
Cents per KWH</t>
  </si>
  <si>
    <t>Gas Conservation Cost Effectiveness Standard, 2014/2015</t>
  </si>
  <si>
    <t>Measure</t>
  </si>
  <si>
    <t>Electric
Space
Heating</t>
  </si>
  <si>
    <t>Misc.</t>
  </si>
  <si>
    <t>Summer
Cooling</t>
  </si>
  <si>
    <t>Space Heating
(Retrofit)</t>
  </si>
  <si>
    <t>Hot Water
(DHW)</t>
  </si>
  <si>
    <t>Process</t>
  </si>
  <si>
    <t>Life</t>
  </si>
  <si>
    <t>Note: These costs include the conservation credit.</t>
  </si>
  <si>
    <t>Note: These costs do not include a conservation credit.</t>
  </si>
  <si>
    <t>Gas</t>
  </si>
  <si>
    <t>Electric</t>
  </si>
  <si>
    <t>None</t>
  </si>
  <si>
    <t>Total Measure Cost</t>
  </si>
  <si>
    <t>PSE Gas</t>
  </si>
  <si>
    <t>PSE Electric</t>
  </si>
  <si>
    <t>PSE Both</t>
  </si>
  <si>
    <t>Controls Cost</t>
  </si>
  <si>
    <t>Base Incentive</t>
  </si>
  <si>
    <t>Refrigeration</t>
  </si>
  <si>
    <t>Large DHW</t>
  </si>
  <si>
    <t>Other (describe)</t>
  </si>
  <si>
    <t>Initial Grant</t>
  </si>
  <si>
    <t>Final True-up*</t>
  </si>
  <si>
    <t>Zone level scheduling &amp; limited time override</t>
  </si>
  <si>
    <t>Condenser water temperature (CWT) reset based on load</t>
  </si>
  <si>
    <t>therms/yr</t>
  </si>
  <si>
    <t>kWh/yr</t>
  </si>
  <si>
    <t>Total Building EUI</t>
  </si>
  <si>
    <t>Building Type</t>
  </si>
  <si>
    <t>Project Name</t>
  </si>
  <si>
    <t>Address</t>
  </si>
  <si>
    <t>Building Sq Ft</t>
  </si>
  <si>
    <t>kBTU/sqft/yr</t>
  </si>
  <si>
    <t>Clean Buildings Law EUI Target (EUIt)</t>
  </si>
  <si>
    <t>Annual Elec Usage</t>
  </si>
  <si>
    <t>Annual Gas Usage</t>
  </si>
  <si>
    <t>PSE Project Cost</t>
  </si>
  <si>
    <t>Department of Commerce Building Categories</t>
  </si>
  <si>
    <t>Regionally Adjusted Mean EUI Existing Bldgs (kBTU/sf)</t>
  </si>
  <si>
    <t>Entertainment/Culture</t>
  </si>
  <si>
    <t>Other Public Assembly</t>
  </si>
  <si>
    <t>Recreation</t>
  </si>
  <si>
    <t>Religious Worship</t>
  </si>
  <si>
    <t>Social/Meeting</t>
  </si>
  <si>
    <t>College/University</t>
  </si>
  <si>
    <t>Elementary/Middle School</t>
  </si>
  <si>
    <t>High School</t>
  </si>
  <si>
    <t>Other Classroom Education</t>
  </si>
  <si>
    <t>Preschool/Daycare</t>
  </si>
  <si>
    <t>Wholesale Club</t>
  </si>
  <si>
    <t>Grocery/Food Market</t>
  </si>
  <si>
    <t>Hospital/Inpatient Care</t>
  </si>
  <si>
    <t>Police Station</t>
  </si>
  <si>
    <t>Courthouse</t>
  </si>
  <si>
    <t>Transporation Station</t>
  </si>
  <si>
    <t>Library</t>
  </si>
  <si>
    <t>Other Public Order and Safety</t>
  </si>
  <si>
    <t>Post Office/Postal Center</t>
  </si>
  <si>
    <t>Dorm/Fraternity/Sorority</t>
  </si>
  <si>
    <t>Hotel</t>
  </si>
  <si>
    <t>Motel or Inn</t>
  </si>
  <si>
    <t>Mulifamily (mixed use only)</t>
  </si>
  <si>
    <t>Nursing Home/Assisted Living</t>
  </si>
  <si>
    <t>Prison</t>
  </si>
  <si>
    <t>Other Lodging</t>
  </si>
  <si>
    <t>Admin/Professional Office</t>
  </si>
  <si>
    <t>Bank/Other Financial</t>
  </si>
  <si>
    <t>Government Office</t>
  </si>
  <si>
    <t>Veterinary</t>
  </si>
  <si>
    <t>Other Office</t>
  </si>
  <si>
    <t>Laboratory</t>
  </si>
  <si>
    <t>Clinic/Other Outpatient Health</t>
  </si>
  <si>
    <t>Medical Office (Diagnostic)</t>
  </si>
  <si>
    <t>Medical Office (Nondiagnostic)</t>
  </si>
  <si>
    <t>Convenience w/Gas Station</t>
  </si>
  <si>
    <t>Fast Food</t>
  </si>
  <si>
    <t>Restaurant/Cafeteria/Bar</t>
  </si>
  <si>
    <t>Enclosed Mall</t>
  </si>
  <si>
    <t>Other Retail</t>
  </si>
  <si>
    <t>Other Service</t>
  </si>
  <si>
    <t>Repair Shop</t>
  </si>
  <si>
    <t>Retail Store</t>
  </si>
  <si>
    <t>Strip Shopping Mall</t>
  </si>
  <si>
    <t>Vehicle Dealership/Showroom</t>
  </si>
  <si>
    <t>Vehicle Service/Repair Shop</t>
  </si>
  <si>
    <t>Technology/Science Service</t>
  </si>
  <si>
    <t>Vehicle Storage/Maintenance</t>
  </si>
  <si>
    <t>Distribution/Shipping Center</t>
  </si>
  <si>
    <t>Nonrefrigerated Warehouse</t>
  </si>
  <si>
    <t>Refrigerated Warehouse</t>
  </si>
  <si>
    <t>Major Process Loads &gt;5% of Building Use</t>
  </si>
  <si>
    <t>Load Type</t>
  </si>
  <si>
    <t>kWh/yr or Therms/yr</t>
  </si>
  <si>
    <t>Central Plant Sequences</t>
  </si>
  <si>
    <t>Add or Improve?</t>
  </si>
  <si>
    <t>Add</t>
  </si>
  <si>
    <t>Improve</t>
  </si>
  <si>
    <t>Other (with PSE approval)</t>
  </si>
  <si>
    <t>*Only finalized after 12 months post-install*</t>
  </si>
  <si>
    <t xml:space="preserve">Project Name: </t>
  </si>
  <si>
    <t>Date(s) of existing measurements:</t>
  </si>
  <si>
    <t>Date(s) of final measurements:</t>
  </si>
  <si>
    <t>Document the existing condition. Determine the code requirement. Balance and document the final DDC OA% needed to meet code.</t>
  </si>
  <si>
    <t>Temperature calculation method can only be used if OAT, RAT and MAT accurately reflect these temperatures and there is a 20 F difference between OAT and RAT</t>
  </si>
  <si>
    <t>FINAL BALANCED MIN OA</t>
  </si>
  <si>
    <t xml:space="preserve">DDC </t>
  </si>
  <si>
    <t>MEASURED WHEN OA AT MIN (HEATING MODE)</t>
  </si>
  <si>
    <t>Calculated OAT*</t>
  </si>
  <si>
    <t xml:space="preserve">Area </t>
  </si>
  <si>
    <t>Non-People Code</t>
  </si>
  <si>
    <t>People Code</t>
  </si>
  <si>
    <t>TOTAL CODE MIN</t>
  </si>
  <si>
    <t>MEASURED WHEN OA AT MIN 
(HEATING MODE)*</t>
  </si>
  <si>
    <t>Measured</t>
  </si>
  <si>
    <t>EQUIP#</t>
  </si>
  <si>
    <t>Building</t>
  </si>
  <si>
    <t>Min OA% stpt</t>
  </si>
  <si>
    <t>MAT</t>
  </si>
  <si>
    <t>RAT</t>
  </si>
  <si>
    <t>OAT</t>
  </si>
  <si>
    <t xml:space="preserve">Type </t>
  </si>
  <si>
    <t>sf</t>
  </si>
  <si>
    <t xml:space="preserve">Code Min OA Cfm </t>
  </si>
  <si>
    <t>Code
 Total cfm</t>
  </si>
  <si>
    <t xml:space="preserve">Total AHU cfm </t>
  </si>
  <si>
    <t>Code OA%</t>
  </si>
  <si>
    <t>Traverse cfm</t>
  </si>
  <si>
    <t>Final 
OA%</t>
  </si>
  <si>
    <t>Traverse OA%</t>
  </si>
  <si>
    <t xml:space="preserve">cfm/
person </t>
  </si>
  <si>
    <t xml:space="preserve">cfm/sf </t>
  </si>
  <si>
    <t xml:space="preserve">People density/
1000 sf </t>
  </si>
  <si>
    <t>EXISTING MIN OA</t>
  </si>
  <si>
    <t>ASHRAE 62.1 MIN OA REQUIREMENT</t>
  </si>
  <si>
    <t>Existing OA%</t>
  </si>
  <si>
    <t xml:space="preserve">Fill in green cells in chart - expand rows to capture all AHUs (HPs, FCUs, RTUs, AHUs). </t>
  </si>
  <si>
    <t>HP-Example</t>
  </si>
  <si>
    <t>Zone-level Scheduling</t>
  </si>
  <si>
    <t>Mode (occ, unocc, stand-by, warmup/cooldown)</t>
  </si>
  <si>
    <t>Room Occupancy Status</t>
  </si>
  <si>
    <t>Room temp cooling setpoint</t>
  </si>
  <si>
    <t>Room temp heating setpoint</t>
  </si>
  <si>
    <t>Room temp</t>
  </si>
  <si>
    <t>Optimum Start/Stop</t>
  </si>
  <si>
    <t>Outside Air Damper %</t>
  </si>
  <si>
    <t>Gas burner command</t>
  </si>
  <si>
    <t>Electric reheat command</t>
  </si>
  <si>
    <t>Cooling valve %</t>
  </si>
  <si>
    <t>Heating valve %</t>
  </si>
  <si>
    <t>Unoccupied setback w/zone override</t>
  </si>
  <si>
    <t>Electric Reheat Command</t>
  </si>
  <si>
    <t>Supply Air Temp Reset</t>
  </si>
  <si>
    <t>Supply Air Temperature</t>
  </si>
  <si>
    <t>Supply Air Temperature Setpoint</t>
  </si>
  <si>
    <t>Outside Air Temperature</t>
  </si>
  <si>
    <t>Duct Static Pressure Reset</t>
  </si>
  <si>
    <t>Duct Static Pressure (actual)</t>
  </si>
  <si>
    <t>Duct Static Pressure Setpoint</t>
  </si>
  <si>
    <t>Duct Static Pressure Demand (reset variable - typically VAV damper positions)</t>
  </si>
  <si>
    <t>Supply Fan VFD %</t>
  </si>
  <si>
    <t>Outside Air Temperature (if OAT reset)</t>
  </si>
  <si>
    <t>Zone damper positions (sample 15% of VAV boxes)</t>
  </si>
  <si>
    <t>Minimum Outside Air Ventilation with Positive Building Pressure Maintained</t>
  </si>
  <si>
    <t>Building Pressure (actual)</t>
  </si>
  <si>
    <t>Building Pressure Setpoint</t>
  </si>
  <si>
    <t>Relief/Exhaust Fan VFD % or command</t>
  </si>
  <si>
    <t>Mixed Air Temperature</t>
  </si>
  <si>
    <t>Return Air Temperature</t>
  </si>
  <si>
    <t>Occupancy status (if variable OA based on occupancy)</t>
  </si>
  <si>
    <t>Demand Control Ventilation (DCV) in Interior Spaces</t>
  </si>
  <si>
    <t>CO2 levels (sample of representative zones)</t>
  </si>
  <si>
    <t>CO2 setpoints</t>
  </si>
  <si>
    <t>Occupancy status/override</t>
  </si>
  <si>
    <t>Zone airflow (CFM) where applicable</t>
  </si>
  <si>
    <t>Mode (occupied/unoccupied/standby)</t>
  </si>
  <si>
    <t>Zone/Box Air and Temperature Controls</t>
  </si>
  <si>
    <t>Zone/Box CFM (actual)</t>
  </si>
  <si>
    <t>Zone/Box CFM setpoint</t>
  </si>
  <si>
    <t>VAV damper position %</t>
  </si>
  <si>
    <t>Discharge Air Temperature (if available)</t>
  </si>
  <si>
    <t>Space Temperature (actual)</t>
  </si>
  <si>
    <t>Space Temperature Setpoint (heating &amp; cooling)</t>
  </si>
  <si>
    <t>Heating valve/reheat command %</t>
  </si>
  <si>
    <t>Zone fan command (if applicable)</t>
  </si>
  <si>
    <t>Occupancy override status</t>
  </si>
  <si>
    <t>Upgrade to VFD on Supply Fan</t>
  </si>
  <si>
    <t>Supply Fan VFD % (speed)</t>
  </si>
  <si>
    <t>Supply Fan VFD command vs. feedback</t>
  </si>
  <si>
    <t>Duct Static Pressure</t>
  </si>
  <si>
    <t>Motor amperage (if available)</t>
  </si>
  <si>
    <t>Air-side Economizer Controls</t>
  </si>
  <si>
    <t xml:space="preserve">Cooling valve % (mechanical cooling) </t>
  </si>
  <si>
    <t>Enthalpy (if enthalpy-based economizer)</t>
  </si>
  <si>
    <t>Outside Humidity (if enthalpy-based)</t>
  </si>
  <si>
    <t>Return Humidity (if enthalpy-based)</t>
  </si>
  <si>
    <t>Economizer enable/lockout status</t>
  </si>
  <si>
    <t>Room Space Temperature Setpoints Deadband</t>
  </si>
  <si>
    <t>Heating Setpoint</t>
  </si>
  <si>
    <t>Cooling Setpoint</t>
  </si>
  <si>
    <t>Deadband width (calculated or direct)</t>
  </si>
  <si>
    <t>Heating command/valve %</t>
  </si>
  <si>
    <t>Cooling command/valve %</t>
  </si>
  <si>
    <t>Zone CFM (if VAV)</t>
  </si>
  <si>
    <t>Measure Cost</t>
  </si>
  <si>
    <t>Measure Cost Electric</t>
  </si>
  <si>
    <t>Electric Load Type</t>
  </si>
  <si>
    <t>kWh Savings Estimated</t>
  </si>
  <si>
    <t>Library Measure Life kWh</t>
  </si>
  <si>
    <t>Entered Measure Life kWh</t>
  </si>
  <si>
    <t>Calc Measure Life Electric</t>
  </si>
  <si>
    <t>Grant Amount Electric</t>
  </si>
  <si>
    <t>Baseline Electric Energy Use</t>
  </si>
  <si>
    <t>Measure Cost Therm</t>
  </si>
  <si>
    <t>Gas Load Type</t>
  </si>
  <si>
    <t>Therm Savings Estimated</t>
  </si>
  <si>
    <t>Library Measure Life Therm</t>
  </si>
  <si>
    <t>Entered Measure Life Therm</t>
  </si>
  <si>
    <t>Calc Measure Life Therm</t>
  </si>
  <si>
    <t>Grant Amount Therm</t>
  </si>
  <si>
    <t>Baseline Therm Energy Use</t>
  </si>
  <si>
    <t>HVAC Control - Base - Custom</t>
  </si>
  <si>
    <t>Library Measure Ref#</t>
  </si>
  <si>
    <t>Full or Incr?</t>
  </si>
  <si>
    <t>Est'd Completion Date</t>
  </si>
  <si>
    <t>Library Measure Name</t>
  </si>
  <si>
    <t>Full</t>
  </si>
  <si>
    <t>HVAC Control - Performance - Custom</t>
  </si>
  <si>
    <t>Misc</t>
  </si>
  <si>
    <t>Space Heating</t>
  </si>
  <si>
    <t>kW Reduction</t>
  </si>
  <si>
    <t>Leave Blank</t>
  </si>
  <si>
    <t>Base Gas FAC</t>
  </si>
  <si>
    <t>FAC</t>
  </si>
  <si>
    <t>FAC Prorated MC</t>
  </si>
  <si>
    <t xml:space="preserve">Base Elec </t>
  </si>
  <si>
    <t>Perf Elec</t>
  </si>
  <si>
    <t>Perf Gas</t>
  </si>
  <si>
    <t xml:space="preserve">% of FAC </t>
  </si>
  <si>
    <t>between the two fuels</t>
  </si>
  <si>
    <t>*Divides the remaining costs after 0.5*totcost - base incent</t>
  </si>
  <si>
    <t>Perf Savings</t>
  </si>
  <si>
    <t>Gross Site Savings</t>
  </si>
  <si>
    <t>*Assumes we can fund up to 50% of full project cost</t>
  </si>
  <si>
    <t>Electric Cost Effectiveness Standard (¢ per kWh)
2024/2025</t>
  </si>
  <si>
    <t>Updated: 11/03/23</t>
  </si>
  <si>
    <t>Measure Life</t>
  </si>
  <si>
    <t>Gas Conservation Cost Effectiveness Standard ($/therm)
2024/2025</t>
  </si>
  <si>
    <t>NG space ht</t>
  </si>
  <si>
    <t>dhw</t>
  </si>
  <si>
    <t>process</t>
  </si>
  <si>
    <t>elec htg</t>
  </si>
  <si>
    <t>clg</t>
  </si>
  <si>
    <t>refr</t>
  </si>
  <si>
    <t>hort</t>
  </si>
  <si>
    <t>Costs from 2025 AF</t>
  </si>
  <si>
    <t>The Facility Guide shall include the following:</t>
  </si>
  <si>
    <t>*Base incent is currently capped at 0.35*totCost</t>
  </si>
  <si>
    <t>Should perf incent be capped at 0.35*totCost-base incent?</t>
  </si>
  <si>
    <t>*Perf incent is capped at 0.5*totCost-base incent</t>
  </si>
  <si>
    <t>Current program caps base+perf at 0.5*totCost</t>
  </si>
  <si>
    <t>Adds</t>
  </si>
  <si>
    <t>*Requirements details - need code refs? Update details?</t>
  </si>
  <si>
    <t>Final savings %</t>
  </si>
  <si>
    <t>Total Incentive</t>
  </si>
  <si>
    <t>This section estimates your total incentive award (base + performance) after the 12-month performance period with various site savings percentages</t>
  </si>
  <si>
    <t>*Lower scaling for plant and optional - too complicated</t>
  </si>
  <si>
    <t>*Base scaling on deltaEUI? -too problematic</t>
  </si>
  <si>
    <t>*If 30% below EUIt, performance-only or provide further details? - low savings flag</t>
  </si>
  <si>
    <t>Other Sequences</t>
  </si>
  <si>
    <t>Performance Incentive (Finalized after Performance Period)</t>
  </si>
  <si>
    <t>WSHP Loop Temperature Setpoints Deadband and Maximums</t>
  </si>
  <si>
    <t>Building Loop Supply Temperature (actual)</t>
  </si>
  <si>
    <t>Building Loop Return Temperature (actual)</t>
  </si>
  <si>
    <t>Building Loop Heating Temperature Setpoint</t>
  </si>
  <si>
    <t>Building Loop Cooling Temperature Setpoint</t>
  </si>
  <si>
    <t>Maximum Loop Temperature Limit</t>
  </si>
  <si>
    <t>Minimum Loop Temperature Limit</t>
  </si>
  <si>
    <t>Loop Temperature Reset Variable (load demand)</t>
  </si>
  <si>
    <t>Building heating/cooling demand</t>
  </si>
  <si>
    <t>Differential Pressure (DP) Control for Building Loop Pump(s) &gt;10 hp</t>
  </si>
  <si>
    <t>HW/CHW Pump Differential Pressure (actual)</t>
  </si>
  <si>
    <t>HW/CHW Pump Differential Pressure Setpoint</t>
  </si>
  <si>
    <t>Load/Demand variable (determining DP reset setpoint)</t>
  </si>
  <si>
    <t>Building HW/CHW loop pump speed %</t>
  </si>
  <si>
    <t>Building HW/CHW loop pump status/command</t>
  </si>
  <si>
    <t>Building loop supply temperature</t>
  </si>
  <si>
    <t>Building loop return temperature</t>
  </si>
  <si>
    <t>System flow rate (if available)</t>
  </si>
  <si>
    <t>Pump motor amperage (if available)</t>
  </si>
  <si>
    <t>Efficient Cooling Tower and Chiller Staging</t>
  </si>
  <si>
    <t>Chiller #1, #2, #3 (etc.) command/status</t>
  </si>
  <si>
    <t>Chiller #1, #2, #3 (etc.) % load or kW</t>
  </si>
  <si>
    <t>Cooling Tower Fan #1, #2, #3 (etc.) command/speed %</t>
  </si>
  <si>
    <t>Condenser Water Supply Temperature</t>
  </si>
  <si>
    <t>Condenser Water Return Temperature</t>
  </si>
  <si>
    <t>Chilled Water Supply Temperature</t>
  </si>
  <si>
    <t>Chilled Water Return Temperature</t>
  </si>
  <si>
    <t>Building cooling demand/load</t>
  </si>
  <si>
    <t>Outside Air Humidity (wet bulb)</t>
  </si>
  <si>
    <t>Lead/lag status indicators</t>
  </si>
  <si>
    <t>Equipment runtime hours</t>
  </si>
  <si>
    <t>Condenser Water Temperature (CWT) Reset Based on Load</t>
  </si>
  <si>
    <t>Condensing Water Temperature (leaving) - actual</t>
  </si>
  <si>
    <t>Condensing Water Temperature Setpoint</t>
  </si>
  <si>
    <t>Controlling variable used to determine CW temp reset</t>
  </si>
  <si>
    <t>Entering Water Temperature</t>
  </si>
  <si>
    <t>Cooling Tower Fan command or speed %</t>
  </si>
  <si>
    <t>Chiller % load or demand</t>
  </si>
  <si>
    <t>Approach temperature (calculated)</t>
  </si>
  <si>
    <t>Chilled Water Temperature (CHWT) Reset Based on Load</t>
  </si>
  <si>
    <t>Chiller Supply Water Temperature (actual)</t>
  </si>
  <si>
    <t>Chiller Supply Water Temperature Setpoint</t>
  </si>
  <si>
    <t>Building cooling demand (reset variable - not OAT)</t>
  </si>
  <si>
    <t>CHW building loop supply temperature</t>
  </si>
  <si>
    <t>CHW building loop return temperature</t>
  </si>
  <si>
    <t>CHW building loop temperature setpoint</t>
  </si>
  <si>
    <t>Chiller command/status</t>
  </si>
  <si>
    <t>Building CHW loop pump speed %</t>
  </si>
  <si>
    <t>Outside Air Temperature (for comparison/verification)</t>
  </si>
  <si>
    <t>Zone cooling demands (sample of critical zones)</t>
  </si>
  <si>
    <t>Hot Water Temperature (HWT) Reset Based on Load</t>
  </si>
  <si>
    <t>Boiler HW Supply Temperature (actual)</t>
  </si>
  <si>
    <t>Boiler HW Setpoint</t>
  </si>
  <si>
    <t>Building heating demand (reset variable - not OAT)</t>
  </si>
  <si>
    <t>HW building loop supply temperature</t>
  </si>
  <si>
    <t>HW building loop return temperature</t>
  </si>
  <si>
    <t>HW building loop temperature setpoint</t>
  </si>
  <si>
    <t>Boiler command/status</t>
  </si>
  <si>
    <t>Building HW loop pump speed %</t>
  </si>
  <si>
    <t>Zone heating demands (sample of critical zones)</t>
  </si>
  <si>
    <t>Boiler and Chiller Plant Lockout on Outside Air Temperature (OAT)</t>
  </si>
  <si>
    <t>Boiler lockout setpoint</t>
  </si>
  <si>
    <t>Chiller lockout setpoint</t>
  </si>
  <si>
    <t>Lockout override status (if applicable)</t>
  </si>
  <si>
    <t>Building heating demand</t>
  </si>
  <si>
    <t>Building cooling demand</t>
  </si>
  <si>
    <t>Manual override status</t>
  </si>
  <si>
    <t>Equipment availability status</t>
  </si>
  <si>
    <t>Efficient Boiler Modulation and Staging</t>
  </si>
  <si>
    <t>Boiler #1, #2, #3 (etc.) command/status</t>
  </si>
  <si>
    <t>Boiler #1, #2, #3 (etc.) firing rate % or modulation %</t>
  </si>
  <si>
    <t>Boiler #1, #2, #3 (etc.) supply temperature</t>
  </si>
  <si>
    <t>Building heating demand/load</t>
  </si>
  <si>
    <t>Boiler efficiency % (if available)</t>
  </si>
  <si>
    <t>Stack temperature (if available)</t>
  </si>
  <si>
    <t>*SCL requires: site visit, invoice, Cx report, as-built SOO, gui screenshots showing correct operation (no cust training, no trends or FPTs, no facility guide)</t>
  </si>
  <si>
    <t>*SCL groups sequences by type - scheduling, ventilation control, lockouts, energy monitoring, resets, demand control, misc</t>
  </si>
  <si>
    <t>Background Info</t>
  </si>
  <si>
    <t>[State the name of the customer, the sq ft of the building, and any other brief background info on the customer. Describe the existing HVAC system(s) serving the building(s). State what sequences are being added or improved. Include any notes about building occupancy and other concurrent projects. Note the EUI compared to the EUIt to indicate opportunity for savings.]</t>
  </si>
  <si>
    <t>Project Specifications</t>
  </si>
  <si>
    <t>Baseline Assumptions</t>
  </si>
  <si>
    <t>The existing HVAC controls system is accurately defined in the HVAC Controls Worksheet.</t>
  </si>
  <si>
    <t>Proposed Assumptions</t>
  </si>
  <si>
    <t xml:space="preserve">There will be a combination of added and/or improved sequences per the HVAC Controls Worksheet. </t>
  </si>
  <si>
    <t>Energy Analysis Methodology</t>
  </si>
  <si>
    <t>M&amp;V Requirements</t>
  </si>
  <si>
    <t>*PSE will determine which sequences qualify</t>
  </si>
  <si>
    <r>
      <t>2.</t>
    </r>
    <r>
      <rPr>
        <b/>
        <sz val="14"/>
        <color theme="1"/>
        <rFont val="Times New Roman"/>
        <family val="1"/>
      </rPr>
      <t> </t>
    </r>
    <r>
      <rPr>
        <b/>
        <sz val="14"/>
        <color theme="1"/>
        <rFont val="Calibri"/>
        <family val="2"/>
        <scheme val="minor"/>
      </rPr>
      <t>Written Description of Systems and Operation</t>
    </r>
  </si>
  <si>
    <r>
      <t>1.</t>
    </r>
    <r>
      <rPr>
        <b/>
        <sz val="14"/>
        <color theme="1"/>
        <rFont val="Times New Roman"/>
        <family val="1"/>
      </rPr>
      <t> </t>
    </r>
    <r>
      <rPr>
        <b/>
        <sz val="14"/>
        <color theme="1"/>
        <rFont val="Calibri"/>
        <family val="2"/>
        <scheme val="minor"/>
      </rPr>
      <t>Outline of the Guide</t>
    </r>
  </si>
  <si>
    <t>Suggested Key Points to Trend</t>
  </si>
  <si>
    <t>*Add analytics as an add? FDD</t>
  </si>
  <si>
    <t>*Controls optimization? Like for like - added General sequence optimization</t>
  </si>
  <si>
    <t>VAV Setback Based on Occupancy</t>
  </si>
  <si>
    <t>Zone occupancy status (occupied/unoccupied/override)</t>
  </si>
  <si>
    <t>Zone CFM (actual)</t>
  </si>
  <si>
    <t>Zone CFM setpoint (occupied vs. unoccupied)</t>
  </si>
  <si>
    <t>Space temperature setpoint (occupied vs. unoccupied)</t>
  </si>
  <si>
    <t>Space temperature (actual)</t>
  </si>
  <si>
    <t>Occupancy override timer/duration</t>
  </si>
  <si>
    <t>Motion sensor status (if applicable)</t>
  </si>
  <si>
    <t>Schedule override status</t>
  </si>
  <si>
    <t>Fault alarm status/active alarms</t>
  </si>
  <si>
    <t>Filter differential pressure (if monitored)</t>
  </si>
  <si>
    <t>Motor amperage vs. expected values</t>
  </si>
  <si>
    <t>Temperature sensor readings vs. expected ranges</t>
  </si>
  <si>
    <t>Damper/valve position feedback vs. command</t>
  </si>
  <si>
    <t>VFD fault codes/status</t>
  </si>
  <si>
    <t>Communication failures/timeouts</t>
  </si>
  <si>
    <t>Sensor calibration drift indicators</t>
  </si>
  <si>
    <t>Performance degradation indicators</t>
  </si>
  <si>
    <t>Zone CO2 levels (all DCV zones)</t>
  </si>
  <si>
    <t>Zone CO2 setpoints</t>
  </si>
  <si>
    <t>Zone occupancy counts/status</t>
  </si>
  <si>
    <t>Outside Air Damper % (AHU level)</t>
  </si>
  <si>
    <t>Zone airflow CFM (where applicable)</t>
  </si>
  <si>
    <t>Door position status (open/closed)</t>
  </si>
  <si>
    <t>Door open duration timer</t>
  </si>
  <si>
    <t>Associated equipment lockout status</t>
  </si>
  <si>
    <t>Space temperature during door events</t>
  </si>
  <si>
    <t>Door cycle frequency</t>
  </si>
  <si>
    <t>Related HVAC equipment response</t>
  </si>
  <si>
    <t>Override timer status</t>
  </si>
  <si>
    <t>Manual bypass status</t>
  </si>
  <si>
    <t>Interlock alarm status</t>
  </si>
  <si>
    <t>Outside Air Temperature (wet bulb)</t>
  </si>
  <si>
    <t>Cooling Tower Water Supply Temperature</t>
  </si>
  <si>
    <t>Water-side economizer valve position %</t>
  </si>
  <si>
    <t>Chiller bypass valve position %</t>
  </si>
  <si>
    <t>Cooling tower fan speed %</t>
  </si>
  <si>
    <t>Building cooling load/demand</t>
  </si>
  <si>
    <t>Water-side economizer enable/disable status</t>
  </si>
  <si>
    <t>Approach temperature differential</t>
  </si>
  <si>
    <t>Free cooling percentage</t>
  </si>
  <si>
    <t>Chiller lockout status during economizer operation</t>
  </si>
  <si>
    <t>Isolation valve position/status (open/closed/modulating)</t>
  </si>
  <si>
    <t>Pump status/command (primary/secondary)</t>
  </si>
  <si>
    <t>Loop differential pressure (before/after valve)</t>
  </si>
  <si>
    <t>Flow rate through isolated loop</t>
  </si>
  <si>
    <t>Supply/return temperatures in isolated loop</t>
  </si>
  <si>
    <t>Valve feedback vs. command</t>
  </si>
  <si>
    <t>Pump differential pressure (actual)</t>
  </si>
  <si>
    <t>Pump differential pressure setpoint</t>
  </si>
  <si>
    <t>Pump speed % (VFD)</t>
  </si>
  <si>
    <t>System flow rate</t>
  </si>
  <si>
    <t>Load demand variable (determining DP reset)</t>
  </si>
  <si>
    <t>Most open valve position (if available)</t>
  </si>
  <si>
    <t>System pressure drop indicators</t>
  </si>
  <si>
    <t>Pump motor amperage/power</t>
  </si>
  <si>
    <t>Outside Air Damper position %</t>
  </si>
  <si>
    <t>Outside Air CFM (calculated or measured)</t>
  </si>
  <si>
    <t>Minimum OA setpoint</t>
  </si>
  <si>
    <t>Supply fan VFD %</t>
  </si>
  <si>
    <t>Building occupancy level</t>
  </si>
  <si>
    <t>Ventilation effectiveness factor</t>
  </si>
  <si>
    <t>CO2 levels (if integrated with DCV)</t>
  </si>
  <si>
    <t>Economizer lockout status</t>
  </si>
  <si>
    <t>Damper calibration verification points</t>
  </si>
  <si>
    <t>Cooling Tower Fan #1, #2, #3 (etc.) speed %</t>
  </si>
  <si>
    <t>Condenser Water Temperature Setpoint</t>
  </si>
  <si>
    <t>Outside Air Temperature (dry bulb)</t>
  </si>
  <si>
    <t>Outside Air Humidity/Wet Bulb Temperature</t>
  </si>
  <si>
    <t>Cooling tower approach temperature</t>
  </si>
  <si>
    <t>Chiller condenser load %</t>
  </si>
  <si>
    <t>Tower bypass valve position (if applicable)</t>
  </si>
  <si>
    <t>Tower fill condition indicators (if monitored)</t>
  </si>
  <si>
    <t>Water makeup flow rate</t>
  </si>
  <si>
    <t>Sample 15% of VAV boxes or minimum 3 per scheduling zone</t>
  </si>
  <si>
    <t>Fault Detection and Diagnostics</t>
  </si>
  <si>
    <t>Multi-Zone Demand-Controlled Ventilation</t>
  </si>
  <si>
    <t>Door Switches On/Off Contact</t>
  </si>
  <si>
    <t>Water-Side Economizer for Chiller Plant</t>
  </si>
  <si>
    <t>Valves to Isolate Pumping Loop</t>
  </si>
  <si>
    <t>Improved Pump Differential Pressure Control</t>
  </si>
  <si>
    <t>Improved Outside Air Minimum Ventilation Control</t>
  </si>
  <si>
    <t>Improved Cooling Tower Controls</t>
  </si>
  <si>
    <t>The trend points provided below are not a firm requirement. They are meant to be a starting point and general reference for sequence verification.</t>
  </si>
  <si>
    <t>c.  Ventilation amount and control with completed Outside Air Calibration document (or equivalent)</t>
  </si>
  <si>
    <t>*MF controls? For high-rise. How do we calculate? Go through MF retro audit, then eligible for incent after? Further complicates controls cals?</t>
  </si>
  <si>
    <t>Performance Period Building Changes</t>
  </si>
  <si>
    <t>Describe what specifically was done to get the maximum energy efficiency performance incentive:</t>
  </si>
  <si>
    <t>List any addional energy efficiency projects completed during the performance period:</t>
  </si>
  <si>
    <t>Describe any changes to:</t>
  </si>
  <si>
    <t>Tenant Type/Space Use (e.g. office, lab, classrooms):</t>
  </si>
  <si>
    <t>Building Size or Occupied Area:</t>
  </si>
  <si>
    <t xml:space="preserve">Has the facility experienced extended vacancies? If so, what changes were made? (e.g. schedules, </t>
  </si>
  <si>
    <t>setpoints, additional cleaning shifts, outside air intake, demand control ventilation disables, etc)</t>
  </si>
  <si>
    <t>*Need examples</t>
  </si>
  <si>
    <r>
      <t xml:space="preserve">         a.</t>
    </r>
    <r>
      <rPr>
        <b/>
        <sz val="14"/>
        <color theme="1"/>
        <rFont val="Times New Roman"/>
        <family val="1"/>
      </rPr>
      <t> </t>
    </r>
    <r>
      <rPr>
        <b/>
        <sz val="14"/>
        <color theme="1"/>
        <rFont val="Calibri"/>
        <family val="2"/>
        <scheme val="minor"/>
      </rPr>
      <t>HVAC overview</t>
    </r>
  </si>
  <si>
    <r>
      <t xml:space="preserve">         d.</t>
    </r>
    <r>
      <rPr>
        <b/>
        <sz val="14"/>
        <color theme="1"/>
        <rFont val="Times New Roman"/>
        <family val="1"/>
      </rPr>
      <t> </t>
    </r>
    <r>
      <rPr>
        <b/>
        <sz val="14"/>
        <color theme="1"/>
        <rFont val="Calibri"/>
        <family val="2"/>
        <scheme val="minor"/>
      </rPr>
      <t>How systems (e.g. AHU &amp; VAV boxes) are zoned and how the zones are controlled</t>
    </r>
  </si>
  <si>
    <r>
      <t xml:space="preserve">         e.</t>
    </r>
    <r>
      <rPr>
        <b/>
        <sz val="14"/>
        <color theme="1"/>
        <rFont val="Times New Roman"/>
        <family val="1"/>
      </rPr>
      <t> </t>
    </r>
    <r>
      <rPr>
        <b/>
        <sz val="14"/>
        <color theme="1"/>
        <rFont val="Calibri"/>
        <family val="2"/>
        <scheme val="minor"/>
      </rPr>
      <t>Key items to monitor to maintain efficiency. (e.g. schedules, ventilation, setpoints, calibration of OA and CO2)</t>
    </r>
  </si>
  <si>
    <t>*Perf cap at 50% cost for grant? Should we write perf grant for 20-25% savings?</t>
  </si>
  <si>
    <t>*Any other documents we can bring into this excel file?</t>
  </si>
  <si>
    <t>Explain other upcoming bldg changes or projects below</t>
  </si>
  <si>
    <t>*DR controls? C403.4.1.7</t>
  </si>
  <si>
    <t>Installing new controllers, new GUI, controls perf based</t>
  </si>
  <si>
    <t>Keeping controllers, optimizing sequences, EBCx</t>
  </si>
  <si>
    <t>TAB only shows post tell contractor about increased ventilation</t>
  </si>
  <si>
    <t>O&amp;M less than Cx + HVAC controls &lt;3</t>
  </si>
  <si>
    <t xml:space="preserve">Bulk of payment on performance? </t>
  </si>
  <si>
    <t>Performance 10%</t>
  </si>
  <si>
    <t>Stepped incent for base, still perf</t>
  </si>
  <si>
    <t>based on base% savings</t>
  </si>
  <si>
    <t>*Funding rate as a fraction of FAC is what causes</t>
  </si>
  <si>
    <t>ratio which makes the gas perf grant cap out before elec.</t>
  </si>
  <si>
    <t>Caps out at ((0.5*totCost-basecost)*FAC fraction)</t>
  </si>
  <si>
    <t>*Can we use incent rate to split perf costs instead of FAC?</t>
  </si>
  <si>
    <t>This would allow us to estimate incents are diff levels</t>
  </si>
  <si>
    <t>it to be difficult to estimate incents at various %. Gas has a higher incent/cost</t>
  </si>
  <si>
    <t>Incent basis</t>
  </si>
  <si>
    <t>base elec</t>
  </si>
  <si>
    <t>base gas</t>
  </si>
  <si>
    <t>perf elec</t>
  </si>
  <si>
    <t>perf gas</t>
  </si>
  <si>
    <t>Prorated MC</t>
  </si>
  <si>
    <t>Base</t>
  </si>
  <si>
    <t>Performance</t>
  </si>
  <si>
    <t>Adding function? IF not, O&amp;M or Cx. How does one add a sequence? What is the exact process?</t>
  </si>
  <si>
    <t>Less than 3 adds, custom calc w/no perf?</t>
  </si>
  <si>
    <t>Scope review checkbox on worksheet? Need questionnaire</t>
  </si>
  <si>
    <t>3% floor for 0 adds</t>
  </si>
  <si>
    <t>Keep incent at $0.45. 3% min O&amp;M, 4% 1 add, 5% 2 add, 6% 3 add.</t>
  </si>
  <si>
    <t>o&amp;m - document what changes made</t>
  </si>
  <si>
    <t>Core adds vs supplemental adds?</t>
  </si>
  <si>
    <t>No base savings tied to incentive? - problem with this - what bout bldg not modeling well?</t>
  </si>
  <si>
    <r>
      <t xml:space="preserve">         f.</t>
    </r>
    <r>
      <rPr>
        <b/>
        <sz val="14"/>
        <color theme="1"/>
        <rFont val="Times New Roman"/>
        <family val="1"/>
      </rPr>
      <t> </t>
    </r>
    <r>
      <rPr>
        <b/>
        <sz val="14"/>
        <color theme="1"/>
        <rFont val="Calibri"/>
        <family val="2"/>
        <scheme val="minor"/>
      </rPr>
      <t>Unique challenges of building (e.g. high solar gain, OSA sensors not agreeing, comfort complaints, indoor air quality)</t>
    </r>
  </si>
  <si>
    <t>Other Sequences - worth half points</t>
  </si>
  <si>
    <t>No</t>
  </si>
  <si>
    <t>Central Plant Sequences - worth half points</t>
  </si>
  <si>
    <t>Base Savings</t>
  </si>
  <si>
    <t>Describe the GUI, it's functionality, who has access, and its age:</t>
  </si>
  <si>
    <t>Scope Review</t>
  </si>
  <si>
    <t>Describe the HVAC system being affected by this project:</t>
  </si>
  <si>
    <t>List any significant base/process loads like refrigeration, a pool, a data center, large DHW, etc.:</t>
  </si>
  <si>
    <t>BEFORE THE MEETING</t>
  </si>
  <si>
    <t>1. Have the controls contractor fill out the Worksheet tab as much as they can</t>
  </si>
  <si>
    <t>DURING THE MEETING</t>
  </si>
  <si>
    <t>N/A or Meets Code</t>
  </si>
  <si>
    <t>*Site must exceed base savings to be eligible for a performance incentive*</t>
  </si>
  <si>
    <t>Do we use other utility bill in this?</t>
  </si>
  <si>
    <t>Complete</t>
  </si>
  <si>
    <t>Incomplete - Contact PSE when Ready</t>
  </si>
  <si>
    <t>Total points</t>
  </si>
  <si>
    <t>Yes</t>
  </si>
  <si>
    <r>
      <t xml:space="preserve">Outside Air Calibration Documentation - </t>
    </r>
    <r>
      <rPr>
        <b/>
        <u/>
        <sz val="14"/>
        <rFont val="Calibri"/>
        <family val="2"/>
        <scheme val="minor"/>
      </rPr>
      <t>Offered as a courtesy but you may use your own document</t>
    </r>
  </si>
  <si>
    <t>*need code refs? Update details? I found code sections for main sequences, but didn't fully update details.</t>
  </si>
  <si>
    <t>*added 0 perf savings limiter</t>
  </si>
  <si>
    <t>Additions</t>
  </si>
  <si>
    <t>2nd Other</t>
  </si>
  <si>
    <t>half points adds/improves</t>
  </si>
  <si>
    <t>OA calibration box + wording on tab</t>
  </si>
  <si>
    <t>Scope Review at top + tab</t>
  </si>
  <si>
    <t>Highest perf savings 25%</t>
  </si>
  <si>
    <t>We need to explicitly state somewhere that all sequences need to be brought up to code. Maybe in SoW.</t>
  </si>
  <si>
    <t>Scope of Work</t>
  </si>
  <si>
    <t>&lt;1 add 25% cost cap (12.5% gas only)</t>
  </si>
  <si>
    <t>Setting Up the Grant</t>
  </si>
  <si>
    <t>Getting the Base Grant Paid</t>
  </si>
  <si>
    <t>Getting the Performance Grant Paid</t>
  </si>
  <si>
    <t>Perf Incentive*</t>
  </si>
  <si>
    <t>Total Base + Performance Incentive Estimates</t>
  </si>
  <si>
    <t>Process Steps for PSE</t>
  </si>
  <si>
    <t>Send the following to PSE:</t>
  </si>
  <si>
    <t>2. Facility Guide document</t>
  </si>
  <si>
    <t>Paying the Base Grant</t>
  </si>
  <si>
    <t>Paying the Performance Grant</t>
  </si>
  <si>
    <t>4. If savings are much lower than expected (&lt;base), contact a PSE Controls SME.</t>
  </si>
  <si>
    <t>5. If savings are reasonable (&gt;base), notify the customer and contractor of the final savings and associated performance grant amount.</t>
  </si>
  <si>
    <t>DSMc Measures</t>
  </si>
  <si>
    <t>Sequence details have interpretive elements, are not verbatim code. Do we remove interpretive elements?</t>
  </si>
  <si>
    <t>Annotated Trend Example</t>
  </si>
  <si>
    <t>6. With customer/contractor approval, submit the final performance payment request for QC review regardless of size.</t>
  </si>
  <si>
    <t>Could just have code section by sequence</t>
  </si>
  <si>
    <t>Duct static pressure (DSP) reset based on load - C403.6.8</t>
  </si>
  <si>
    <t>Demand controlled ventilation (DCV) with single zone system - C403.7.1</t>
  </si>
  <si>
    <t>Room space temperatures setpoints deadband - C403.4.1.2</t>
  </si>
  <si>
    <t>Hot water temperature (HWT) reset based on load - C403.4.4</t>
  </si>
  <si>
    <t>Efficient boiler modulation and staging - C403.4.3</t>
  </si>
  <si>
    <t>Analytics - AI and/or Fault Detection &amp; Diagnostics - C403.2.3</t>
  </si>
  <si>
    <t>DCV for multi-zone spaces (with PSE approval) - C403.7.1</t>
  </si>
  <si>
    <t>Water-side economizer for chilled water plant - C403.5.4</t>
  </si>
  <si>
    <t>v3.5</t>
  </si>
  <si>
    <t>Removed hyperlinks and sequence details</t>
  </si>
  <si>
    <t>Updated some of the SoW language</t>
  </si>
  <si>
    <t>Door contacts/switches for mechanical system shut off - C403.4.1.6</t>
  </si>
  <si>
    <t xml:space="preserve">non-Central Plant Sequences </t>
  </si>
  <si>
    <t xml:space="preserve">temporarily operate the system to maintain zone temperatures down to 55°F (13°C) or up to 85°F (29°C). </t>
  </si>
  <si>
    <t xml:space="preserve">capable of starting and stopping the system for seven different daily schedules per week and retaining their </t>
  </si>
  <si>
    <t xml:space="preserve">programming and time setting during a loss of power for at least 10 hours. Additionally, the controls shall </t>
  </si>
  <si>
    <t xml:space="preserve">have a manual override that allows temporary operation of the system for up to 2 hours; a manually </t>
  </si>
  <si>
    <t xml:space="preserve">operated timer configured to operate the system for up to 2 hours; or an occupancy sensor. </t>
  </si>
  <si>
    <r>
      <rPr>
        <b/>
        <sz val="11"/>
        <color theme="1"/>
        <rFont val="Calibri"/>
        <family val="2"/>
        <scheme val="minor"/>
      </rPr>
      <t>C403.4.2.2</t>
    </r>
    <r>
      <rPr>
        <sz val="11"/>
        <color theme="1"/>
        <rFont val="Calibri"/>
        <family val="2"/>
        <scheme val="minor"/>
      </rPr>
      <t xml:space="preserve"> </t>
    </r>
    <r>
      <rPr>
        <b/>
        <sz val="11"/>
        <color theme="1"/>
        <rFont val="Calibri"/>
        <family val="2"/>
        <scheme val="minor"/>
      </rPr>
      <t>Automatic setback and shutdown</t>
    </r>
    <r>
      <rPr>
        <sz val="11"/>
        <color theme="1"/>
        <rFont val="Calibri"/>
        <family val="2"/>
        <scheme val="minor"/>
      </rPr>
      <t xml:space="preserve">. Automatic time clock or programmable controls shall be </t>
    </r>
  </si>
  <si>
    <t>Automated start/stop for warm-up and for cool-down - C403.4.2.3</t>
  </si>
  <si>
    <t>Automated Start and Stop</t>
  </si>
  <si>
    <t xml:space="preserve">system. The automatic start controls shall be configured to automatically adjust the daily start time of the </t>
  </si>
  <si>
    <t>HVAC system in order to bring each space to the desired occupied temperature immediately prior to</t>
  </si>
  <si>
    <t xml:space="preserve">scheduled occupancy. Automated stop controls shall be provided for each HVAC system with direct digital </t>
  </si>
  <si>
    <t xml:space="preserve">control of individual zones. The automatic stop controls shall be configured to reduce the HVAC system’s </t>
  </si>
  <si>
    <t xml:space="preserve">heating temperature set point and increase the cooling temperature set point by at least 2°F (1.1°C) before </t>
  </si>
  <si>
    <t xml:space="preserve">scheduled unoccupied periods based upon the thermal lag and acceptable drift in space temperature that is </t>
  </si>
  <si>
    <t xml:space="preserve">within comfort limits. </t>
  </si>
  <si>
    <r>
      <rPr>
        <b/>
        <sz val="11"/>
        <color theme="1"/>
        <rFont val="Calibri"/>
        <family val="2"/>
        <scheme val="minor"/>
      </rPr>
      <t xml:space="preserve">C403.4.2.3 Automatic start and stop. </t>
    </r>
    <r>
      <rPr>
        <sz val="11"/>
        <color theme="1"/>
        <rFont val="Calibri"/>
        <family val="2"/>
        <scheme val="minor"/>
      </rPr>
      <t xml:space="preserve">Automatic start and stop controls shall be provided for each HVAC </t>
    </r>
  </si>
  <si>
    <t>Thermostatic Setback - C403.4.2.1</t>
  </si>
  <si>
    <t>Thermostatic Setback</t>
  </si>
  <si>
    <r>
      <rPr>
        <b/>
        <sz val="11"/>
        <color theme="1"/>
        <rFont val="Calibri"/>
        <family val="2"/>
        <scheme val="minor"/>
      </rPr>
      <t>C403.4.2.1 Thermostatic setback.</t>
    </r>
    <r>
      <rPr>
        <sz val="11"/>
        <color theme="1"/>
        <rFont val="Calibri"/>
        <family val="2"/>
        <scheme val="minor"/>
      </rPr>
      <t xml:space="preserve"> Thermostatic setback controls shall be configured to set back or </t>
    </r>
  </si>
  <si>
    <t>Supply-air temperature reset</t>
  </si>
  <si>
    <t>Supply air temperature (SAT) reset - C403.6.4</t>
  </si>
  <si>
    <t xml:space="preserve">are capable of and configured to automatically reset the supply-air temperature in response to representative </t>
  </si>
  <si>
    <t xml:space="preserve">building loads, or to outdoor air temperature. The controls shall be configured to reset the supply air </t>
  </si>
  <si>
    <t xml:space="preserve">temperature at least 25 percent of the difference between the design supply-air temperature and the design  </t>
  </si>
  <si>
    <t xml:space="preserve">room air temperature. Controls that adjust the reset based on zone humidity are allowed. HVAC zones that </t>
  </si>
  <si>
    <t xml:space="preserve">are expected to experience relatively constant loads shall have maximum airflow designed to accommodate </t>
  </si>
  <si>
    <t xml:space="preserve">the fully reset supply air temperature. </t>
  </si>
  <si>
    <t xml:space="preserve">Exceptions: </t>
  </si>
  <si>
    <t xml:space="preserve">1. Systems that prevent reheating, recooling or mixing of heated and cooled supply air. </t>
  </si>
  <si>
    <t xml:space="preserve">2. Seventy-five percent (75%) of the energy for reheating is from a site-recovered source. </t>
  </si>
  <si>
    <r>
      <rPr>
        <b/>
        <sz val="11"/>
        <color theme="1"/>
        <rFont val="Calibri"/>
        <family val="2"/>
        <scheme val="minor"/>
      </rPr>
      <t xml:space="preserve">C403.6.4 Supply-air temperature reset controls. </t>
    </r>
    <r>
      <rPr>
        <sz val="11"/>
        <color theme="1"/>
        <rFont val="Calibri"/>
        <family val="2"/>
        <scheme val="minor"/>
      </rPr>
      <t xml:space="preserve">Multiple zone HVAC systems shall include controls that </t>
    </r>
  </si>
  <si>
    <t>2021 Washington State Energy Code Sequence Sections</t>
  </si>
  <si>
    <t>Duct Static Pressure Reset Based on Load</t>
  </si>
  <si>
    <t xml:space="preserve">reporting to the central control panel, the static pressure set point shall be reset based on the zone requiring </t>
  </si>
  <si>
    <t xml:space="preserve">the most pressure. In such cases, the set point is reset lower until one zone damper is nearly wide open. The </t>
  </si>
  <si>
    <t xml:space="preserve">direct digital controls shall be capable of monitoring zone damper positions or shall have an alternative </t>
  </si>
  <si>
    <t xml:space="preserve">method of indicating the need for static pressure that is configured to provide all of the following: </t>
  </si>
  <si>
    <t xml:space="preserve">1. Automatically detecting any zone that excessively drives the reset logic. </t>
  </si>
  <si>
    <t xml:space="preserve">2. Generating an alarm to the system operational location. </t>
  </si>
  <si>
    <t>3. Allowing an operator to readily remove one or more zones from the reset algorithm.</t>
  </si>
  <si>
    <r>
      <rPr>
        <b/>
        <sz val="11"/>
        <color theme="1"/>
        <rFont val="Calibri"/>
        <family val="2"/>
        <scheme val="minor"/>
      </rPr>
      <t>C403.6.8 Set points for direct digital control.</t>
    </r>
    <r>
      <rPr>
        <sz val="11"/>
        <color theme="1"/>
        <rFont val="Calibri"/>
        <family val="2"/>
        <scheme val="minor"/>
      </rPr>
      <t xml:space="preserve"> For systems with direct digital control of individual zones </t>
    </r>
  </si>
  <si>
    <t>Demand Control Ventilation</t>
  </si>
  <si>
    <t xml:space="preserve">C403.7.1 Demand control ventilation.  </t>
  </si>
  <si>
    <t xml:space="preserve">provided for the following: </t>
  </si>
  <si>
    <t xml:space="preserve">1. Spaces with ventilation provided by single-zone systems where an air economizer is provided to </t>
  </si>
  <si>
    <t xml:space="preserve">comply with Section C403.5. </t>
  </si>
  <si>
    <t xml:space="preserve">2. Spaces with an occupant load greater than or equal to 15 people per 1000 square feet (93 m2) of floor </t>
  </si>
  <si>
    <t xml:space="preserve">area (as established in Table 403.3.1.1 of the International Mechanical Code) or with an occupant </t>
  </si>
  <si>
    <t xml:space="preserve">outdoor airflow rate greater than or equal to 15 cfm/person, as established in Table 403.3.1.1 of the </t>
  </si>
  <si>
    <t xml:space="preserve">International Mechanical Code. </t>
  </si>
  <si>
    <t xml:space="preserve">Exceptions:  </t>
  </si>
  <si>
    <t xml:space="preserve">1. Spaces including, but not limited to, dining areas, where more than 75 percent of the space design </t>
  </si>
  <si>
    <t xml:space="preserve">outdoor airflow is transfer air required for makeup air supplying an adjacent commercial kitchen. </t>
  </si>
  <si>
    <t xml:space="preserve">2. Spaces with one of the following occupancy classifications as defined in Table 403.3.1.1 of the </t>
  </si>
  <si>
    <t xml:space="preserve">International Mechanical Code: Correctional cells, educational laboratories, barbers, beauty and nail </t>
  </si>
  <si>
    <t xml:space="preserve">salons, and bowling alley seating. </t>
  </si>
  <si>
    <t xml:space="preserve">3. Dormitory sleeping areas with fewer than five occupants per space. </t>
  </si>
  <si>
    <t xml:space="preserve">4. Spaces with ventilation not provided by a single-zone system where the design occupant component </t>
  </si>
  <si>
    <t xml:space="preserve">outdoor airflow is less than 100 cfm (23.6 L/s), or 200 cfm (47.2 L/s) with system having energy </t>
  </si>
  <si>
    <t xml:space="preserve">recovery with minimum 60 percent sensible effectiveness. Design occupant component outdoor </t>
  </si>
  <si>
    <t xml:space="preserve">airflow shall be calculated as the product of the design number of occupants in the space and the </t>
  </si>
  <si>
    <r>
      <rPr>
        <b/>
        <sz val="11"/>
        <color theme="1"/>
        <rFont val="Calibri"/>
        <family val="2"/>
        <scheme val="minor"/>
      </rPr>
      <t>C403.7.1.1 Spaces requiring demand control ventilation.</t>
    </r>
    <r>
      <rPr>
        <sz val="11"/>
        <color theme="1"/>
        <rFont val="Calibri"/>
        <family val="2"/>
        <scheme val="minor"/>
      </rPr>
      <t xml:space="preserve"> Demand control ventilation (DCV) shall be </t>
    </r>
  </si>
  <si>
    <t xml:space="preserve">people outdoor airflow rate per occupant (Rp) as established in Table 403.3.1.1 of the International </t>
  </si>
  <si>
    <t xml:space="preserve">Mechanical Code. </t>
  </si>
  <si>
    <t xml:space="preserve">5. Spaces with ventilation not provided by a single-zone system where the total system design outdoor </t>
  </si>
  <si>
    <t xml:space="preserve">airflow is less than 750 cfm (354 L/s), or 1500 cfm (708 L/s) with system having energy recovery with </t>
  </si>
  <si>
    <t xml:space="preserve">minimum 60 percent sensible effectiveness. </t>
  </si>
  <si>
    <t xml:space="preserve">shall have equipment and controls capable of and configured to automatically change the quantity of </t>
  </si>
  <si>
    <t xml:space="preserve">outdoor air supplied to the space based upon the output of a CO2 sensor. System outdoor air intake shall be </t>
  </si>
  <si>
    <t xml:space="preserve">adjusted from peak design levels in response to changes in outdoor air required in the spaces served by the </t>
  </si>
  <si>
    <t xml:space="preserve">system. This adjustment shall be accomplished by variable speed fan control. </t>
  </si>
  <si>
    <t xml:space="preserve">1. Single zone systems designed to recirculate return air. </t>
  </si>
  <si>
    <t xml:space="preserve">2. Systems with total supply air less than 1500 cfm (708 L/s). </t>
  </si>
  <si>
    <r>
      <rPr>
        <b/>
        <sz val="11"/>
        <color theme="1"/>
        <rFont val="Calibri"/>
        <family val="2"/>
        <scheme val="minor"/>
      </rPr>
      <t xml:space="preserve">C403.7.1.2 Demand control ventilation design. </t>
    </r>
    <r>
      <rPr>
        <sz val="11"/>
        <color theme="1"/>
        <rFont val="Calibri"/>
        <family val="2"/>
        <scheme val="minor"/>
      </rPr>
      <t xml:space="preserve">Each space required to have demand control ventilation </t>
    </r>
  </si>
  <si>
    <r>
      <rPr>
        <b/>
        <sz val="11"/>
        <color theme="1"/>
        <rFont val="Calibri"/>
        <family val="2"/>
        <scheme val="minor"/>
      </rPr>
      <t>Exception:</t>
    </r>
    <r>
      <rPr>
        <sz val="11"/>
        <color theme="1"/>
        <rFont val="Calibri"/>
        <family val="2"/>
        <scheme val="minor"/>
      </rPr>
      <t xml:space="preserve"> These system types may use other means of adjusting outdoor air: </t>
    </r>
  </si>
  <si>
    <t>Upgrade to VFD</t>
  </si>
  <si>
    <t xml:space="preserve">power, including the motor service factor, totaling 5 hp (3.7 kW) or more shall have controls and devices </t>
  </si>
  <si>
    <t xml:space="preserve">configured to automatically modulate the fan speed to control the leaving fluid temperature or condensing </t>
  </si>
  <si>
    <t xml:space="preserve">temperature and pressure of the heat rejection device. Fan motor power input shall be not more than 30 </t>
  </si>
  <si>
    <t xml:space="preserve">percent of design wattage at 50 percent of the design airflow. </t>
  </si>
  <si>
    <t xml:space="preserve">1. Fans serving multiple refrigerant or fluid cooling circuits. </t>
  </si>
  <si>
    <r>
      <rPr>
        <b/>
        <sz val="11"/>
        <color theme="1"/>
        <rFont val="Calibri"/>
        <family val="2"/>
        <scheme val="minor"/>
      </rPr>
      <t xml:space="preserve">C403.9.1.1 Fan speed control. </t>
    </r>
    <r>
      <rPr>
        <sz val="11"/>
        <color theme="1"/>
        <rFont val="Calibri"/>
        <family val="2"/>
        <scheme val="minor"/>
      </rPr>
      <t xml:space="preserve">Each fan powered by an individual motor or array of motors with a connected </t>
    </r>
  </si>
  <si>
    <t>Zone Box Air &amp; Temp Controls</t>
  </si>
  <si>
    <t xml:space="preserve">shall be VAV systems that have zone controls configured to reduce the volume of air that is reheated, </t>
  </si>
  <si>
    <t xml:space="preserve">recooled or mixed in each zone to one of the following: </t>
  </si>
  <si>
    <t xml:space="preserve">1. Twenty percent of the zone design peak supply for systems with direct digital control (DDC) and thirty </t>
  </si>
  <si>
    <t xml:space="preserve">percent of the maximum supply air for other systems.  </t>
  </si>
  <si>
    <t xml:space="preserve">2. Systems with DDC where items 2.1 through 2.3 apply. </t>
  </si>
  <si>
    <t xml:space="preserve">2.1 The airflow rate in the dead band between heating and cooling does not exceed 20 percent of the </t>
  </si>
  <si>
    <t xml:space="preserve">zone design peak supply rate or higher allowed rates under items 3, 4 or 5 of this section. </t>
  </si>
  <si>
    <t xml:space="preserve">2.2 The first stage of heating modulates the zone supply air temperature set point up to a maximum set </t>
  </si>
  <si>
    <t xml:space="preserve">point while the airflow is maintained at the dead band flow rate. </t>
  </si>
  <si>
    <t xml:space="preserve">2.3 The second stage of heating modulates the airflow rate from the dead band flow rate up to the </t>
  </si>
  <si>
    <t>heating maximum flow rate that is less than 50 percent of the zone design peak supply rate.</t>
  </si>
  <si>
    <r>
      <rPr>
        <b/>
        <sz val="11"/>
        <color theme="1"/>
        <rFont val="Calibri"/>
        <family val="2"/>
        <scheme val="minor"/>
      </rPr>
      <t>C403.6.1 Variable air volume (VAV) and multiple zone systems.</t>
    </r>
    <r>
      <rPr>
        <sz val="11"/>
        <color theme="1"/>
        <rFont val="Calibri"/>
        <family val="2"/>
        <scheme val="minor"/>
      </rPr>
      <t xml:space="preserve"> Supply air systems serving multiple zones </t>
    </r>
  </si>
  <si>
    <t xml:space="preserve">3. The outdoor airflow rate required to meet the minimum ventilation requirements of Chapter 4 of the </t>
  </si>
  <si>
    <t xml:space="preserve">4. Any higher rate that can be demonstrated to reduce overall system annual energy use by offsetting </t>
  </si>
  <si>
    <t xml:space="preserve">reheat/recool energy losses through a reduction in outdoor air intake for the system as approved by the </t>
  </si>
  <si>
    <t xml:space="preserve">code official. </t>
  </si>
  <si>
    <t xml:space="preserve">5. The airflow rate required to comply with applicable codes or accreditation standards such as pressure </t>
  </si>
  <si>
    <t xml:space="preserve">relationships or minimum air change rates. </t>
  </si>
  <si>
    <t xml:space="preserve">requirement for VAV control: </t>
  </si>
  <si>
    <t xml:space="preserve">1. Zones or supply air systems where not less than 75 percent of the energy for reheating or for </t>
  </si>
  <si>
    <t xml:space="preserve">providing warm air in mixing systems is provided from a site-recovered source, including </t>
  </si>
  <si>
    <t xml:space="preserve">condenser heat. </t>
  </si>
  <si>
    <t xml:space="preserve">2. Systems that prevent reheating, recooling, mixing or simultaneous supply of air that has been </t>
  </si>
  <si>
    <t xml:space="preserve">previously cooled, either mechanically or through the use of economizer systems, and air that has </t>
  </si>
  <si>
    <t xml:space="preserve">been previously mechanically heated.  </t>
  </si>
  <si>
    <t xml:space="preserve">3. .Ventilation systems complying with Section C403.3.5, DOAS, with ventilation rates complying </t>
  </si>
  <si>
    <t xml:space="preserve">with Section C403.2.2. </t>
  </si>
  <si>
    <r>
      <rPr>
        <b/>
        <sz val="11"/>
        <color theme="1"/>
        <rFont val="Calibri"/>
        <family val="2"/>
        <scheme val="minor"/>
      </rPr>
      <t>Exception:</t>
    </r>
    <r>
      <rPr>
        <sz val="11"/>
        <color theme="1"/>
        <rFont val="Calibri"/>
        <family val="2"/>
        <scheme val="minor"/>
      </rPr>
      <t xml:space="preserve"> The following individual zones or entire air distribution systems are exempted from the </t>
    </r>
  </si>
  <si>
    <t xml:space="preserve">cooling system and be configured to provide partial cooling even where additional mechanical cooling is </t>
  </si>
  <si>
    <t xml:space="preserve">required to provide the remainder of the cooling load. Controls shall not be capable of creating a false load in </t>
  </si>
  <si>
    <t xml:space="preserve">the mechanical cooling system by limiting or disabling the economizer or any other means, such as hot gas </t>
  </si>
  <si>
    <t xml:space="preserve">bypass, except at the lowest stage of mechanical cooling. </t>
  </si>
  <si>
    <t xml:space="preserve">  Units that include an air economizer shall comply with the following: </t>
  </si>
  <si>
    <t xml:space="preserve">1. Unit controls shall have the mechanical cooling capacity control interlocked with the air economizer </t>
  </si>
  <si>
    <t xml:space="preserve">controls such that the outdoor air damper is at the 100 percent open position when mechanical </t>
  </si>
  <si>
    <t xml:space="preserve">cooling is on and the outdoor air damper does not begin to close to prevent coil freezing due to </t>
  </si>
  <si>
    <t xml:space="preserve">minimum compressor run time until the leaving air temperature is less than 45°F (7°C). </t>
  </si>
  <si>
    <t xml:space="preserve">2. Direct expansion (DX) units with cooling capacity 65,000 Btu/H (19 kW) or greater of rated capacity </t>
  </si>
  <si>
    <t xml:space="preserve">shall comply with the following: </t>
  </si>
  <si>
    <t xml:space="preserve">2.1. DX units that control the capacity of the mechanical cooling directly based on occupied space </t>
  </si>
  <si>
    <t xml:space="preserve">temperature shall have not fewer than two stages of mechanical cooling capacity. </t>
  </si>
  <si>
    <t xml:space="preserve">2.2. Other DX units, including those that control space temperature by modulating the airflow to the </t>
  </si>
  <si>
    <t xml:space="preserve">space, shall be in accordance with Table C403.5.1. </t>
  </si>
  <si>
    <r>
      <rPr>
        <b/>
        <sz val="11"/>
        <color theme="1"/>
        <rFont val="Calibri"/>
        <family val="2"/>
        <scheme val="minor"/>
      </rPr>
      <t>C403.5.1 Integrated economizer control.</t>
    </r>
    <r>
      <rPr>
        <sz val="11"/>
        <color theme="1"/>
        <rFont val="Calibri"/>
        <family val="2"/>
        <scheme val="minor"/>
      </rPr>
      <t xml:space="preserve"> Economizer systems shall be integrated with the mechanical </t>
    </r>
  </si>
  <si>
    <t xml:space="preserve">with mechanical cooling equipment and shall not be controlled by only mixed air temperature. Air </t>
  </si>
  <si>
    <t xml:space="preserve">economizers on systems with cooling capacity greater than 65,000 Btu/h shall be configured to provide </t>
  </si>
  <si>
    <t xml:space="preserve">partial cooling even when additional mechanical cooling is required to meet the remainder of the cooling </t>
  </si>
  <si>
    <t xml:space="preserve">load. </t>
  </si>
  <si>
    <t xml:space="preserve">controlled from space temperature (such as single zone systems) and having cooling capacity less than </t>
  </si>
  <si>
    <t xml:space="preserve">65,000 Btu/h. </t>
  </si>
  <si>
    <t xml:space="preserve">intake to the design minimum outdoor air quantity when outdoor air intake will no longer reduce cooling </t>
  </si>
  <si>
    <t xml:space="preserve">energy usage. High-limit shutoff control types shall be chosen from Table C403.5.3.3. High-limit shutoff </t>
  </si>
  <si>
    <t xml:space="preserve">control settings for these control types shall be those specified in Table C403.5.3.3. </t>
  </si>
  <si>
    <r>
      <rPr>
        <b/>
        <sz val="11"/>
        <color theme="1"/>
        <rFont val="Calibri"/>
        <family val="2"/>
        <scheme val="minor"/>
      </rPr>
      <t>C403.5.3.2 Control signal.</t>
    </r>
    <r>
      <rPr>
        <sz val="11"/>
        <color theme="1"/>
        <rFont val="Calibri"/>
        <family val="2"/>
        <scheme val="minor"/>
      </rPr>
      <t xml:space="preserve"> Economizer controls and dampers shall be configured to sequence the dampers </t>
    </r>
  </si>
  <si>
    <r>
      <rPr>
        <b/>
        <sz val="11"/>
        <color theme="1"/>
        <rFont val="Calibri"/>
        <family val="2"/>
        <scheme val="minor"/>
      </rPr>
      <t>Exception:</t>
    </r>
    <r>
      <rPr>
        <sz val="11"/>
        <color theme="1"/>
        <rFont val="Calibri"/>
        <family val="2"/>
        <scheme val="minor"/>
      </rPr>
      <t xml:space="preserve"> The use of mixed air temperature limit control shall be permitted for systems that are both </t>
    </r>
  </si>
  <si>
    <r>
      <rPr>
        <b/>
        <sz val="11"/>
        <color theme="1"/>
        <rFont val="Calibri"/>
        <family val="2"/>
        <scheme val="minor"/>
      </rPr>
      <t xml:space="preserve">C403.5.3.3 High-limit shutoff. </t>
    </r>
    <r>
      <rPr>
        <sz val="11"/>
        <color theme="1"/>
        <rFont val="Calibri"/>
        <family val="2"/>
        <scheme val="minor"/>
      </rPr>
      <t xml:space="preserve">Air economizers shall be configured to automatically reduce outdoor air </t>
    </r>
  </si>
  <si>
    <t>Room Space Temp Setpoints Deadband</t>
  </si>
  <si>
    <t xml:space="preserve">configured to provide a temperature range or dead band of at least 5°F (2.8°C) within which the supply of </t>
  </si>
  <si>
    <t xml:space="preserve">heating and cooling energy to the zone is shut off or reduced to a minimum. </t>
  </si>
  <si>
    <t xml:space="preserve">1. Thermostats requiring manual changeover between heating and cooling modes. </t>
  </si>
  <si>
    <t xml:space="preserve">2. Occupancies or applications requiring precision in indoor temperature control as approved by the </t>
  </si>
  <si>
    <r>
      <rPr>
        <b/>
        <sz val="11"/>
        <color theme="1"/>
        <rFont val="Calibri"/>
        <family val="2"/>
        <scheme val="minor"/>
      </rPr>
      <t>C403.4.1.2 Deadband.</t>
    </r>
    <r>
      <rPr>
        <sz val="11"/>
        <color theme="1"/>
        <rFont val="Calibri"/>
        <family val="2"/>
        <scheme val="minor"/>
      </rPr>
      <t xml:space="preserve"> Where used to control both heating and cooling, zone thermostatic controls shall be </t>
    </r>
  </si>
  <si>
    <t>Heat Pump Strip Heating Control</t>
  </si>
  <si>
    <t xml:space="preserve">resistance heaters shall have controls that prevent supplemental heater operation when the heating load </t>
  </si>
  <si>
    <t xml:space="preserve">can be met by the heat pump alone during both steady-state operation and setback recovery. Supplemental </t>
  </si>
  <si>
    <t xml:space="preserve">heart operation is permitted during outdoor coil defrost cycles. Heat pumps equipped with supplemental </t>
  </si>
  <si>
    <t xml:space="preserve">heaters shall comply with all conditions of Section C403.1.4. </t>
  </si>
  <si>
    <t xml:space="preserve">1. Packaged terminal heat pumps (PTHPs) of less than 2 tons (24,000 Btu/hr) cooling capacity and </t>
  </si>
  <si>
    <t xml:space="preserve">whose ratings meet the requirements shown in Table C403.3.2(4) that have reverse-cycle demand </t>
  </si>
  <si>
    <t xml:space="preserve">defrost and are configured to operate in heat pump mode whenever the outdoor air temperatures </t>
  </si>
  <si>
    <t xml:space="preserve">are above 25°F  </t>
  </si>
  <si>
    <t xml:space="preserve">(-3.9°C) and the unit is not in defrost. </t>
  </si>
  <si>
    <t xml:space="preserve">2. Heat pumps whose minimum efficiency is regulated by NAECA and whose ratings meet the </t>
  </si>
  <si>
    <t xml:space="preserve">requirements shown in Table C403.3.2(2) and include all usage of internal electric resistance </t>
  </si>
  <si>
    <t xml:space="preserve">heating. </t>
  </si>
  <si>
    <r>
      <rPr>
        <b/>
        <sz val="11"/>
        <color theme="1"/>
        <rFont val="Calibri"/>
        <family val="2"/>
        <scheme val="minor"/>
      </rPr>
      <t>C403.4.1.1 Heat pump supplementary heat control.</t>
    </r>
    <r>
      <rPr>
        <sz val="11"/>
        <color theme="1"/>
        <rFont val="Calibri"/>
        <family val="2"/>
        <scheme val="minor"/>
      </rPr>
      <t xml:space="preserve"> Heat pumps equipped with internal electric </t>
    </r>
  </si>
  <si>
    <t>HEAT PUMPS ONLY: Heat pump strip heating control - C403.4.1.1</t>
  </si>
  <si>
    <t xml:space="preserve">rate greater than 5,000 cfm (2,360 L/s) shall include heat recovery systems to preconditioned replacement </t>
  </si>
  <si>
    <t xml:space="preserve">air from laboratory exhaust. The heat recovery system shall be capable of increasing the outside air supply </t>
  </si>
  <si>
    <t xml:space="preserve">temperature at design heating conditions by 25°F (13.9°C). A provision shall be made to bypass or control </t>
  </si>
  <si>
    <t xml:space="preserve">the heat recovery system to permit air economizer operation as required by Section C403.5. </t>
  </si>
  <si>
    <t xml:space="preserve">1. Variable air volume laboratory exhaust and room supply systems configured to reduce exhaust </t>
  </si>
  <si>
    <t xml:space="preserve">and make-up air volume to 50% or less of design values; or </t>
  </si>
  <si>
    <t xml:space="preserve">2. Direct make-up (auxiliary) air supply equal to at least 75% of the exhaust rate, heated no warmer </t>
  </si>
  <si>
    <t xml:space="preserve">than 2°F (1.1°C) below room set point, cooled to no cooler than 3°F (1.7°C) above room set point, </t>
  </si>
  <si>
    <t xml:space="preserve">no humidification added, and no simultaneous heating and cooling used for dehumidification </t>
  </si>
  <si>
    <t xml:space="preserve">control; or </t>
  </si>
  <si>
    <t xml:space="preserve">3. Combined energy reduction method: VAV exhaust and room supply system configured to reduce </t>
  </si>
  <si>
    <t xml:space="preserve">exhaust and makeup air volumes and a heat recovery system to precondition makeup air from </t>
  </si>
  <si>
    <t xml:space="preserve">laboratory exhaust that when combined will produce the same energy reduction as achieved by a </t>
  </si>
  <si>
    <t xml:space="preserve">heat recovery system with a 50% sensible recovery effectiveness as required above. For </t>
  </si>
  <si>
    <t xml:space="preserve">calculation purposes, the heat recovery component can be assumed to include the maximum </t>
  </si>
  <si>
    <t xml:space="preserve">design supply airflow rate at design conditions. The combined energy reduction (QER) shall meet </t>
  </si>
  <si>
    <t xml:space="preserve">the following:  </t>
  </si>
  <si>
    <t xml:space="preserve">QER ≥ QMIN </t>
  </si>
  <si>
    <t xml:space="preserve">QMIN = CFMS x (TR - TO) x 1.1 x 0.6 </t>
  </si>
  <si>
    <t xml:space="preserve">QER = CFMS x (TR -  TO) x 1.1(A+B)/100 </t>
  </si>
  <si>
    <t xml:space="preserve">Where: </t>
  </si>
  <si>
    <t xml:space="preserve">QMIN = Energy recovery at 60% sensible effectiveness (Btu/h) </t>
  </si>
  <si>
    <t xml:space="preserve">QER = Combined energy reduction (Btu/h) </t>
  </si>
  <si>
    <t xml:space="preserve">CFMS = The maximum design supply airflow rate to conditioned spaces served by the </t>
  </si>
  <si>
    <t xml:space="preserve">system in cubic feet per minute </t>
  </si>
  <si>
    <t xml:space="preserve">TR = Space return air dry bulb at winter design conditions </t>
  </si>
  <si>
    <t xml:space="preserve">TO = Outdoor air dry bulb at winter design conditions </t>
  </si>
  <si>
    <t xml:space="preserve">A = Percentage that the exhaust and makeup air volumes can be reduced from design </t>
  </si>
  <si>
    <t xml:space="preserve">conditions </t>
  </si>
  <si>
    <t xml:space="preserve">B = Percentage sensible heat recovery effectiveness </t>
  </si>
  <si>
    <r>
      <rPr>
        <b/>
        <sz val="11"/>
        <color theme="1"/>
        <rFont val="Calibri"/>
        <family val="2"/>
        <scheme val="minor"/>
      </rPr>
      <t>C403.7.7.2 Laboratory exhaust systems.</t>
    </r>
    <r>
      <rPr>
        <sz val="11"/>
        <color theme="1"/>
        <rFont val="Calibri"/>
        <family val="2"/>
        <scheme val="minor"/>
      </rPr>
      <t xml:space="preserve"> Buildings with laboratory exhaust systems having a total exhaust </t>
    </r>
  </si>
  <si>
    <t>LABS ONLY: Exhaust and OA ventilation reduction - C403.7.7.2</t>
  </si>
  <si>
    <t>Lab Exhaust and OA Ventilation Reduction</t>
  </si>
  <si>
    <t xml:space="preserve">loop with central devices for heat rejection and heat addition shall have controls that are configured to </t>
  </si>
  <si>
    <t xml:space="preserve">provide a heat pump water supply temperature dead band of at least 20°F (11.1°C) between initiation of </t>
  </si>
  <si>
    <t xml:space="preserve">heat rejection and heat addition by the central devices. </t>
  </si>
  <si>
    <t xml:space="preserve">Exception: Where a system loop temperature optimization controller is installed and can determine the </t>
  </si>
  <si>
    <t xml:space="preserve">most efficient operating temperature based on real time conditions of demand and capacity, dead bands </t>
  </si>
  <si>
    <t xml:space="preserve">of less than 20°F (11°C) shall be permitted. </t>
  </si>
  <si>
    <r>
      <rPr>
        <b/>
        <sz val="11"/>
        <color theme="1"/>
        <rFont val="Calibri"/>
        <family val="2"/>
        <scheme val="minor"/>
      </rPr>
      <t>C403.4.3.3.1 Temperature dead band.</t>
    </r>
    <r>
      <rPr>
        <sz val="11"/>
        <color theme="1"/>
        <rFont val="Calibri"/>
        <family val="2"/>
        <scheme val="minor"/>
      </rPr>
      <t xml:space="preserve"> Hydronic heat pumps connected to a common heat pump water </t>
    </r>
  </si>
  <si>
    <t>WSHP Loop Temp Setpoints Deadband</t>
  </si>
  <si>
    <t>WSHP loop temperature setpoints deadband - C403.4.3.3</t>
  </si>
  <si>
    <t xml:space="preserve">system power exceeding 10 horsepower (hp) (7.5 kW) shall have a two-way (but not three-way) valve. For </t>
  </si>
  <si>
    <t xml:space="preserve">the purposes of this section, pump system power is the sum of the nominal power demand (i.e., </t>
  </si>
  <si>
    <t xml:space="preserve">nameplate horsepower at nominal motor efficiency) of motors of all pumps that are required to operate at </t>
  </si>
  <si>
    <t xml:space="preserve">design conditions to supply fluid from the heating or cooling source to all heat transfer devices (e.g., coils, </t>
  </si>
  <si>
    <t xml:space="preserve">heat exchanger) and return it to the source. This converts the system into a variable flow system and, as </t>
  </si>
  <si>
    <t>such, the primary circulation pumps shall comply with the variable flow requirements in Section C403.4.6.</t>
  </si>
  <si>
    <r>
      <rPr>
        <b/>
        <sz val="11"/>
        <color theme="1"/>
        <rFont val="Calibri"/>
        <family val="2"/>
        <scheme val="minor"/>
      </rPr>
      <t>C403.4.3.3.3 Isolation valve.</t>
    </r>
    <r>
      <rPr>
        <sz val="11"/>
        <color theme="1"/>
        <rFont val="Calibri"/>
        <family val="2"/>
        <scheme val="minor"/>
      </rPr>
      <t xml:space="preserve"> Each hydronic heat pump on the hydronic system having a total pump </t>
    </r>
  </si>
  <si>
    <t>Efficient Cooling Tower Operation</t>
  </si>
  <si>
    <t xml:space="preserve">1. Where a closed-circuit cooling tower is used directly in the heat pump loop, either an automatic </t>
  </si>
  <si>
    <t xml:space="preserve">valve shall be installed to bypass the flow of water around the closed-circuit cooling tower, except </t>
  </si>
  <si>
    <t xml:space="preserve">for the minimum flow necessary for freeze protection. Flow controls for freeze protection shall not </t>
  </si>
  <si>
    <t xml:space="preserve">allow water through the closed-circuit cooling tower when outdoor temperatures are above the </t>
  </si>
  <si>
    <t xml:space="preserve">freezing point of the glycol/water solution, i.e. 32°F (0°C) for 100 percent water applications, and </t>
  </si>
  <si>
    <t xml:space="preserve">18°F (-7.8°C) for 20 percent by mass propylene glycol solution. </t>
  </si>
  <si>
    <t xml:space="preserve">2. Where an open-circuit cooling tower is used directly in the heat pump loop, an automatic valve shall </t>
  </si>
  <si>
    <t>be installed to bypass all heat pump water flow around the open-circuit cooling tower.</t>
  </si>
  <si>
    <t xml:space="preserve">3. Where an open-circuit cooling tower is used in conjunction with a separate heat exchanger to </t>
  </si>
  <si>
    <t xml:space="preserve">isolate the open-circuit cooling tower from the heat pump loop, heat loss shall be controlled by </t>
  </si>
  <si>
    <t xml:space="preserve">shutting down the circulation pump on the cooling tower loop. </t>
  </si>
  <si>
    <t xml:space="preserve">Exception: Where it can be demonstrated that a heat pump system will be required to reject heat </t>
  </si>
  <si>
    <t xml:space="preserve">throughout the year. </t>
  </si>
  <si>
    <r>
      <rPr>
        <b/>
        <sz val="11"/>
        <color theme="1"/>
        <rFont val="Calibri"/>
        <family val="2"/>
        <scheme val="minor"/>
      </rPr>
      <t>C403.4.3.3.2 Heat rejection.</t>
    </r>
    <r>
      <rPr>
        <sz val="11"/>
        <color theme="1"/>
        <rFont val="Calibri"/>
        <family val="2"/>
        <scheme val="minor"/>
      </rPr>
      <t xml:space="preserve"> The following shall apply to hydronic water loop heat pump systems: </t>
    </r>
  </si>
  <si>
    <t xml:space="preserve">configured with multiple- or variable-speed condenser water pumps shall be designed so that all open circuit </t>
  </si>
  <si>
    <t xml:space="preserve">cooling tower cells can be run in parallel with the larger of the flow that is produced by the smallest pump at its </t>
  </si>
  <si>
    <t xml:space="preserve">minimum expected flow rate or at 50 percent of the design flow for the cell. </t>
  </si>
  <si>
    <r>
      <rPr>
        <b/>
        <sz val="11"/>
        <color theme="1"/>
        <rFont val="Calibri"/>
        <family val="2"/>
        <scheme val="minor"/>
      </rPr>
      <t>C403.9.1.4 Tower flow turndown.</t>
    </r>
    <r>
      <rPr>
        <sz val="11"/>
        <color theme="1"/>
        <rFont val="Calibri"/>
        <family val="2"/>
        <scheme val="minor"/>
      </rPr>
      <t xml:space="preserve"> Open-circuit cooling towers used on water-cooled chiller systems that are </t>
    </r>
  </si>
  <si>
    <t>Efficient cooling tower operation - C403.4.3.3.2 &amp; C403.9.1.4</t>
  </si>
  <si>
    <t>Chilled water temperature (CHWT) reset based on load - C403.4.4</t>
  </si>
  <si>
    <t xml:space="preserve">output capacity supplying heated or chilled water to comfort conditioning systems shall include controls that </t>
  </si>
  <si>
    <t xml:space="preserve">are configured to: </t>
  </si>
  <si>
    <t xml:space="preserve">1. Automatically reset the supply-water temperatures in response to varying building heating and cooling </t>
  </si>
  <si>
    <t xml:space="preserve">demand using coil valve position, zone-return water temperature or outdoor air temperature. The </t>
  </si>
  <si>
    <t xml:space="preserve">temperature shall be reset by not less than 25 percent of the design supply-to-return water temperature </t>
  </si>
  <si>
    <t xml:space="preserve">difference. </t>
  </si>
  <si>
    <t xml:space="preserve">1. Hydronic systems serving hydronic heat pumps. </t>
  </si>
  <si>
    <t xml:space="preserve">2. Hydronic systems with thermal energy storage where resetting the supply-water temperature </t>
  </si>
  <si>
    <t xml:space="preserve">would reduce the capacity of the storage. </t>
  </si>
  <si>
    <t xml:space="preserve">2. Automatically vary fluid flow for hydronic systems with a combined pump motor capacity of 2 hp or </t>
  </si>
  <si>
    <t xml:space="preserve">larger with three or more control valves or other devices by reducing the system design flow rate by not </t>
  </si>
  <si>
    <t xml:space="preserve">less than 50 percent or the maximum reduction allowed by the equipment manufacturer for proper </t>
  </si>
  <si>
    <t xml:space="preserve">operation of equipment by valves that modulate or step open and close, or pumps that modulate or turn </t>
  </si>
  <si>
    <t xml:space="preserve">on and off as a function of load. </t>
  </si>
  <si>
    <t xml:space="preserve">3. Automatically vary pump flow on heating water systems, chilled-water systems and heat rejection loops </t>
  </si>
  <si>
    <t xml:space="preserve">serving water-cooled unitary air conditioners as follows: </t>
  </si>
  <si>
    <t xml:space="preserve">3.1. Where pumps operate continuously or operate based on a time schedule, pumps with nominal </t>
  </si>
  <si>
    <t xml:space="preserve">output motor power of 2 hp or more shall have a variable speed drive. </t>
  </si>
  <si>
    <t xml:space="preserve">3.2. Where pumps have automatic direct digital control configured to operate pumps only when zone </t>
  </si>
  <si>
    <t xml:space="preserve">heating or cooling is required, a variable speed drive shall be provided for pumps with motors </t>
  </si>
  <si>
    <t xml:space="preserve">having the same or greater nominal output power indicated in Table C403.4.4 based on the climate </t>
  </si>
  <si>
    <t xml:space="preserve">zone and system served. </t>
  </si>
  <si>
    <t xml:space="preserve">4. Where a variable speed drive is required by Item 3 of this Section, pump motor power input shall be </t>
  </si>
  <si>
    <t xml:space="preserve">not more than 30 percent of design wattage at 50 percent of the design water flow. Pump flow shall be </t>
  </si>
  <si>
    <t xml:space="preserve">controlled to maintain one control valve nearly wide open or to satisfy the minimum differential </t>
  </si>
  <si>
    <t xml:space="preserve">pressure. </t>
  </si>
  <si>
    <t xml:space="preserve">1. Supply-water temperature reset is not required for chilled-water systems supplied by off-site district </t>
  </si>
  <si>
    <t xml:space="preserve">chilled water or chilled water from ice storage systems. </t>
  </si>
  <si>
    <t xml:space="preserve">2. Variable pump flow is not required on dedicated coil circulation pumps where needed for freeze </t>
  </si>
  <si>
    <t xml:space="preserve">protection. </t>
  </si>
  <si>
    <t xml:space="preserve">3. Variable pump flow is not required on dedicated equipment circulation pumps where configured in </t>
  </si>
  <si>
    <t xml:space="preserve">primary/secondary design to provide the minimum flow requirements of the equipment manufacturer </t>
  </si>
  <si>
    <t xml:space="preserve">for proper operation of equipment. </t>
  </si>
  <si>
    <t xml:space="preserve">4. Variable speed drives are not required on heating water pumps where more than 50 percent of </t>
  </si>
  <si>
    <t>annual heat is generated by an electric boiler.</t>
  </si>
  <si>
    <t>Chilled Water Temperature Reset &amp; Hot Water Temperature Reset</t>
  </si>
  <si>
    <r>
      <rPr>
        <b/>
        <sz val="11"/>
        <color theme="1"/>
        <rFont val="Calibri"/>
        <family val="2"/>
        <scheme val="minor"/>
      </rPr>
      <t>C403.4.4 Part load controls.</t>
    </r>
    <r>
      <rPr>
        <sz val="11"/>
        <color theme="1"/>
        <rFont val="Calibri"/>
        <family val="2"/>
        <scheme val="minor"/>
      </rPr>
      <t xml:space="preserve"> Hydronic systems greater than or equal to 300,000 Btu/h (88 kW) in design </t>
    </r>
  </si>
  <si>
    <t xml:space="preserve">Boiler and chiller plant lockout on OA temperature </t>
  </si>
  <si>
    <t xml:space="preserve">by individual thermostatic controls capable of responding to temperature within the zone. Controls in the same </t>
  </si>
  <si>
    <t xml:space="preserve">zone or in neighboring zones connected by openings larger than 10 percent of the floor area of either zone </t>
  </si>
  <si>
    <t xml:space="preserve">shall not allow for simultaneous heating and cooling. At a minimum, each floor of a building shall be </t>
  </si>
  <si>
    <t xml:space="preserve">considered as a separate zone. Controls on systems required to have economizers and serving single zones </t>
  </si>
  <si>
    <t xml:space="preserve">shall have multiple cooling stage capability and activate the economizer when appropriate as the first stage of </t>
  </si>
  <si>
    <t xml:space="preserve">cooling. See Section C403.5 for further economizer requirements. Where humidification or dehumidification or </t>
  </si>
  <si>
    <t xml:space="preserve">both is provided, at least one humidity control device shall be provided for each humidity control system. </t>
  </si>
  <si>
    <r>
      <rPr>
        <b/>
        <sz val="11"/>
        <color theme="1"/>
        <rFont val="Calibri"/>
        <family val="2"/>
        <scheme val="minor"/>
      </rPr>
      <t>C403.4.1 Thermostatic controls.</t>
    </r>
    <r>
      <rPr>
        <sz val="11"/>
        <color theme="1"/>
        <rFont val="Calibri"/>
        <family val="2"/>
        <scheme val="minor"/>
      </rPr>
      <t xml:space="preserve"> The supply of heating and cooling energy to each zone shall be controlled </t>
    </r>
  </si>
  <si>
    <t>Zone level scheduling &amp; limited time override - C403.4.1 &amp; C403.4.2.2</t>
  </si>
  <si>
    <t xml:space="preserve">and the cooling of fluids that have been previously mechanically heated shall be limited in accordance with </t>
  </si>
  <si>
    <t xml:space="preserve">Sections C403.4.3.1 through C403.4.3.3. Hydronic heating systems comprised of multiple-packaged boilers </t>
  </si>
  <si>
    <t xml:space="preserve">and designed to deliver conditioned water or steam into a common distribution system shall include automatic </t>
  </si>
  <si>
    <t xml:space="preserve">controls configured to sequence operation of the boilers. Hydronic heating systems comprised of a single </t>
  </si>
  <si>
    <t xml:space="preserve">boiler and greater than 500,000 Btu/h (146,550 W) input design capacity shall include either a multi-staged or </t>
  </si>
  <si>
    <t>modulating burner.</t>
  </si>
  <si>
    <r>
      <rPr>
        <b/>
        <sz val="11"/>
        <color theme="1"/>
        <rFont val="Calibri"/>
        <family val="2"/>
        <scheme val="minor"/>
      </rPr>
      <t>C403.4.3 Hydronic systems controls.</t>
    </r>
    <r>
      <rPr>
        <sz val="11"/>
        <color theme="1"/>
        <rFont val="Calibri"/>
        <family val="2"/>
        <scheme val="minor"/>
      </rPr>
      <t xml:space="preserve"> The heating of fluids that have been previously mechanically cooled </t>
    </r>
  </si>
  <si>
    <t>VAV Temp and Ventilation Setback</t>
  </si>
  <si>
    <t xml:space="preserve">direct digital control of individual zone boxes reporting to a central control panel shall have automatic controls </t>
  </si>
  <si>
    <t xml:space="preserve">configured to reduce outdoor air intake flow below design rates in response to changes in system ventilation </t>
  </si>
  <si>
    <t xml:space="preserve">efficiency (Ev) as defined by the International Mechanical Code. </t>
  </si>
  <si>
    <t xml:space="preserve">1. VAV systems with zonal transfer fans that recirculate air from other zones without directly mixing it </t>
  </si>
  <si>
    <t xml:space="preserve">with outdoor air, dual-duct dual-fan VAV systems, and VAV systems with fan-powered terminal units.  </t>
  </si>
  <si>
    <t xml:space="preserve">2. Systems where total design exhaust airflow is more than 70 percent of total design outdoor air intake </t>
  </si>
  <si>
    <t xml:space="preserve">flow requirements. </t>
  </si>
  <si>
    <t xml:space="preserve">shall have automatic controls configured to: </t>
  </si>
  <si>
    <t xml:space="preserve">1. Turn off the terminal fan except when space heating is required or where required for ventilation. </t>
  </si>
  <si>
    <t xml:space="preserve">2. Turn on the terminal fan as the first stage of heating before the heating coil is activated. </t>
  </si>
  <si>
    <t xml:space="preserve">3. During heating for warmup or setback temperature control, either: </t>
  </si>
  <si>
    <t xml:space="preserve">3.1. Operate the terminal fan and heating coil without primary air. </t>
  </si>
  <si>
    <t>3.2. Reverse the terminal damper logic and provide heating from the central air handler by primary air.</t>
  </si>
  <si>
    <r>
      <rPr>
        <b/>
        <sz val="11"/>
        <color theme="1"/>
        <rFont val="Calibri"/>
        <family val="2"/>
        <scheme val="minor"/>
      </rPr>
      <t>C403.6.5 Multiple-zone VAV system ventilation optimization control.</t>
    </r>
    <r>
      <rPr>
        <sz val="11"/>
        <color theme="1"/>
        <rFont val="Calibri"/>
        <family val="2"/>
        <scheme val="minor"/>
      </rPr>
      <t xml:space="preserve"> Multiple-zone VAV systems with </t>
    </r>
  </si>
  <si>
    <r>
      <rPr>
        <b/>
        <sz val="11"/>
        <color theme="1"/>
        <rFont val="Calibri"/>
        <family val="2"/>
        <scheme val="minor"/>
      </rPr>
      <t>C403.6.6 Parallel-flow fan-powered VAV air terminal control.</t>
    </r>
    <r>
      <rPr>
        <sz val="11"/>
        <color theme="1"/>
        <rFont val="Calibri"/>
        <family val="2"/>
        <scheme val="minor"/>
      </rPr>
      <t xml:space="preserve"> Parallel-flow fan-powered VAV air terminals </t>
    </r>
  </si>
  <si>
    <t xml:space="preserve">conditioned floor area of 100,000 square feet (9290 m2) or larger shall include a fault detection and </t>
  </si>
  <si>
    <t xml:space="preserve">diagnostics (FDD) system to monitor the HVAC system’s performance and automatically identify faults. The </t>
  </si>
  <si>
    <t xml:space="preserve">FDD system shall: </t>
  </si>
  <si>
    <t xml:space="preserve">1. Include permanently installed sensors and devices to monitor the HVAC system’s performance. </t>
  </si>
  <si>
    <t xml:space="preserve">2. Sample the HVAC system’s performance at least once every 15 minutes. </t>
  </si>
  <si>
    <t xml:space="preserve">3. Automatically identify and report HVAC system faults. </t>
  </si>
  <si>
    <t xml:space="preserve">4. Automatically notify authorized personnel of identified HVAC system faults. </t>
  </si>
  <si>
    <t xml:space="preserve">5. Automatically provide prioritized recommendations for repair of identified faults based on analysis of </t>
  </si>
  <si>
    <t xml:space="preserve">data collected from the sampling of HVAC system performance. </t>
  </si>
  <si>
    <t xml:space="preserve">6. Be capable of transmitting the prioritized fault repair recommendations to remotely located authorized </t>
  </si>
  <si>
    <t xml:space="preserve">personnel. </t>
  </si>
  <si>
    <r>
      <rPr>
        <b/>
        <sz val="11"/>
        <color theme="1"/>
        <rFont val="Calibri"/>
        <family val="2"/>
        <scheme val="minor"/>
      </rPr>
      <t>C403.2.3 Fault detection and diagnostics.</t>
    </r>
    <r>
      <rPr>
        <sz val="11"/>
        <color theme="1"/>
        <rFont val="Calibri"/>
        <family val="2"/>
        <scheme val="minor"/>
      </rPr>
      <t xml:space="preserve"> New buildings with an HVAC system serving a gross </t>
    </r>
  </si>
  <si>
    <t>AI and/or Fault Detection and Diagnostics</t>
  </si>
  <si>
    <t>Door Contacts/Switches for Mechanical System Shutoff</t>
  </si>
  <si>
    <t xml:space="preserve">meeting the minimum size criteria of Section C402.5.11 and that open to the outdoors from a conditioned </t>
  </si>
  <si>
    <t xml:space="preserve">space must have controls configured to do the following once doors have been open for 5 minutes: </t>
  </si>
  <si>
    <t xml:space="preserve">1. Disable the mechanical heating to the zone or reset the space heating temperature set point to 55 °F </t>
  </si>
  <si>
    <t xml:space="preserve">or less within 5 minutes of the door open enable signal. </t>
  </si>
  <si>
    <t xml:space="preserve">2. Disable the mechanical cooling to the zone or reset the space cooling temperature set point to 85 °F </t>
  </si>
  <si>
    <t xml:space="preserve">or more within 5 minutes of the door open enable signal. </t>
  </si>
  <si>
    <t xml:space="preserve">Exception: Hydronic radiant heating and cooling systems. </t>
  </si>
  <si>
    <r>
      <rPr>
        <b/>
        <sz val="11"/>
        <color theme="1"/>
        <rFont val="Calibri"/>
        <family val="2"/>
        <scheme val="minor"/>
      </rPr>
      <t>C403.4.1.6 Operable opening switches for HVAC system thermostatic control.</t>
    </r>
    <r>
      <rPr>
        <sz val="11"/>
        <color theme="1"/>
        <rFont val="Calibri"/>
        <family val="2"/>
        <scheme val="minor"/>
      </rPr>
      <t xml:space="preserve"> Operable openings </t>
    </r>
  </si>
  <si>
    <t>Water-side Economizers</t>
  </si>
  <si>
    <t xml:space="preserve">evaporation and providing up to 100 percent of the expected system cooling load at outdoor air </t>
  </si>
  <si>
    <t xml:space="preserve">temperatures of not greater than 50°F dry-bulb (10°C dry-bulb)/45°F wet-bulb (7.2°C wet-bulb. </t>
  </si>
  <si>
    <t xml:space="preserve">Exception: Systems where dehumidification requirements cannot be met using outdoor air temperatures </t>
  </si>
  <si>
    <t xml:space="preserve">of 50°F dry-bulb (10°C dry-bulb)/45°F wet-bulb (7.2°C wet-bulb) and where 100 percent of the expected </t>
  </si>
  <si>
    <t xml:space="preserve">system cooling load at 45°F dry-bulb (7.2°C dry-bulb)/40°F wet-bulb (4.5°C wet-bulb) is met with </t>
  </si>
  <si>
    <t xml:space="preserve">evaporative water economizers. </t>
  </si>
  <si>
    <t xml:space="preserve">a water economizer system shall either have a water-side pressure drop of less than 15 feet (4572 mm) of </t>
  </si>
  <si>
    <t xml:space="preserve">water or a secondary loop shall be created so that the coil or heat exchanger pressure drop is not seen by </t>
  </si>
  <si>
    <t xml:space="preserve">the circulating pumps when the system is in the normal cooling (noneconomizer) mode. </t>
  </si>
  <si>
    <r>
      <rPr>
        <b/>
        <sz val="11"/>
        <color theme="1"/>
        <rFont val="Calibri"/>
        <family val="2"/>
        <scheme val="minor"/>
      </rPr>
      <t>C403.5.4.1 Design capacity</t>
    </r>
    <r>
      <rPr>
        <sz val="11"/>
        <color theme="1"/>
        <rFont val="Calibri"/>
        <family val="2"/>
        <scheme val="minor"/>
      </rPr>
      <t xml:space="preserve">. Water economizer systems shall be configured to cool supply air by indirect </t>
    </r>
  </si>
  <si>
    <r>
      <rPr>
        <b/>
        <sz val="11"/>
        <color theme="1"/>
        <rFont val="Calibri"/>
        <family val="2"/>
        <scheme val="minor"/>
      </rPr>
      <t>C403.5.4.2 Maximum pressure drop.</t>
    </r>
    <r>
      <rPr>
        <sz val="11"/>
        <color theme="1"/>
        <rFont val="Calibri"/>
        <family val="2"/>
        <scheme val="minor"/>
      </rPr>
      <t xml:space="preserve"> Precooling coils and water-to-water heat exchangers used as part of </t>
    </r>
  </si>
  <si>
    <t>Valves to Isolate Plant or HP Equipment from Pumping Loop'</t>
  </si>
  <si>
    <t xml:space="preserve">such, the primary circulation pumps shall comply with the variable flow requirements in Section C403.4.6. </t>
  </si>
  <si>
    <r>
      <rPr>
        <b/>
        <sz val="11"/>
        <color theme="1"/>
        <rFont val="Calibri"/>
        <family val="2"/>
        <scheme val="minor"/>
      </rPr>
      <t>Exception:</t>
    </r>
    <r>
      <rPr>
        <sz val="11"/>
        <color theme="1"/>
        <rFont val="Calibri"/>
        <family val="2"/>
        <scheme val="minor"/>
      </rPr>
      <t xml:space="preserve"> Where it can be demonstrated that a heat pump system will be required to reject heat </t>
    </r>
  </si>
  <si>
    <r>
      <rPr>
        <b/>
        <sz val="11"/>
        <color theme="1"/>
        <rFont val="Calibri"/>
        <family val="2"/>
        <scheme val="minor"/>
      </rPr>
      <t>C403.4.3.3.3</t>
    </r>
    <r>
      <rPr>
        <sz val="11"/>
        <color theme="1"/>
        <rFont val="Calibri"/>
        <family val="2"/>
        <scheme val="minor"/>
      </rPr>
      <t xml:space="preserve"> </t>
    </r>
    <r>
      <rPr>
        <b/>
        <sz val="11"/>
        <color theme="1"/>
        <rFont val="Calibri"/>
        <family val="2"/>
        <scheme val="minor"/>
      </rPr>
      <t>Isolation valve.</t>
    </r>
    <r>
      <rPr>
        <sz val="11"/>
        <color theme="1"/>
        <rFont val="Calibri"/>
        <family val="2"/>
        <scheme val="minor"/>
      </rPr>
      <t xml:space="preserve"> Each hydronic heat pump on the hydronic system having a total pump </t>
    </r>
  </si>
  <si>
    <t>Efficient Loop Pump Control - C403.4.6</t>
  </si>
  <si>
    <t>Efficient Loop Pump Control</t>
  </si>
  <si>
    <t xml:space="preserve">be controlled in one of the following manners: </t>
  </si>
  <si>
    <t xml:space="preserve">1. For systems having a combined pump motor horsepower less than or equal to 20 hp (15 kW) and </t>
  </si>
  <si>
    <t xml:space="preserve">without direct digital control of individual coils, pump speed shall be a function of either: </t>
  </si>
  <si>
    <t xml:space="preserve">1.1. Required differential pressure; or </t>
  </si>
  <si>
    <t xml:space="preserve">1.2. Reset directly based on zone hydronic demand, or other zone load indicators; or </t>
  </si>
  <si>
    <t xml:space="preserve">1.3. Reset directly based on pump power and pump differential pressure; or </t>
  </si>
  <si>
    <t xml:space="preserve">1.4. Reset directly by an integral controller based on the relationship between variable speed </t>
  </si>
  <si>
    <t xml:space="preserve">controller frequency and power. </t>
  </si>
  <si>
    <t xml:space="preserve">2. For systems having a combined pump motor horsepower that exceeds 20 hp (15 kW) or smaller </t>
  </si>
  <si>
    <t xml:space="preserve">systems with direct digital control, pump speed shall be a function of either: </t>
  </si>
  <si>
    <t xml:space="preserve">2.1. The static pressure set point as reset based on the valve requiring the most pressure; or </t>
  </si>
  <si>
    <t xml:space="preserve">2.2. Directly controlled based on zone hydronic demand; or </t>
  </si>
  <si>
    <t xml:space="preserve">2.3. Reset directly by an integral controller based on the relationship between variable speed </t>
  </si>
  <si>
    <r>
      <rPr>
        <b/>
        <sz val="11"/>
        <color theme="1"/>
        <rFont val="Calibri"/>
        <family val="2"/>
        <scheme val="minor"/>
      </rPr>
      <t>C403.4.6 Variable flow controls.</t>
    </r>
    <r>
      <rPr>
        <sz val="11"/>
        <color theme="1"/>
        <rFont val="Calibri"/>
        <family val="2"/>
        <scheme val="minor"/>
      </rPr>
      <t xml:space="preserve"> Individual pumps required by this code to have variable speed control shall </t>
    </r>
  </si>
  <si>
    <t xml:space="preserve">a cooling capacity of 54,000 Btu/h or greater listed in the tables in Section C403.3.2 that are equipped with an </t>
  </si>
  <si>
    <t>economizer in accordance with Section C403.5 shall include a fault detection and diagnostics (FDD) system</t>
  </si>
  <si>
    <r>
      <rPr>
        <b/>
        <sz val="11"/>
        <color theme="1"/>
        <rFont val="Calibri"/>
        <family val="2"/>
        <scheme val="minor"/>
      </rPr>
      <t>C403.5.5 Economizer fault detection and diagnostics (FDD).</t>
    </r>
    <r>
      <rPr>
        <sz val="11"/>
        <color theme="1"/>
        <rFont val="Calibri"/>
        <family val="2"/>
        <scheme val="minor"/>
      </rPr>
      <t xml:space="preserve"> Air-cooled unitary direct-expansion units with </t>
    </r>
  </si>
  <si>
    <t xml:space="preserve">complying with the following: </t>
  </si>
  <si>
    <t xml:space="preserve">1. The following temperature sensors shall be permanently installed to monitor system operation: </t>
  </si>
  <si>
    <t xml:space="preserve">  1.1. Outside air. </t>
  </si>
  <si>
    <t xml:space="preserve">  1.2. Supply air. </t>
  </si>
  <si>
    <t xml:space="preserve">  1.3. Return air. </t>
  </si>
  <si>
    <t xml:space="preserve">2. Temperature sensors shall have an accuracy of ±2°F (1.1°C) over the range of 40°F to 80°F (4°C to </t>
  </si>
  <si>
    <t xml:space="preserve">26.7°C). </t>
  </si>
  <si>
    <t xml:space="preserve">3. Refrigerant pressure sensors, where used, shall have an accuracy of ±3 percent of full scale. </t>
  </si>
  <si>
    <t xml:space="preserve">4. The unit controller shall be configured to provide system status by indicating the following: </t>
  </si>
  <si>
    <t xml:space="preserve">4.1. Free cooling available. </t>
  </si>
  <si>
    <t xml:space="preserve">4.2. Economizer enabled. </t>
  </si>
  <si>
    <t xml:space="preserve">4.3. Compressor enabled. </t>
  </si>
  <si>
    <t xml:space="preserve">4.4. Heating enabled. </t>
  </si>
  <si>
    <t xml:space="preserve">4.5. Mixed air low limit cycle active. </t>
  </si>
  <si>
    <t xml:space="preserve">4.6. The current value of each sensor. </t>
  </si>
  <si>
    <t xml:space="preserve">5. The unit controller shall be capable of manually initiating each operating mode so that the operation of </t>
  </si>
  <si>
    <t xml:space="preserve">compressors, economizers, fans and the heating system can be independently tested and verified. </t>
  </si>
  <si>
    <t xml:space="preserve">6. The unit shall be configured to report faults to a fault management application available for access by </t>
  </si>
  <si>
    <t xml:space="preserve">day-to-day operating or service personnel or annunciated locally on zone thermostats. </t>
  </si>
  <si>
    <t xml:space="preserve">7. The FDD system shall be configured to detect the following faults: </t>
  </si>
  <si>
    <t xml:space="preserve">7.1. Air temperature sensor failure/fault. </t>
  </si>
  <si>
    <t xml:space="preserve">7.2. Not economizing when the unit should be economizing. </t>
  </si>
  <si>
    <t xml:space="preserve">7.3. Economizing when the unit should not be economizing. </t>
  </si>
  <si>
    <t xml:space="preserve">7.4. Damper not modulating. </t>
  </si>
  <si>
    <t xml:space="preserve">7.5. Excess outdoor air. </t>
  </si>
  <si>
    <t>VAV Ventilation Optimization Control</t>
  </si>
  <si>
    <t>Multi-zone VAV Ventilation Optimization Control - C403.6.5</t>
  </si>
  <si>
    <t>2. Condenser fans serving flooded condensers.</t>
  </si>
  <si>
    <t>Cooling Tower Fan Speed Control</t>
  </si>
  <si>
    <t xml:space="preserve">serving custom and packaged air handlers serving variable air volume fan systems, constant volume fans, </t>
  </si>
  <si>
    <t xml:space="preserve">heating and cooling hydronic pumping systems, pool and service water pumping systems, domestic water </t>
  </si>
  <si>
    <t xml:space="preserve">pressure-booster systems, cooling tower fan, and other pump or fan motors where variable flows are </t>
  </si>
  <si>
    <t xml:space="preserve">required, there shall be: </t>
  </si>
  <si>
    <t xml:space="preserve">1. Variable speed drives; or </t>
  </si>
  <si>
    <t xml:space="preserve">2. Other controls and devices that will result in fan and pump motor demand of no more than 30 percent of </t>
  </si>
  <si>
    <t xml:space="preserve">design wattage at 50 percent of design air volume for fans when static pressure set point equals 1/3 the </t>
  </si>
  <si>
    <t xml:space="preserve">total design static pressure, and 50 percent of design water flow for pumps, based on manufacturer's </t>
  </si>
  <si>
    <t xml:space="preserve">certified test data. Variable inlet vanes, throttling valves (dampers), scroll dampers or bypass circuits </t>
  </si>
  <si>
    <t xml:space="preserve">shall not be allowed. </t>
  </si>
  <si>
    <t xml:space="preserve">1. Fans or pumps in packaged equipment where variable speed drives are not available as a factory </t>
  </si>
  <si>
    <t xml:space="preserve">option from the equipment manufacturer. </t>
  </si>
  <si>
    <t xml:space="preserve">2. Fans or pumps that are required to operate only for emergency fire-life-safety events (e.g., stairwell </t>
  </si>
  <si>
    <t xml:space="preserve">pressurization fans, elevator pressurization fans, fire pumps, etc.). </t>
  </si>
  <si>
    <r>
      <rPr>
        <b/>
        <sz val="11"/>
        <color theme="1"/>
        <rFont val="Calibri"/>
        <family val="2"/>
        <scheme val="minor"/>
      </rPr>
      <t>C403.2.4 Variable flow capacity.</t>
    </r>
    <r>
      <rPr>
        <sz val="11"/>
        <color theme="1"/>
        <rFont val="Calibri"/>
        <family val="2"/>
        <scheme val="minor"/>
      </rPr>
      <t xml:space="preserve"> For fan and pump motors 5.0 hp and greater including motors in or </t>
    </r>
  </si>
  <si>
    <r>
      <rPr>
        <b/>
        <sz val="11"/>
        <color theme="1"/>
        <rFont val="Calibri"/>
        <family val="2"/>
        <scheme val="minor"/>
      </rPr>
      <t>Exception:</t>
    </r>
    <r>
      <rPr>
        <sz val="11"/>
        <color theme="1"/>
        <rFont val="Calibri"/>
        <family val="2"/>
        <scheme val="minor"/>
      </rPr>
      <t xml:space="preserve"> Variable speed devices are not required for motors that serve: </t>
    </r>
  </si>
  <si>
    <t>Zone box air &amp; temperature controls - C403.6.1</t>
  </si>
  <si>
    <t>Air-side economizer controls (integrated, FDD) - C403.5.1</t>
  </si>
  <si>
    <t>Differential pressure control for building loop pump(s) &gt;10 hp - C403.4.3.3.3</t>
  </si>
  <si>
    <t>Differential pressure control for building loop pump(s) &gt;10 hp</t>
  </si>
  <si>
    <t>Boiler and Chiller Plant Lockout on OA Temperature - No Code Section</t>
  </si>
  <si>
    <t>10 minute time delay before responding to OA temp changes.</t>
  </si>
  <si>
    <t>If OA &lt; 55F, Condenser water setpoint = 70F</t>
  </si>
  <si>
    <t>If OA &gt; 85F, Condenser water setpoint = 85F</t>
  </si>
  <si>
    <t>Linear reset between 55F and 85F OA temp.</t>
  </si>
  <si>
    <t>Condenser Water Temperature Reset - No Code Section</t>
  </si>
  <si>
    <t>Contractor may deviate from these values based on the building.</t>
  </si>
  <si>
    <t>Chiller Plant Lockout Logic</t>
  </si>
  <si>
    <t>Boiler Plant Lockout Logic</t>
  </si>
  <si>
    <t>Disable chiller plant when outdoor air temperature falls below 55°F for 30 minutes.</t>
  </si>
  <si>
    <t>Enable chiller plant when outdoor air temperature rises above 65°F for 15 minutes.</t>
  </si>
  <si>
    <t>During lockout period, maximize economizer operation for cooling.</t>
  </si>
  <si>
    <t>Maintain condenser water circulation if required for equipment protection.</t>
  </si>
  <si>
    <t>Disable boiler plant when outdoor air temperature rises above 75°F for 30 minutes.</t>
  </si>
  <si>
    <t>Enable boiler plant when outdoor air temperature falls below 65°F for 15 minutes.</t>
  </si>
  <si>
    <t>During lockout period, heating coils remain available but without hot water supply.</t>
  </si>
  <si>
    <t>Maintain minimum circulation if required for freeze protection.</t>
  </si>
  <si>
    <t>The contractor may deviate from these values based on the building.</t>
  </si>
  <si>
    <t>Cooling Tower Fan Speed Control - C403.9.1.1</t>
  </si>
  <si>
    <t>v3.6</t>
  </si>
  <si>
    <t>Looked up all sequence sections and added Energy Code tab</t>
  </si>
  <si>
    <t>Wrote sequences for any not in the Code</t>
  </si>
  <si>
    <t>Updated some sequence names</t>
  </si>
  <si>
    <t>Point Structure</t>
  </si>
  <si>
    <t>3+ points = 5% base savings</t>
  </si>
  <si>
    <t>added point structure</t>
  </si>
  <si>
    <t>Major Equipment (e.g. Lighting, HVAC units, boilers, chillers, etc):</t>
  </si>
  <si>
    <t>Occupancy:</t>
  </si>
  <si>
    <t>When is construction expected to begin?</t>
  </si>
  <si>
    <t>For the most recent version, please contact PSE or visit https://www.pse.com/en/business-incentives/hvac-incentive-and-rebate-programs/major-hvac-controls-upgrade-rebates</t>
  </si>
  <si>
    <t>*Note For All* - Updates to this worksheet can be made by PSE at any time. We will do our best to inform you of major updates, but it is your responsibility to use the correct version.</t>
  </si>
  <si>
    <t>Example Add: OA dampers stay open and electric reheat is currently used during building warm-up. Adding Automated Start/Stop will shut OA dampers and prioritize pre-heat.</t>
  </si>
  <si>
    <t>Made 0 adds cap at 25% cost</t>
  </si>
  <si>
    <t>Added link to webpage on Instructions tab</t>
  </si>
  <si>
    <t>2. If possible, attain a utility data release form for the contractor, signed by the customer</t>
  </si>
  <si>
    <t>3. If a data release form is provided, pull elec and/or gas bill history and enter in on the Worksheet tab</t>
  </si>
  <si>
    <t>Formatted pages to print properly</t>
  </si>
  <si>
    <t>Valves to isolate plant or HP equipment from loop when not in use - C403.4.3.3</t>
  </si>
  <si>
    <t>Upgrade to VFD (from inlet vane or from constant volume) - C403.2.4</t>
  </si>
  <si>
    <t>PSE Usage Data</t>
  </si>
  <si>
    <t>hyperlinked to code</t>
  </si>
  <si>
    <t>VAV temp &amp; ventilation setback based on occupancy - C403.6.5 &amp; C403.6.6</t>
  </si>
  <si>
    <t>added % of EUI</t>
  </si>
  <si>
    <t>1. Wait for 1 year to pass after the project is complete and fully commissioned.</t>
  </si>
  <si>
    <t>2. Notify PSE of any changes to the building you are aware of (occupancy, space use type, major equipment changes, etc).</t>
  </si>
  <si>
    <t>3. PSE will provide a calculation of savings using billing data, and will provide the associated performance incentive amount.</t>
  </si>
  <si>
    <t>4. Review the final incentive amount with the customer and give PSE approval to proceed with the performance grant payment.</t>
  </si>
  <si>
    <t>1. Receive the final invoices, sequences of operation, Facility Guide, and trends from the contractor.</t>
  </si>
  <si>
    <t>2. Review the submitted information and confirm that the requirements for each sequence is met.</t>
  </si>
  <si>
    <t>3. Assemble a partial payment request for the base grant.</t>
  </si>
  <si>
    <t>1. Perform a mid-year check-in at the 6 month mark to see savings trends and allow time for correction if needed.</t>
  </si>
  <si>
    <t>2. When one year since the project was fully commissioned has passed, determine any building changes that occurred.</t>
  </si>
  <si>
    <t>3. Perform a savings analysis using a PSE regression tool.</t>
  </si>
  <si>
    <t>Occ Adj. (&lt;95%)</t>
  </si>
  <si>
    <t>v3.7</t>
  </si>
  <si>
    <t>Fixed Project_Type references in calcs</t>
  </si>
  <si>
    <t>Fixed AP33 &amp; AP34 on DSMc tab to use adjcost. Was 0.5*totCost. Did same with D43-45 on Worksheet tab. D28-30 too.</t>
  </si>
  <si>
    <t>Added cells to OA Calibration</t>
  </si>
  <si>
    <t>v3.8</t>
  </si>
  <si>
    <t>Q=mCpdeltaT (1.08*CFM*deltaT) using OSA bin calc, add to baseline</t>
  </si>
  <si>
    <t>What is the baseline year % occupancy? Is this anticipated to change? What is the occupancy schedule?</t>
  </si>
  <si>
    <t xml:space="preserve">4. Mark your Outlook calendar for 6 months and 12 months after the date when the controls were fully commissioned for the mid-year savings </t>
  </si>
  <si>
    <t>check-in and final performance analysis, respectively.</t>
  </si>
  <si>
    <t>1. Final invoices</t>
  </si>
  <si>
    <t>1. Conduct Scope Review meeting with the contractor and review the submitted Worksheet page if one has been submitted.</t>
  </si>
  <si>
    <t>5. When the draft Sequences of Operation are provided, notify contractor of any necessary edits to comply with code.</t>
  </si>
  <si>
    <t>4. Training Provided – who, what and when - emphasis on GUI navigation proficiency</t>
  </si>
  <si>
    <t>Made &lt;1 add projects have no base incentive, and be ineligible entirely</t>
  </si>
  <si>
    <t>Updated Facility Guide</t>
  </si>
  <si>
    <t>Standard 62.1-2016 Outdoor Air Rates (Table 6.2.2.1)</t>
  </si>
  <si>
    <t>IP</t>
  </si>
  <si>
    <t>SI</t>
  </si>
  <si>
    <t>Default Occupant Density</t>
  </si>
  <si>
    <t>Occupancy Category</t>
  </si>
  <si>
    <t>Art classroom</t>
  </si>
  <si>
    <t>Auditorium seating area</t>
  </si>
  <si>
    <t>Bank vaults/safe deposit</t>
  </si>
  <si>
    <t>Banks or bank lobbies</t>
  </si>
  <si>
    <t>Barbershop</t>
  </si>
  <si>
    <t>Barracks sleeping areas</t>
  </si>
  <si>
    <t>Bars, cocktail lounges</t>
  </si>
  <si>
    <t>Beauty and nail salons</t>
  </si>
  <si>
    <t>Bedroom/living room</t>
  </si>
  <si>
    <t>Booking/waiting</t>
  </si>
  <si>
    <t>Bowling alley (seating)</t>
  </si>
  <si>
    <t>Break rooms (General)</t>
  </si>
  <si>
    <t>Break rooms (Office)</t>
  </si>
  <si>
    <t>Cafeteria/fast-food dining</t>
  </si>
  <si>
    <t>Cell</t>
  </si>
  <si>
    <t>Classrooms (age 9 plus)</t>
  </si>
  <si>
    <t>Classrooms (ages 5–8)</t>
  </si>
  <si>
    <t>Coffee stations</t>
  </si>
  <si>
    <t>Coin-operated laundries</t>
  </si>
  <si>
    <t>Common corridors</t>
  </si>
  <si>
    <t>Computer (not printing)</t>
  </si>
  <si>
    <t>Computer lab</t>
  </si>
  <si>
    <t>Conference/meeting</t>
  </si>
  <si>
    <t>Corridors</t>
  </si>
  <si>
    <t>Courtrooms</t>
  </si>
  <si>
    <t>Daycare (through age 4)</t>
  </si>
  <si>
    <t>Daycare sickroom</t>
  </si>
  <si>
    <t>Dayroom</t>
  </si>
  <si>
    <t>Disco/dance floors</t>
  </si>
  <si>
    <t>Dwelling unit</t>
  </si>
  <si>
    <t>Freezer and refrigerated spaces (&lt;50°F)</t>
  </si>
  <si>
    <t>Gambling casinos</t>
  </si>
  <si>
    <t>Game arcades</t>
  </si>
  <si>
    <t>General manufacturing (excludes heavy industrial using chemicals)</t>
  </si>
  <si>
    <t>Guard stations</t>
  </si>
  <si>
    <t>Gym, sports arena (play area)</t>
  </si>
  <si>
    <t>Health club/aerobics room</t>
  </si>
  <si>
    <t>Health club/weight rooms</t>
  </si>
  <si>
    <t>Kitchen (cooking)</t>
  </si>
  <si>
    <t>Laundry rooms within dwelling units</t>
  </si>
  <si>
    <t>Laundry rooms, central</t>
  </si>
  <si>
    <t>Lecture classroom</t>
  </si>
  <si>
    <t>Lecture hall (fixed seats)</t>
  </si>
  <si>
    <t>Legislative chambers</t>
  </si>
  <si>
    <t>Libraries</t>
  </si>
  <si>
    <t>Lobbies</t>
  </si>
  <si>
    <t>Lobbies/prefunction</t>
  </si>
  <si>
    <t>Main entry lobbies</t>
  </si>
  <si>
    <t>Mall common areas</t>
  </si>
  <si>
    <t>Media center</t>
  </si>
  <si>
    <t>Multipurpose assembly</t>
  </si>
  <si>
    <t>Multi-use assembly</t>
  </si>
  <si>
    <t>Museums (children’s)</t>
  </si>
  <si>
    <t>Museums/galleries</t>
  </si>
  <si>
    <t>Music/theater/dance</t>
  </si>
  <si>
    <t>Occupiable storage rooms for liquids or gels</t>
  </si>
  <si>
    <t>Occupiable storage rooms for dry materials</t>
  </si>
  <si>
    <t>Office space</t>
  </si>
  <si>
    <t>Pet shops (animal areas)</t>
  </si>
  <si>
    <t>Pharmacy (prep. area)</t>
  </si>
  <si>
    <t>Photo studios</t>
  </si>
  <si>
    <t>Places of religious worship</t>
  </si>
  <si>
    <t>Reception areas</t>
  </si>
  <si>
    <t>Restaurant dining rooms</t>
  </si>
  <si>
    <t>Sales (except as below)</t>
  </si>
  <si>
    <t>Science laboratories</t>
  </si>
  <si>
    <t>Shipping/receiving</t>
  </si>
  <si>
    <t>Sorting, packing, light assembly</t>
  </si>
  <si>
    <t>Spectator areas</t>
  </si>
  <si>
    <t>Stages, studios</t>
  </si>
  <si>
    <t>Supermarket</t>
  </si>
  <si>
    <t>Swimming (pool &amp; deck)</t>
  </si>
  <si>
    <t>Telephone closets</t>
  </si>
  <si>
    <t>Telephone/data entry</t>
  </si>
  <si>
    <t>Transportation waiting</t>
  </si>
  <si>
    <t>University/college laboratories</t>
  </si>
  <si>
    <t>Warehouses</t>
  </si>
  <si>
    <t>Wood/metal shop</t>
  </si>
  <si>
    <t>Rp (cfm/per)</t>
  </si>
  <si>
    <t>Ra (cfm/ft2)</t>
  </si>
  <si>
    <t>Rp
(L/s-per)</t>
  </si>
  <si>
    <t>Ra (L/s-m2)</t>
  </si>
  <si>
    <t>#/1000 ft2 (#/100 m2)</t>
  </si>
  <si>
    <t>OA Calibration references Lookup 1 table now</t>
  </si>
  <si>
    <t>Updated content and formatting on FAQ and instruction pages. Added links on instruction page</t>
  </si>
  <si>
    <t>Added "Send to PSE" for when OA Calibration is marked as done on worksheet tab</t>
  </si>
  <si>
    <t>v3.9-4.0</t>
  </si>
  <si>
    <t>Decided to not adjust baselines for occupancy. Will only adjust during performance period if changes occur.</t>
  </si>
  <si>
    <t>PSE project cost is no longer halved again for 0 adds</t>
  </si>
  <si>
    <t>Explain all Adds and Improves below</t>
  </si>
  <si>
    <r>
      <rPr>
        <b/>
        <sz val="14"/>
        <color theme="1"/>
        <rFont val="Times New Roman"/>
        <family val="1"/>
      </rPr>
      <t xml:space="preserve">         b. </t>
    </r>
    <r>
      <rPr>
        <b/>
        <sz val="14"/>
        <color theme="1"/>
        <rFont val="Calibri"/>
        <family val="2"/>
        <scheme val="minor"/>
      </rPr>
      <t>Sequence of Operations</t>
    </r>
  </si>
  <si>
    <t xml:space="preserve">                     i. If VAV boxes or controls replaced, provide k-factor flow coefficients </t>
  </si>
  <si>
    <t>Improves</t>
  </si>
  <si>
    <t>Facility Guide Requirements Here</t>
  </si>
  <si>
    <t>Various hyperlink and formatting updates to Instructions, Facility Guide, and Worksheet pages</t>
  </si>
  <si>
    <t>11/20 - Various updates to FAQ page</t>
  </si>
  <si>
    <t>Required Before Grant Agreement</t>
  </si>
  <si>
    <t>Required After Project Completion</t>
  </si>
  <si>
    <t>Added contact SME for &lt;90% OA compared to code to Instruction tab</t>
  </si>
  <si>
    <t>OA Baseline Recorded?</t>
  </si>
  <si>
    <t>4. With the go-ahead to proceed, create the QC packet. Use SoW template on PSE Only - DSMc Inputs tab.</t>
  </si>
  <si>
    <t>Added totCost*0.15 to min calc for base gas-only incent</t>
  </si>
  <si>
    <t>2. Request additional site info to confirm the values on the Worksheet tab. Collect OA docs. If OA is &lt; 80% of code, contact controls SME.</t>
  </si>
  <si>
    <t>v4.1</t>
  </si>
  <si>
    <t>Formatting/minor content updates</t>
  </si>
  <si>
    <t>ACKNOWLEDGEMENT 
Users of this file acknowledge that there are no incentive guarantees until PSE has thoroughly reviewed the proposed changes and provided a grant agreement.</t>
  </si>
  <si>
    <t>Changed Disclaimer to Acknowledgement</t>
  </si>
  <si>
    <r>
      <rPr>
        <b/>
        <u/>
        <sz val="11"/>
        <color theme="1"/>
        <rFont val="Calibri"/>
        <family val="2"/>
        <scheme val="minor"/>
      </rPr>
      <t>Monitoring-Based Commissioning (MBCx)</t>
    </r>
    <r>
      <rPr>
        <sz val="11"/>
        <color theme="1"/>
        <rFont val="Calibri"/>
        <family val="2"/>
        <scheme val="minor"/>
      </rPr>
      <t xml:space="preserve"> is suitable if you are implementing a technological path for an ongoing commissioning process by deploying an FDD software application to continually monitor, identify, and fix issues with the building's operation. This may include adds/improves to isolated sequences of operations without requiring all sequences being brought up to code. A $/sqft implementation incentive is paid upon project completion and once all verification documentation is provided. There are two 1-year performance periods, each with a performance incentive paid if final savings exceed 6% of annual metered consumption. </t>
    </r>
  </si>
  <si>
    <t>Updated FAQ</t>
  </si>
  <si>
    <t>How do I know if my project is a controls project versus EBCx, MBCx, HVAC Capital, O&amp;M, or P4P?</t>
  </si>
  <si>
    <r>
      <rPr>
        <b/>
        <u/>
        <sz val="11"/>
        <color theme="1"/>
        <rFont val="Calibri"/>
        <family val="2"/>
        <scheme val="minor"/>
      </rPr>
      <t>Existing Building Commissioning (EBCx)</t>
    </r>
    <r>
      <rPr>
        <sz val="11"/>
        <color theme="1"/>
        <rFont val="Calibri"/>
        <family val="2"/>
        <scheme val="minor"/>
      </rPr>
      <t xml:space="preserve"> is suitable if you are going through a whole-building Cx process with plans to implement the &lt; 2-year payback measures identified. An assessment incentive is paid upon initial investigation/walk-through of the building to identify opportunities. A $/sqft implementation incentive is paid upon implementation of the measures, delivery of the final investigation report and all verification documentation. There is a 1-year performance period, with a performance incentive paid if final savings exceed 6% of annual metered consumption. This may identify new or improved sequences of operations without requiring all sequences being brought up to code; however, if a full controls upgrade is identified and warranted, PSE can transition the project to HVAC Controls.</t>
    </r>
  </si>
  <si>
    <r>
      <rPr>
        <b/>
        <u/>
        <sz val="11"/>
        <color theme="1"/>
        <rFont val="Calibri"/>
        <family val="2"/>
        <scheme val="minor"/>
      </rPr>
      <t>Pay for Performance (P4P)</t>
    </r>
    <r>
      <rPr>
        <sz val="11"/>
        <color theme="1"/>
        <rFont val="Calibri"/>
        <family val="2"/>
        <scheme val="minor"/>
      </rPr>
      <t xml:space="preserve"> is suitable if you are pursuing at least two capital measures (one of which can be HVAC controls) to be installed within a 12-month period with anticipated site savings over 15% (or 10% if PSE gas only). An implementation incentive correlated to 5% annual building consumption is paid upon project completion and verification. There are two 1-year performance periods, each with a performance incentive paid if final savings exceed previously claimed savings.</t>
    </r>
  </si>
  <si>
    <t>Example Improve: Replacing existing economizer controls while implementing fault detection.</t>
  </si>
  <si>
    <t>updated FAQ</t>
  </si>
  <si>
    <t>added iferror formulas throughout</t>
  </si>
  <si>
    <t>v4.2-4.3</t>
  </si>
  <si>
    <t xml:space="preserve"> Link to 2021 WA State Energy Code</t>
  </si>
  <si>
    <r>
      <rPr>
        <b/>
        <u/>
        <sz val="11"/>
        <color theme="1"/>
        <rFont val="Calibri"/>
        <family val="2"/>
        <scheme val="minor"/>
      </rPr>
      <t>HVAC Controls (this Excel worksheet)</t>
    </r>
    <r>
      <rPr>
        <sz val="11"/>
        <color theme="1"/>
        <rFont val="Calibri"/>
        <family val="2"/>
        <scheme val="minor"/>
      </rPr>
      <t xml:space="preserve"> is suitable if you are adding or improving sequences of operation and ensuring that all sequences meet the 2021 Washington State Energy Code (WSEC) Requirements (in section C403). New controls hardware is typically included but not required. A base incentive correlated to 3-5% annual building consumption is paid upon project completion and verification. There is a 1-year performance period, with a performance incentive paid if final savings exceed base savings.</t>
    </r>
  </si>
  <si>
    <r>
      <rPr>
        <b/>
        <u/>
        <sz val="11"/>
        <color theme="1"/>
        <rFont val="Calibri"/>
        <family val="2"/>
        <scheme val="minor"/>
      </rPr>
      <t>HVAC Operations &amp; Maintenance (O&amp;M)</t>
    </r>
    <r>
      <rPr>
        <sz val="11"/>
        <color theme="1"/>
        <rFont val="Calibri"/>
        <family val="2"/>
        <scheme val="minor"/>
      </rPr>
      <t xml:space="preserve"> is suitable if you are tuning and/or fixing existing hardware and/or functions but are not utilizing a formal assessment or approved implementer, and you are not bringing all sequences up to code. Qualifying measures are funded at $0.10/kWh and $2/Therm, up to 100% of the cost. Do not use this HVAC Controls Worksheet. Instead, note the project details on a PSE custom grant application.
The project will be analyzed using one of the following two options:
         A </t>
    </r>
    <r>
      <rPr>
        <b/>
        <sz val="11"/>
        <color theme="1"/>
        <rFont val="Calibri"/>
        <family val="2"/>
        <scheme val="minor"/>
      </rPr>
      <t>custom-calculated option</t>
    </r>
    <r>
      <rPr>
        <sz val="11"/>
        <color theme="1"/>
        <rFont val="Calibri"/>
        <family val="2"/>
        <scheme val="minor"/>
      </rPr>
      <t xml:space="preserve"> is available for O&amp;M measures which can have savings calculated reliably (e.g. lighting and/or basic HVAC schedule    
         adjustments). The incentive is paid upon project completion and verification. There is no performance incentive.
         A </t>
    </r>
    <r>
      <rPr>
        <b/>
        <sz val="11"/>
        <color theme="1"/>
        <rFont val="Calibri"/>
        <family val="2"/>
        <scheme val="minor"/>
      </rPr>
      <t>performance-only option</t>
    </r>
    <r>
      <rPr>
        <sz val="11"/>
        <color theme="1"/>
        <rFont val="Calibri"/>
        <family val="2"/>
        <scheme val="minor"/>
      </rPr>
      <t xml:space="preserve"> is available for measures with at least 3% estimated annual metered savings. The incentive is paid after a 1-year
         performance period if the savings meet or exceed 3%. There is no base incentive.</t>
    </r>
  </si>
  <si>
    <r>
      <rPr>
        <b/>
        <u/>
        <sz val="11"/>
        <color theme="1"/>
        <rFont val="Calibri"/>
        <family val="2"/>
        <scheme val="minor"/>
      </rPr>
      <t>HVAC Capital Upgrade</t>
    </r>
    <r>
      <rPr>
        <sz val="11"/>
        <color theme="1"/>
        <rFont val="Calibri"/>
        <family val="2"/>
        <scheme val="minor"/>
      </rPr>
      <t xml:space="preserve"> is suitable if you are adding HVAC hardware and/or controls function but are not bringing all sequences up to code. Qualifying measures are funded at $0.45/kWh and $8/Therm, up to 70% of the cost. Do not use this HVAC Controls Worksheet. Instead, note the project details on a PSE custom grant application.
The project will be analyzed using one of the following two options:
         A </t>
    </r>
    <r>
      <rPr>
        <b/>
        <sz val="11"/>
        <color theme="1"/>
        <rFont val="Calibri"/>
        <family val="2"/>
        <scheme val="minor"/>
      </rPr>
      <t>custom-calculated option</t>
    </r>
    <r>
      <rPr>
        <sz val="11"/>
        <color theme="1"/>
        <rFont val="Calibri"/>
        <family val="2"/>
        <scheme val="minor"/>
      </rPr>
      <t xml:space="preserve"> is available for measures which can have savings calculated reliably (e.g. DCV, fan VFD). The incentive is paid upon    
         project completion and verification. There is no performance incentive.
         A </t>
    </r>
    <r>
      <rPr>
        <b/>
        <sz val="11"/>
        <color theme="1"/>
        <rFont val="Calibri"/>
        <family val="2"/>
        <scheme val="minor"/>
      </rPr>
      <t>performance-only option</t>
    </r>
    <r>
      <rPr>
        <sz val="11"/>
        <color theme="1"/>
        <rFont val="Calibri"/>
        <family val="2"/>
        <scheme val="minor"/>
      </rPr>
      <t xml:space="preserve"> is available for measures with at least 3% estimated annual metered savings. The incentive is paid after a 1-year
         performance period if the savings meet or exceed 3%. There is no base incentive.</t>
    </r>
  </si>
  <si>
    <t>2. Obtain signed data release form from the customer for all affected accounts.</t>
  </si>
  <si>
    <t>3. Ensure that you are using the most recent version of the Worksheet by downloading it from the PSE webpage.</t>
  </si>
  <si>
    <t xml:space="preserve">4. Fill out the Worksheet tab, inputting information into all green cells and explaining any added or improved sequences. </t>
  </si>
  <si>
    <t>6. If moving forward, submit a PSE Grant Application.</t>
  </si>
  <si>
    <t>7. Document existing conditions on the OA Calibration tab (or use your own document).</t>
  </si>
  <si>
    <t>8. Work with the assigned PSE Energy Management Engineer to answer any other questions and execute the grant agreement.</t>
  </si>
  <si>
    <t>9. Send PSE a draft of the Sequences of Operation to ensure compliance with code requirements.</t>
  </si>
  <si>
    <t>Will all sequences meet code?</t>
  </si>
  <si>
    <t>Select</t>
  </si>
  <si>
    <t>v4.3.1-2</t>
  </si>
  <si>
    <t>renamed FAQ tab to Incentive Pathway, and updated custom capital and O&amp;M</t>
  </si>
  <si>
    <t>Added scope review check to Worksheet tab, with red text if no</t>
  </si>
  <si>
    <t>Added step 1 to instructions to confirm code compliance</t>
  </si>
  <si>
    <t>1. If all controls are being brought up to code, proceed to step 2. Otherwise submit a custom grant application or schedule a scope review.</t>
  </si>
  <si>
    <t>5. Schedule Scope Review meeting with PSE to go over the project and determine the most likely incentive pathway (Commissioning@pse.com)</t>
  </si>
  <si>
    <t>Scope Review - Contractors schedule this w/ Commissioning@pse.com</t>
  </si>
  <si>
    <t>changes Holly's email to Cx@pse.com</t>
  </si>
  <si>
    <t>0 - 0.9 Points = 0% base savings</t>
  </si>
  <si>
    <t>1 - 1.9 Points = 3% base savings</t>
  </si>
  <si>
    <t>2 - 2.9 points = 4% base savings</t>
  </si>
  <si>
    <t>updated point structure</t>
  </si>
  <si>
    <t>HVAC Controls Process Steps for the Contractor or Controls Project Lead</t>
  </si>
  <si>
    <t>2026 PSE HVAC Controls Worksheet v1.0</t>
  </si>
  <si>
    <r>
      <rPr>
        <b/>
        <sz val="14"/>
        <color rgb="FF0070C0"/>
        <rFont val="Calibri"/>
        <family val="2"/>
        <scheme val="minor"/>
      </rPr>
      <t xml:space="preserve">                     </t>
    </r>
    <r>
      <rPr>
        <b/>
        <u/>
        <sz val="14"/>
        <color rgb="FF0070C0"/>
        <rFont val="Calibri"/>
        <family val="2"/>
        <scheme val="minor"/>
      </rPr>
      <t>i. Annotated Trends Showing Proper Added/Improved Sequence Operation</t>
    </r>
  </si>
  <si>
    <t>2026 v1.0</t>
  </si>
  <si>
    <t>Final formatting and locked</t>
  </si>
  <si>
    <t>Discuss adds &amp; improves, and review written explanations in Worksheet boxes:</t>
  </si>
  <si>
    <t>Is the customer interested in Demand Response? If so, forward to businessdemandresponse@pse.com</t>
  </si>
  <si>
    <t xml:space="preserve"> </t>
  </si>
  <si>
    <t>Process loads (computer lab, refrigeration, pool, kitchen, etc):</t>
  </si>
  <si>
    <t>The base savings are assumed to be 3-5% of the total building use, depending on what sequences are being added and/or improved. Performance savings are calculated based on building performance.</t>
  </si>
  <si>
    <t xml:space="preserve">For Base Incentive:
The contractor shall upgrade the HVAC controls to those described on the HVAC Controls Worksheet. All sequences applicable to the building must meet their associated 2021 WA Energy Code requirements.
The contractor shall provide a Facility Guide to the building operator and PSE which includes the items on the Facility Guide tab of the HVAC Controls Worksheet.  The contractor shall provide training to educate the building operator on the proper operation of the HVAC control system.
For Performance Incentive:
The performance incentive listed in this agreement is the maximum incentive possible.  The final performance incentive will be based on the actual savings above the base incentive savings during the performance period. See the HVAC Controls Worksheet for incentive amounts at various savings increments. 
The minimum length of the performance period will be 12 months.  The start date of the performance period will be when the base grant has been paid but may be adjusted at PSE’s discretion. 
PSE will determine and calculate the savings using standard engineering practices at the end of the performance period.  The baseline and performance period consumption will be adjusted based on the independent variables that impact consumption, which may include weather, occupancy hours, production units, savings from other PSE funded projects, and significant changes in operations, plug, or process loads. The customer shall notify PSE of any major changes to the applicable variables. </t>
  </si>
  <si>
    <t xml:space="preserve">3. Email the customer and contractor the Base + Performance Incentive table from the Worksheet tab for the grant estimate. </t>
  </si>
  <si>
    <t>Worksheet Creator: Tyson Schmitt</t>
  </si>
  <si>
    <t>Light SoW updates</t>
  </si>
  <si>
    <t xml:space="preserve">For Base Incentive:
The contractor shall provide PSE the final sequences of operation for pre-approval prior to installation. PSE will verify that the added and/or improved sequences of operation meet the 2021 WA Energy Code requirements. PSE may check additional sequences to confirm code compliance.
The building operator shall demonstrate the ability to display and adjust schedules, set points, and basic control sequences like duct static reset and zone-level scheduling. The building operator must also show how to set up trend graphs and how to access the Facility Guide. 
The contractor-provided Facility Guide must include all items from the Facility Guide tab of the HVAC Controls Worksheet. 
For Performance Incentive:
PSE shall review and analyze metered energy data and any facility changes provided by the customer to determine if the facility meets or exceeds the performance incentive threshold.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</si>
</sst>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000_);_(* \(#,##0.0000\);_(* &quot;-&quot;??_);_(@_)"/>
    <numFmt numFmtId="168" formatCode="_(&quot;$&quot;* #,##0.0000_);_(&quot;$&quot;* \(#,##0.0000\);_(&quot;$&quot;* &quot;-&quot;??_);_(@_)"/>
    <numFmt numFmtId="169" formatCode="0.0%"/>
    <numFmt numFmtId="170" formatCode="_(* #,##0.0_);_(* \(#,##0.0\);_(* &quot;-&quot;??_);_(@_)"/>
    <numFmt numFmtId="171" formatCode="0.0000%"/>
    <numFmt numFmtId="172" formatCode="0.00000"/>
    <numFmt numFmtId="173" formatCode="_(* #,##0.00000_);_(* \(#,##0.00000\);_(* &quot;-&quot;??_);_(@_)"/>
    <numFmt numFmtId="174" formatCode="_(* #,##0.0000000_);_(* \(#,##0.0000000\);_(* &quot;-&quot;??_);_(@_)"/>
    <numFmt numFmtId="175" formatCode="&quot;$&quot;#,##0.00"/>
    <numFmt numFmtId="176" formatCode="&quot;$&quot;#,##0"/>
    <numFmt numFmtId="177" formatCode="#,##0.0000_);\(#,##0.0000\)"/>
  </numFmts>
  <fonts count="77" x14ac:knownFonts="1">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0"/>
      <color indexed="9"/>
      <name val="Arial"/>
      <family val="2"/>
    </font>
    <font>
      <sz val="10"/>
      <color indexed="9"/>
      <name val="Arial"/>
      <family val="2"/>
    </font>
    <font>
      <b/>
      <sz val="10"/>
      <color indexed="63"/>
      <name val="Arial"/>
      <family val="2"/>
    </font>
    <font>
      <b/>
      <sz val="12"/>
      <name val="Arial"/>
      <family val="2"/>
    </font>
    <font>
      <sz val="10"/>
      <color indexed="8"/>
      <name val="Arial"/>
      <family val="2"/>
    </font>
    <font>
      <sz val="10"/>
      <color indexed="20"/>
      <name val="Arial"/>
      <family val="2"/>
    </font>
    <font>
      <b/>
      <sz val="10"/>
      <color indexed="52"/>
      <name val="Arial"/>
      <family val="2"/>
    </font>
    <font>
      <b/>
      <sz val="10"/>
      <color indexed="8"/>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1"/>
      <color indexed="8"/>
      <name val="Calibri"/>
      <family val="2"/>
    </font>
    <font>
      <sz val="10"/>
      <name val="MS Sans Serif"/>
      <family val="2"/>
    </font>
    <font>
      <b/>
      <sz val="18"/>
      <color indexed="56"/>
      <name val="Cambria"/>
      <family val="2"/>
    </font>
    <font>
      <sz val="10"/>
      <color indexed="10"/>
      <name val="Arial"/>
      <family val="2"/>
    </font>
    <font>
      <b/>
      <sz val="11"/>
      <color theme="1"/>
      <name val="Calibri"/>
      <family val="2"/>
      <scheme val="minor"/>
    </font>
    <font>
      <sz val="11"/>
      <color theme="0"/>
      <name val="Calibri"/>
      <family val="2"/>
      <scheme val="minor"/>
    </font>
    <font>
      <sz val="10"/>
      <color theme="1"/>
      <name val="Calibri"/>
      <family val="2"/>
      <scheme val="minor"/>
    </font>
    <font>
      <b/>
      <sz val="12"/>
      <color theme="0"/>
      <name val="Arial"/>
      <family val="2"/>
    </font>
    <font>
      <sz val="12"/>
      <color theme="1"/>
      <name val="Calibri"/>
      <family val="2"/>
      <scheme val="minor"/>
    </font>
    <font>
      <b/>
      <sz val="12"/>
      <color theme="1"/>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b/>
      <sz val="12"/>
      <color theme="0"/>
      <name val="Calibri"/>
      <family val="2"/>
      <scheme val="minor"/>
    </font>
    <font>
      <b/>
      <sz val="12"/>
      <color theme="0"/>
      <name val="Calibri"/>
      <family val="2"/>
    </font>
    <font>
      <b/>
      <sz val="18"/>
      <color theme="0"/>
      <name val="Calibri"/>
      <family val="2"/>
    </font>
    <font>
      <sz val="14"/>
      <color theme="1"/>
      <name val="Calibri"/>
      <family val="2"/>
      <scheme val="minor"/>
    </font>
    <font>
      <b/>
      <sz val="12"/>
      <color rgb="FFFF0000"/>
      <name val="Arial"/>
      <family val="2"/>
    </font>
    <font>
      <b/>
      <sz val="11"/>
      <name val="Calibri"/>
      <family val="2"/>
    </font>
    <font>
      <b/>
      <sz val="14"/>
      <color theme="1"/>
      <name val="Calibri"/>
      <family val="2"/>
      <scheme val="minor"/>
    </font>
    <font>
      <b/>
      <u/>
      <sz val="11"/>
      <color theme="1"/>
      <name val="Calibri"/>
      <family val="2"/>
      <scheme val="minor"/>
    </font>
    <font>
      <b/>
      <sz val="18"/>
      <color rgb="FF242424"/>
      <name val="Segoe UI"/>
      <family val="2"/>
    </font>
    <font>
      <sz val="10.5"/>
      <color rgb="FF242424"/>
      <name val="Segoe UI"/>
      <family val="2"/>
    </font>
    <font>
      <b/>
      <sz val="14"/>
      <color theme="1"/>
      <name val="Times New Roman"/>
      <family val="1"/>
    </font>
    <font>
      <b/>
      <sz val="20"/>
      <color theme="1"/>
      <name val="Calibri"/>
      <family val="2"/>
      <scheme val="minor"/>
    </font>
    <font>
      <sz val="11"/>
      <color theme="7" tint="-0.249977111117893"/>
      <name val="Calibri"/>
      <family val="2"/>
      <scheme val="minor"/>
    </font>
    <font>
      <sz val="22"/>
      <color rgb="FFFF0000"/>
      <name val="Calibri"/>
      <family val="2"/>
      <scheme val="minor"/>
    </font>
    <font>
      <b/>
      <sz val="14"/>
      <color theme="1"/>
      <name val="Calibri"/>
      <family val="1"/>
      <scheme val="minor"/>
    </font>
    <font>
      <sz val="11"/>
      <color rgb="FF0070C0"/>
      <name val="Calibri"/>
      <family val="2"/>
      <scheme val="minor"/>
    </font>
    <font>
      <b/>
      <u/>
      <sz val="14"/>
      <color theme="4" tint="-0.249977111117893"/>
      <name val="Calibri"/>
      <family val="2"/>
      <scheme val="minor"/>
    </font>
    <font>
      <sz val="11"/>
      <color rgb="FF7030A0"/>
      <name val="Calibri"/>
      <family val="2"/>
      <scheme val="minor"/>
    </font>
    <font>
      <b/>
      <sz val="11"/>
      <color rgb="FFFF0000"/>
      <name val="Calibri"/>
      <family val="2"/>
      <scheme val="minor"/>
    </font>
    <font>
      <sz val="10"/>
      <name val="Calibri"/>
      <family val="2"/>
      <scheme val="minor"/>
    </font>
    <font>
      <sz val="22"/>
      <color rgb="FFFF0000"/>
      <name val="Segoe UI"/>
      <family val="2"/>
    </font>
    <font>
      <sz val="11"/>
      <color rgb="FF242424"/>
      <name val="Segoe UI"/>
      <family val="2"/>
    </font>
    <font>
      <i/>
      <sz val="11"/>
      <color rgb="FF242424"/>
      <name val="Segoe UI"/>
      <family val="2"/>
    </font>
    <font>
      <b/>
      <u/>
      <sz val="14"/>
      <name val="Calibri"/>
      <family val="2"/>
      <scheme val="minor"/>
    </font>
    <font>
      <b/>
      <u/>
      <sz val="11"/>
      <name val="Calibri"/>
      <family val="2"/>
      <scheme val="minor"/>
    </font>
    <font>
      <sz val="22"/>
      <color theme="1"/>
      <name val="Calibri"/>
      <family val="2"/>
      <scheme val="minor"/>
    </font>
    <font>
      <sz val="9"/>
      <color indexed="81"/>
      <name val="Tahoma"/>
      <family val="2"/>
    </font>
    <font>
      <b/>
      <sz val="9"/>
      <color indexed="81"/>
      <name val="Tahoma"/>
      <family val="2"/>
    </font>
    <font>
      <b/>
      <u/>
      <sz val="9"/>
      <color indexed="81"/>
      <name val="Tahoma"/>
      <family val="2"/>
    </font>
    <font>
      <b/>
      <sz val="22"/>
      <color theme="1"/>
      <name val="Calibri"/>
      <family val="2"/>
      <scheme val="minor"/>
    </font>
    <font>
      <sz val="11"/>
      <color theme="8" tint="-0.499984740745262"/>
      <name val="Calibri"/>
      <family val="2"/>
      <scheme val="minor"/>
    </font>
    <font>
      <b/>
      <sz val="14"/>
      <color theme="8" tint="-0.499984740745262"/>
      <name val="Calibri"/>
      <family val="2"/>
      <scheme val="minor"/>
    </font>
    <font>
      <sz val="20"/>
      <color theme="1"/>
      <name val="Calibri"/>
      <family val="2"/>
      <scheme val="minor"/>
    </font>
    <font>
      <b/>
      <u/>
      <sz val="11"/>
      <color theme="8" tint="-0.499984740745262"/>
      <name val="Calibri"/>
      <family val="2"/>
      <scheme val="minor"/>
    </font>
    <font>
      <b/>
      <sz val="11"/>
      <color theme="8" tint="-0.499984740745262"/>
      <name val="Calibri"/>
      <family val="2"/>
      <scheme val="minor"/>
    </font>
    <font>
      <b/>
      <sz val="14"/>
      <name val="Calibri"/>
      <family val="2"/>
      <scheme val="minor"/>
    </font>
    <font>
      <b/>
      <u/>
      <sz val="18"/>
      <color theme="1"/>
      <name val="Calibri"/>
      <family val="2"/>
      <scheme val="minor"/>
    </font>
    <font>
      <b/>
      <u/>
      <sz val="18"/>
      <color theme="8" tint="-0.499984740745262"/>
      <name val="Calibri"/>
      <family val="2"/>
      <scheme val="minor"/>
    </font>
    <font>
      <b/>
      <sz val="10"/>
      <name val="Calibri"/>
      <family val="2"/>
      <scheme val="minor"/>
    </font>
    <font>
      <b/>
      <sz val="12"/>
      <name val="Calibri"/>
      <family val="2"/>
      <scheme val="minor"/>
    </font>
    <font>
      <b/>
      <sz val="16"/>
      <color theme="1"/>
      <name val="Calibri"/>
      <family val="2"/>
      <scheme val="minor"/>
    </font>
    <font>
      <b/>
      <u/>
      <sz val="14"/>
      <color rgb="FF0070C0"/>
      <name val="Calibri"/>
      <family val="2"/>
      <scheme val="minor"/>
    </font>
    <font>
      <b/>
      <sz val="14"/>
      <color rgb="FF0070C0"/>
      <name val="Calibri"/>
      <family val="2"/>
      <scheme val="minor"/>
    </font>
  </fonts>
  <fills count="39">
    <fill>
      <patternFill patternType="none"/>
    </fill>
    <fill>
      <patternFill patternType="gray125"/>
    </fill>
    <fill>
      <patternFill patternType="solid">
        <fgColor indexed="9"/>
        <bgColor indexed="64"/>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bgColor indexed="62"/>
      </patternFill>
    </fill>
    <fill>
      <patternFill patternType="solid">
        <fgColor indexed="45"/>
        <bgColor indexed="45"/>
      </patternFill>
    </fill>
    <fill>
      <patternFill patternType="solid">
        <fgColor indexed="29"/>
        <bgColor indexed="29"/>
      </patternFill>
    </fill>
    <fill>
      <patternFill patternType="solid">
        <fgColor indexed="10"/>
        <bgColor indexed="10"/>
      </patternFill>
    </fill>
    <fill>
      <patternFill patternType="solid">
        <fgColor indexed="42"/>
        <bgColor indexed="42"/>
      </patternFill>
    </fill>
    <fill>
      <patternFill patternType="solid">
        <fgColor indexed="11"/>
        <bgColor indexed="11"/>
      </patternFill>
    </fill>
    <fill>
      <patternFill patternType="solid">
        <fgColor indexed="57"/>
        <bgColor indexed="57"/>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bgColor indexed="53"/>
      </patternFill>
    </fill>
    <fill>
      <patternFill patternType="solid">
        <fgColor indexed="22"/>
        <bgColor indexed="22"/>
      </patternFill>
    </fill>
    <fill>
      <patternFill patternType="solid">
        <fgColor indexed="55"/>
        <b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43"/>
        <bgColor indexed="43"/>
      </patternFill>
    </fill>
    <fill>
      <patternFill patternType="solid">
        <fgColor indexed="26"/>
        <bgColor indexed="26"/>
      </patternFill>
    </fill>
    <fill>
      <patternFill patternType="solid">
        <fgColor theme="6" tint="0.59999389629810485"/>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CFFCC"/>
        <bgColor indexed="64"/>
      </patternFill>
    </fill>
    <fill>
      <patternFill patternType="solid">
        <fgColor theme="0"/>
        <bgColor indexed="64"/>
      </patternFill>
    </fill>
    <fill>
      <patternFill patternType="solid">
        <fgColor rgb="FFEBE9DD"/>
        <bgColor indexed="64"/>
      </patternFill>
    </fill>
    <fill>
      <patternFill patternType="solid">
        <fgColor theme="3" tint="0.79998168889431442"/>
        <bgColor indexed="64"/>
      </patternFill>
    </fill>
    <fill>
      <patternFill patternType="solid">
        <fgColor rgb="FFFFFF00"/>
        <bgColor indexed="64"/>
      </patternFill>
    </fill>
    <fill>
      <patternFill patternType="lightGray">
        <fgColor rgb="FFCCFFCC"/>
      </patternFill>
    </fill>
    <fill>
      <patternFill patternType="solid">
        <fgColor theme="9" tint="0.79998168889431442"/>
        <bgColor indexed="64"/>
      </patternFill>
    </fill>
    <fill>
      <patternFill patternType="solid">
        <fgColor theme="8" tint="0.79998168889431442"/>
        <bgColor indexed="64"/>
      </patternFill>
    </fill>
  </fills>
  <borders count="9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medium">
        <color indexed="64"/>
      </top>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bottom/>
      <diagonal/>
    </border>
    <border>
      <left/>
      <right style="double">
        <color indexed="64"/>
      </right>
      <top/>
      <bottom style="thin">
        <color indexed="64"/>
      </bottom>
      <diagonal/>
    </border>
    <border>
      <left/>
      <right style="double">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bottom style="medium">
        <color indexed="64"/>
      </bottom>
      <diagonal/>
    </border>
  </borders>
  <cellStyleXfs count="112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0" fontId="9" fillId="3" borderId="0" applyNumberFormat="0" applyBorder="0" applyAlignment="0" applyProtection="0"/>
    <xf numFmtId="0" fontId="9"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9" fillId="15" borderId="0" applyNumberFormat="0" applyBorder="0" applyAlignment="0" applyProtection="0"/>
    <xf numFmtId="0" fontId="9" fillId="4"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21" borderId="23" applyNumberFormat="0" applyAlignment="0" applyProtection="0"/>
    <xf numFmtId="0" fontId="11" fillId="21" borderId="23" applyNumberFormat="0" applyAlignment="0" applyProtection="0"/>
    <xf numFmtId="0" fontId="11" fillId="21" borderId="23" applyNumberFormat="0" applyAlignment="0" applyProtection="0"/>
    <xf numFmtId="0" fontId="5" fillId="22" borderId="24" applyNumberFormat="0" applyAlignment="0" applyProtection="0"/>
    <xf numFmtId="0" fontId="5" fillId="22" borderId="24" applyNumberFormat="0" applyAlignment="0" applyProtection="0"/>
    <xf numFmtId="0" fontId="5" fillId="22" borderId="24"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 fillId="0" borderId="25" applyNumberFormat="0" applyFill="0" applyAlignment="0" applyProtection="0"/>
    <xf numFmtId="0" fontId="14" fillId="0" borderId="25" applyNumberFormat="0" applyFill="0" applyAlignment="0" applyProtection="0"/>
    <xf numFmtId="0" fontId="14" fillId="0" borderId="25" applyNumberFormat="0" applyFill="0" applyAlignment="0" applyProtection="0"/>
    <xf numFmtId="0" fontId="15" fillId="0" borderId="26" applyNumberFormat="0" applyFill="0" applyAlignment="0" applyProtection="0"/>
    <xf numFmtId="0" fontId="15" fillId="0" borderId="26" applyNumberFormat="0" applyFill="0" applyAlignment="0" applyProtection="0"/>
    <xf numFmtId="0" fontId="15" fillId="0" borderId="26" applyNumberFormat="0" applyFill="0" applyAlignment="0" applyProtection="0"/>
    <xf numFmtId="0" fontId="16" fillId="0" borderId="27" applyNumberFormat="0" applyFill="0" applyAlignment="0" applyProtection="0"/>
    <xf numFmtId="0" fontId="16" fillId="0" borderId="27" applyNumberFormat="0" applyFill="0" applyAlignment="0" applyProtection="0"/>
    <xf numFmtId="0" fontId="16" fillId="0" borderId="27"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17" borderId="23" applyNumberFormat="0" applyAlignment="0" applyProtection="0"/>
    <xf numFmtId="0" fontId="17" fillId="17" borderId="23" applyNumberFormat="0" applyAlignment="0" applyProtection="0"/>
    <xf numFmtId="0" fontId="17" fillId="17" borderId="23" applyNumberFormat="0" applyAlignment="0" applyProtection="0"/>
    <xf numFmtId="0" fontId="18" fillId="0" borderId="28" applyNumberFormat="0" applyFill="0" applyAlignment="0" applyProtection="0"/>
    <xf numFmtId="0" fontId="18" fillId="0" borderId="28" applyNumberFormat="0" applyFill="0" applyAlignment="0" applyProtection="0"/>
    <xf numFmtId="0" fontId="18" fillId="0" borderId="28" applyNumberFormat="0" applyFill="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3" fillId="0" borderId="0"/>
    <xf numFmtId="0" fontId="9" fillId="0" borderId="0"/>
    <xf numFmtId="0" fontId="9" fillId="0" borderId="0"/>
    <xf numFmtId="0" fontId="9" fillId="0" borderId="0"/>
    <xf numFmtId="0" fontId="3" fillId="0" borderId="0"/>
    <xf numFmtId="0" fontId="3"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wrapText="1"/>
    </xf>
    <xf numFmtId="0" fontId="3" fillId="0" borderId="0">
      <alignment wrapText="1"/>
    </xf>
    <xf numFmtId="0" fontId="3" fillId="0" borderId="0">
      <alignment wrapText="1"/>
    </xf>
    <xf numFmtId="0" fontId="3" fillId="0" borderId="0">
      <alignment wrapText="1"/>
    </xf>
    <xf numFmtId="0" fontId="3" fillId="0" borderId="0">
      <alignment wrapText="1"/>
    </xf>
    <xf numFmtId="0" fontId="3" fillId="0" borderId="0">
      <alignment wrapText="1"/>
    </xf>
    <xf numFmtId="0" fontId="3" fillId="0" borderId="0">
      <alignment wrapText="1"/>
    </xf>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wrapText="1"/>
    </xf>
    <xf numFmtId="0" fontId="3"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27" borderId="29" applyNumberFormat="0" applyFont="0" applyAlignment="0" applyProtection="0"/>
    <xf numFmtId="0" fontId="3" fillId="27" borderId="29" applyNumberFormat="0" applyFont="0" applyAlignment="0" applyProtection="0"/>
    <xf numFmtId="0" fontId="3" fillId="27" borderId="29" applyNumberFormat="0" applyFont="0" applyAlignment="0" applyProtection="0"/>
    <xf numFmtId="0" fontId="7" fillId="21" borderId="30" applyNumberFormat="0" applyAlignment="0" applyProtection="0"/>
    <xf numFmtId="0" fontId="7" fillId="21" borderId="30" applyNumberFormat="0" applyAlignment="0" applyProtection="0"/>
    <xf numFmtId="0" fontId="7" fillId="21" borderId="3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2" fillId="0" borderId="0" applyNumberFormat="0" applyFill="0" applyBorder="0" applyAlignment="0" applyProtection="0"/>
    <xf numFmtId="0" fontId="12" fillId="0" borderId="31" applyNumberFormat="0" applyFill="0" applyAlignment="0" applyProtection="0"/>
    <xf numFmtId="0" fontId="12" fillId="0" borderId="31" applyNumberFormat="0" applyFill="0" applyAlignment="0" applyProtection="0"/>
    <xf numFmtId="0" fontId="12" fillId="0" borderId="31"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wrapText="1"/>
    </xf>
    <xf numFmtId="0" fontId="2" fillId="0" borderId="0"/>
    <xf numFmtId="0" fontId="2" fillId="0" borderId="0"/>
    <xf numFmtId="0" fontId="2" fillId="0" borderId="0"/>
    <xf numFmtId="0" fontId="2" fillId="0" borderId="0"/>
    <xf numFmtId="0" fontId="2" fillId="27" borderId="29" applyNumberFormat="0" applyFont="0" applyAlignment="0" applyProtection="0"/>
    <xf numFmtId="0" fontId="2" fillId="27" borderId="29" applyNumberFormat="0" applyFont="0" applyAlignment="0" applyProtection="0"/>
    <xf numFmtId="0" fontId="2" fillId="27" borderId="2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 fillId="0" borderId="0" applyNumberFormat="0" applyFill="0" applyBorder="0" applyAlignment="0" applyProtection="0"/>
  </cellStyleXfs>
  <cellXfs count="513">
    <xf numFmtId="0" fontId="0" fillId="0" borderId="0" xfId="0"/>
    <xf numFmtId="0" fontId="0" fillId="0" borderId="22" xfId="0" applyBorder="1" applyAlignment="1">
      <alignment horizontal="center"/>
    </xf>
    <xf numFmtId="0" fontId="0" fillId="0" borderId="42" xfId="0" applyBorder="1"/>
    <xf numFmtId="167" fontId="0" fillId="0" borderId="41" xfId="0" applyNumberFormat="1" applyBorder="1"/>
    <xf numFmtId="0" fontId="0" fillId="0" borderId="1" xfId="0" applyBorder="1"/>
    <xf numFmtId="0" fontId="0" fillId="0" borderId="2" xfId="0" applyBorder="1"/>
    <xf numFmtId="0" fontId="0" fillId="0" borderId="40" xfId="0" applyBorder="1"/>
    <xf numFmtId="167" fontId="0" fillId="0" borderId="39" xfId="0" applyNumberFormat="1" applyBorder="1"/>
    <xf numFmtId="0" fontId="0" fillId="0" borderId="49" xfId="0" applyBorder="1" applyAlignment="1">
      <alignment horizontal="center"/>
    </xf>
    <xf numFmtId="0" fontId="0" fillId="0" borderId="20" xfId="0" applyBorder="1"/>
    <xf numFmtId="0" fontId="0" fillId="0" borderId="37" xfId="0" applyBorder="1"/>
    <xf numFmtId="167" fontId="0" fillId="0" borderId="36" xfId="0" applyNumberFormat="1" applyBorder="1"/>
    <xf numFmtId="0" fontId="4" fillId="0" borderId="19" xfId="0" applyFont="1" applyBorder="1" applyAlignment="1">
      <alignment horizont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22" xfId="0" applyFont="1" applyBorder="1" applyAlignment="1">
      <alignment horizontal="center"/>
    </xf>
    <xf numFmtId="0" fontId="4" fillId="0" borderId="35" xfId="0" applyFont="1" applyBorder="1" applyAlignment="1">
      <alignment horizontal="center"/>
    </xf>
    <xf numFmtId="0" fontId="4" fillId="0" borderId="2" xfId="0" applyFont="1" applyBorder="1" applyAlignment="1">
      <alignment horizontal="center"/>
    </xf>
    <xf numFmtId="0" fontId="4" fillId="0" borderId="34" xfId="0" applyFont="1" applyBorder="1" applyAlignment="1">
      <alignment horizontal="center"/>
    </xf>
    <xf numFmtId="0" fontId="4" fillId="0" borderId="10" xfId="0" applyFont="1" applyBorder="1" applyAlignment="1">
      <alignment horizontal="center"/>
    </xf>
    <xf numFmtId="0" fontId="4" fillId="0" borderId="46" xfId="0" applyFont="1" applyBorder="1" applyAlignment="1">
      <alignment horizontal="center" wrapText="1"/>
    </xf>
    <xf numFmtId="0" fontId="4" fillId="0" borderId="45" xfId="0" applyFont="1" applyBorder="1" applyAlignment="1">
      <alignment horizontal="center" wrapText="1"/>
    </xf>
    <xf numFmtId="0" fontId="4" fillId="0" borderId="44" xfId="0" applyFont="1" applyBorder="1" applyAlignment="1">
      <alignment horizontal="center" wrapText="1"/>
    </xf>
    <xf numFmtId="0" fontId="4" fillId="0" borderId="43" xfId="0" applyFont="1" applyBorder="1" applyAlignment="1">
      <alignment horizontal="center"/>
    </xf>
    <xf numFmtId="0" fontId="4" fillId="0" borderId="33" xfId="0" applyFont="1" applyBorder="1" applyAlignment="1">
      <alignment horizontal="center" wrapText="1"/>
    </xf>
    <xf numFmtId="0" fontId="4" fillId="0" borderId="1" xfId="0" applyFont="1" applyBorder="1" applyAlignment="1">
      <alignment horizontal="center" wrapText="1"/>
    </xf>
    <xf numFmtId="0" fontId="4" fillId="0" borderId="32" xfId="0" applyFont="1" applyBorder="1" applyAlignment="1">
      <alignment horizontal="center" wrapText="1"/>
    </xf>
    <xf numFmtId="0" fontId="4" fillId="0" borderId="7" xfId="0" applyFont="1" applyBorder="1" applyAlignment="1">
      <alignment horizontal="center"/>
    </xf>
    <xf numFmtId="0" fontId="0" fillId="0" borderId="3" xfId="0" applyBorder="1"/>
    <xf numFmtId="0" fontId="3" fillId="0" borderId="0" xfId="11"/>
    <xf numFmtId="0" fontId="3" fillId="0" borderId="0" xfId="672"/>
    <xf numFmtId="0" fontId="3" fillId="0" borderId="16" xfId="672" applyBorder="1" applyAlignment="1">
      <alignment horizontal="center"/>
    </xf>
    <xf numFmtId="0" fontId="3" fillId="0" borderId="38" xfId="672" applyBorder="1" applyAlignment="1">
      <alignment horizontal="center"/>
    </xf>
    <xf numFmtId="0" fontId="3" fillId="0" borderId="40" xfId="672" applyBorder="1"/>
    <xf numFmtId="0" fontId="3" fillId="0" borderId="17" xfId="672" applyBorder="1" applyAlignment="1">
      <alignment horizontal="center"/>
    </xf>
    <xf numFmtId="0" fontId="3" fillId="0" borderId="21" xfId="672" applyBorder="1"/>
    <xf numFmtId="168" fontId="3" fillId="0" borderId="39" xfId="8" applyNumberFormat="1" applyBorder="1"/>
    <xf numFmtId="168" fontId="3" fillId="0" borderId="3" xfId="8" applyNumberFormat="1" applyBorder="1"/>
    <xf numFmtId="168" fontId="3" fillId="0" borderId="40" xfId="8" applyNumberFormat="1" applyBorder="1"/>
    <xf numFmtId="168" fontId="3" fillId="0" borderId="41" xfId="8" applyNumberFormat="1" applyBorder="1"/>
    <xf numFmtId="168" fontId="3" fillId="0" borderId="42" xfId="8" applyNumberFormat="1" applyBorder="1"/>
    <xf numFmtId="168" fontId="3" fillId="0" borderId="21" xfId="8" applyNumberFormat="1" applyBorder="1"/>
    <xf numFmtId="168" fontId="3" fillId="0" borderId="34" xfId="8" applyNumberFormat="1" applyBorder="1"/>
    <xf numFmtId="168" fontId="3" fillId="0" borderId="32" xfId="8" applyNumberFormat="1" applyBorder="1"/>
    <xf numFmtId="0" fontId="0" fillId="0" borderId="53" xfId="0" applyBorder="1"/>
    <xf numFmtId="0" fontId="25" fillId="0" borderId="0" xfId="0" applyFont="1"/>
    <xf numFmtId="0" fontId="0" fillId="28" borderId="3" xfId="0" applyFill="1" applyBorder="1"/>
    <xf numFmtId="168" fontId="3" fillId="0" borderId="18" xfId="8" applyNumberFormat="1" applyFill="1" applyBorder="1"/>
    <xf numFmtId="168" fontId="3" fillId="0" borderId="4" xfId="8" applyNumberFormat="1" applyFill="1" applyBorder="1"/>
    <xf numFmtId="168" fontId="3" fillId="0" borderId="40" xfId="8" applyNumberFormat="1" applyFill="1" applyBorder="1"/>
    <xf numFmtId="167" fontId="0" fillId="0" borderId="38" xfId="0" applyNumberFormat="1" applyBorder="1"/>
    <xf numFmtId="0" fontId="0" fillId="0" borderId="18" xfId="0" applyBorder="1"/>
    <xf numFmtId="0" fontId="0" fillId="0" borderId="50" xfId="0" applyBorder="1"/>
    <xf numFmtId="168" fontId="3" fillId="28" borderId="39" xfId="8" applyNumberFormat="1" applyFill="1" applyBorder="1"/>
    <xf numFmtId="0" fontId="0" fillId="0" borderId="9" xfId="0" applyBorder="1"/>
    <xf numFmtId="0" fontId="0" fillId="0" borderId="0" xfId="1" applyNumberFormat="1" applyFont="1" applyBorder="1"/>
    <xf numFmtId="0" fontId="0" fillId="0" borderId="0" xfId="0" applyAlignment="1">
      <alignment wrapText="1"/>
    </xf>
    <xf numFmtId="0" fontId="25" fillId="0" borderId="0" xfId="0" applyFont="1" applyAlignment="1">
      <alignment wrapText="1"/>
    </xf>
    <xf numFmtId="0" fontId="0" fillId="0" borderId="7" xfId="0" applyBorder="1"/>
    <xf numFmtId="0" fontId="31" fillId="0" borderId="0" xfId="0" applyFont="1"/>
    <xf numFmtId="0" fontId="31" fillId="0" borderId="0" xfId="0" applyFont="1" applyAlignment="1">
      <alignment wrapText="1"/>
    </xf>
    <xf numFmtId="172" fontId="25" fillId="0" borderId="0" xfId="0" applyNumberFormat="1" applyFont="1"/>
    <xf numFmtId="173" fontId="25" fillId="0" borderId="0" xfId="0" applyNumberFormat="1" applyFont="1"/>
    <xf numFmtId="0" fontId="30" fillId="0" borderId="0" xfId="0" applyFont="1"/>
    <xf numFmtId="166" fontId="25" fillId="0" borderId="0" xfId="2" applyNumberFormat="1" applyFont="1"/>
    <xf numFmtId="0" fontId="0" fillId="0" borderId="0" xfId="0" applyAlignment="1">
      <alignment horizontal="left"/>
    </xf>
    <xf numFmtId="9" fontId="25" fillId="0" borderId="0" xfId="0" applyNumberFormat="1" applyFont="1"/>
    <xf numFmtId="166" fontId="25" fillId="0" borderId="0" xfId="0" applyNumberFormat="1" applyFont="1"/>
    <xf numFmtId="44" fontId="25" fillId="0" borderId="0" xfId="0" applyNumberFormat="1" applyFont="1"/>
    <xf numFmtId="0" fontId="25" fillId="0" borderId="0" xfId="0" quotePrefix="1" applyFont="1"/>
    <xf numFmtId="165" fontId="31" fillId="0" borderId="0" xfId="0" applyNumberFormat="1" applyFont="1"/>
    <xf numFmtId="166" fontId="31" fillId="0" borderId="0" xfId="2" applyNumberFormat="1" applyFont="1"/>
    <xf numFmtId="9" fontId="31" fillId="0" borderId="0" xfId="3" applyFont="1" applyBorder="1"/>
    <xf numFmtId="44" fontId="31" fillId="0" borderId="0" xfId="2" applyFont="1" applyBorder="1"/>
    <xf numFmtId="171" fontId="31" fillId="0" borderId="0" xfId="3" applyNumberFormat="1" applyFont="1" applyBorder="1"/>
    <xf numFmtId="166" fontId="2" fillId="0" borderId="0" xfId="8" applyNumberFormat="1" applyFont="1" applyBorder="1" applyAlignment="1"/>
    <xf numFmtId="169" fontId="31" fillId="0" borderId="0" xfId="3" applyNumberFormat="1" applyFont="1" applyBorder="1"/>
    <xf numFmtId="43" fontId="31" fillId="0" borderId="0" xfId="0" applyNumberFormat="1" applyFont="1"/>
    <xf numFmtId="170" fontId="31" fillId="0" borderId="0" xfId="0" applyNumberFormat="1" applyFont="1"/>
    <xf numFmtId="166" fontId="24" fillId="0" borderId="0" xfId="2" applyNumberFormat="1" applyFont="1" applyFill="1" applyBorder="1"/>
    <xf numFmtId="166" fontId="0" fillId="0" borderId="0" xfId="2" applyNumberFormat="1" applyFont="1" applyFill="1" applyBorder="1"/>
    <xf numFmtId="0" fontId="28" fillId="0" borderId="0" xfId="0" applyFont="1"/>
    <xf numFmtId="9" fontId="28" fillId="0" borderId="0" xfId="3" applyFont="1" applyFill="1" applyBorder="1" applyAlignment="1" applyProtection="1">
      <alignment horizontal="center"/>
    </xf>
    <xf numFmtId="166" fontId="28" fillId="0" borderId="0" xfId="3" applyNumberFormat="1" applyFont="1" applyFill="1" applyBorder="1" applyProtection="1"/>
    <xf numFmtId="166" fontId="0" fillId="0" borderId="0" xfId="0" applyNumberFormat="1"/>
    <xf numFmtId="9" fontId="24" fillId="0" borderId="0" xfId="3" applyFont="1" applyFill="1" applyBorder="1"/>
    <xf numFmtId="2" fontId="0" fillId="0" borderId="3" xfId="0" applyNumberFormat="1" applyBorder="1" applyAlignment="1">
      <alignment horizontal="left" wrapText="1"/>
    </xf>
    <xf numFmtId="164" fontId="0" fillId="0" borderId="3" xfId="0" applyNumberFormat="1" applyBorder="1" applyAlignment="1">
      <alignment horizontal="left" wrapText="1"/>
    </xf>
    <xf numFmtId="165" fontId="0" fillId="31" borderId="3" xfId="1" applyNumberFormat="1" applyFont="1" applyFill="1" applyBorder="1" applyAlignment="1" applyProtection="1">
      <alignment wrapText="1"/>
      <protection locked="0"/>
    </xf>
    <xf numFmtId="0" fontId="24" fillId="31" borderId="3" xfId="0" applyFont="1" applyFill="1" applyBorder="1" applyAlignment="1" applyProtection="1">
      <alignment wrapText="1"/>
      <protection locked="0"/>
    </xf>
    <xf numFmtId="0" fontId="24" fillId="0" borderId="16" xfId="0" applyFont="1" applyBorder="1" applyAlignment="1">
      <alignment horizontal="right" wrapText="1"/>
    </xf>
    <xf numFmtId="0" fontId="24" fillId="0" borderId="38" xfId="0" applyFont="1" applyBorder="1" applyAlignment="1">
      <alignment horizontal="right" wrapText="1"/>
    </xf>
    <xf numFmtId="0" fontId="0" fillId="31" borderId="1" xfId="0" applyFill="1" applyBorder="1" applyAlignment="1" applyProtection="1">
      <alignment horizontal="left"/>
      <protection locked="0"/>
    </xf>
    <xf numFmtId="0" fontId="0" fillId="0" borderId="0" xfId="0" applyAlignment="1">
      <alignment horizontal="center"/>
    </xf>
    <xf numFmtId="1" fontId="0" fillId="0" borderId="0" xfId="0" applyNumberFormat="1"/>
    <xf numFmtId="164" fontId="0" fillId="0" borderId="42" xfId="0" applyNumberFormat="1" applyBorder="1" applyAlignment="1">
      <alignment horizontal="center" wrapText="1"/>
    </xf>
    <xf numFmtId="166" fontId="24" fillId="0" borderId="0" xfId="2" applyNumberFormat="1" applyFont="1" applyFill="1" applyBorder="1" applyAlignment="1">
      <alignment horizontal="left"/>
    </xf>
    <xf numFmtId="166" fontId="0" fillId="0" borderId="0" xfId="2" applyNumberFormat="1" applyFont="1" applyFill="1" applyBorder="1" applyAlignment="1">
      <alignment horizontal="left"/>
    </xf>
    <xf numFmtId="3" fontId="0" fillId="31" borderId="3" xfId="1" applyNumberFormat="1" applyFont="1" applyFill="1" applyBorder="1" applyAlignment="1" applyProtection="1">
      <alignment horizontal="left" vertical="center"/>
      <protection locked="0"/>
    </xf>
    <xf numFmtId="0" fontId="33" fillId="0" borderId="0" xfId="0" applyFont="1"/>
    <xf numFmtId="166" fontId="33" fillId="0" borderId="0" xfId="2" applyNumberFormat="1" applyFont="1" applyBorder="1" applyAlignment="1"/>
    <xf numFmtId="166" fontId="33" fillId="0" borderId="0" xfId="2" applyNumberFormat="1" applyFont="1" applyBorder="1"/>
    <xf numFmtId="9" fontId="33" fillId="0" borderId="0" xfId="3" applyFont="1" applyBorder="1" applyAlignment="1"/>
    <xf numFmtId="173" fontId="33" fillId="0" borderId="0" xfId="0" applyNumberFormat="1" applyFont="1"/>
    <xf numFmtId="0" fontId="27" fillId="0" borderId="8" xfId="11" applyFont="1" applyBorder="1"/>
    <xf numFmtId="0" fontId="0" fillId="0" borderId="62" xfId="0" applyBorder="1" applyProtection="1">
      <protection locked="0"/>
    </xf>
    <xf numFmtId="0" fontId="0" fillId="0" borderId="60" xfId="0" applyBorder="1" applyAlignment="1">
      <alignment horizontal="left"/>
    </xf>
    <xf numFmtId="0" fontId="0" fillId="0" borderId="64" xfId="0" applyBorder="1"/>
    <xf numFmtId="0" fontId="27" fillId="0" borderId="65" xfId="11" applyFont="1" applyBorder="1"/>
    <xf numFmtId="176" fontId="28" fillId="0" borderId="0" xfId="3" quotePrefix="1" applyNumberFormat="1" applyFont="1" applyFill="1" applyBorder="1" applyAlignment="1" applyProtection="1">
      <alignment horizontal="center"/>
    </xf>
    <xf numFmtId="0" fontId="28" fillId="0" borderId="62" xfId="0" applyFont="1" applyBorder="1" applyAlignment="1">
      <alignment horizontal="left"/>
    </xf>
    <xf numFmtId="165" fontId="28" fillId="0" borderId="0" xfId="3" applyNumberFormat="1" applyFont="1" applyFill="1" applyBorder="1" applyAlignment="1" applyProtection="1">
      <alignment horizontal="center"/>
    </xf>
    <xf numFmtId="166" fontId="1" fillId="0" borderId="0" xfId="2" applyNumberFormat="1" applyFont="1" applyFill="1" applyBorder="1"/>
    <xf numFmtId="164" fontId="0" fillId="0" borderId="67" xfId="0" applyNumberFormat="1" applyBorder="1" applyAlignment="1">
      <alignment horizontal="center"/>
    </xf>
    <xf numFmtId="9" fontId="24" fillId="0" borderId="69" xfId="3" applyFont="1" applyFill="1" applyBorder="1" applyAlignment="1">
      <alignment horizontal="center" vertical="center"/>
    </xf>
    <xf numFmtId="176" fontId="0" fillId="31" borderId="3" xfId="2" applyNumberFormat="1" applyFont="1" applyFill="1" applyBorder="1" applyAlignment="1" applyProtection="1">
      <alignment horizontal="left" wrapText="1"/>
      <protection locked="0"/>
    </xf>
    <xf numFmtId="3" fontId="28" fillId="0" borderId="0" xfId="3" applyNumberFormat="1" applyFont="1" applyFill="1" applyBorder="1" applyAlignment="1" applyProtection="1">
      <alignment horizontal="center"/>
    </xf>
    <xf numFmtId="1" fontId="0" fillId="0" borderId="66" xfId="0" applyNumberFormat="1" applyBorder="1" applyAlignment="1">
      <alignment horizontal="center"/>
    </xf>
    <xf numFmtId="1" fontId="0" fillId="0" borderId="59" xfId="0" applyNumberFormat="1" applyBorder="1" applyAlignment="1">
      <alignment horizontal="center"/>
    </xf>
    <xf numFmtId="1" fontId="0" fillId="0" borderId="68" xfId="0" applyNumberFormat="1" applyBorder="1" applyAlignment="1">
      <alignment horizontal="center"/>
    </xf>
    <xf numFmtId="0" fontId="39" fillId="0" borderId="8" xfId="11" applyFont="1" applyBorder="1"/>
    <xf numFmtId="0" fontId="24" fillId="30" borderId="3" xfId="0" applyFont="1" applyFill="1" applyBorder="1" applyAlignment="1">
      <alignment vertical="center" wrapText="1"/>
    </xf>
    <xf numFmtId="1" fontId="24" fillId="30" borderId="3" xfId="0" applyNumberFormat="1" applyFont="1" applyFill="1" applyBorder="1" applyAlignment="1">
      <alignment vertical="center" wrapText="1"/>
    </xf>
    <xf numFmtId="10" fontId="28" fillId="0" borderId="0" xfId="3" applyNumberFormat="1" applyFont="1" applyFill="1" applyBorder="1" applyAlignment="1" applyProtection="1">
      <alignment horizontal="center"/>
    </xf>
    <xf numFmtId="0" fontId="40" fillId="0" borderId="0" xfId="0" applyFont="1"/>
    <xf numFmtId="0" fontId="24" fillId="0" borderId="0" xfId="0" applyFont="1"/>
    <xf numFmtId="0" fontId="24" fillId="0" borderId="0" xfId="0" applyFont="1" applyAlignment="1">
      <alignment horizontal="right"/>
    </xf>
    <xf numFmtId="14" fontId="24" fillId="0" borderId="0" xfId="0" applyNumberFormat="1" applyFont="1" applyAlignment="1">
      <alignment horizontal="center"/>
    </xf>
    <xf numFmtId="0" fontId="0" fillId="0" borderId="39" xfId="0" applyBorder="1" applyAlignment="1">
      <alignment horizontal="center"/>
    </xf>
    <xf numFmtId="0" fontId="0" fillId="0" borderId="3" xfId="0" applyBorder="1" applyAlignment="1">
      <alignment horizontal="center" wrapText="1"/>
    </xf>
    <xf numFmtId="0" fontId="0" fillId="0" borderId="40" xfId="0" applyBorder="1" applyAlignment="1">
      <alignment horizontal="center" wrapText="1"/>
    </xf>
    <xf numFmtId="0" fontId="0" fillId="0" borderId="5" xfId="0" applyBorder="1" applyAlignment="1">
      <alignment horizontal="center" wrapText="1"/>
    </xf>
    <xf numFmtId="0" fontId="0" fillId="0" borderId="40" xfId="0" applyBorder="1" applyAlignment="1">
      <alignment horizontal="center"/>
    </xf>
    <xf numFmtId="0" fontId="24" fillId="0" borderId="47" xfId="0" applyFont="1" applyBorder="1" applyAlignment="1">
      <alignment horizontal="center" wrapText="1"/>
    </xf>
    <xf numFmtId="0" fontId="24" fillId="0" borderId="71" xfId="0" applyFont="1" applyBorder="1" applyAlignment="1">
      <alignment horizontal="center" wrapText="1"/>
    </xf>
    <xf numFmtId="0" fontId="0" fillId="0" borderId="41" xfId="0" applyBorder="1" applyAlignment="1">
      <alignment horizontal="center" wrapText="1"/>
    </xf>
    <xf numFmtId="0" fontId="0" fillId="0" borderId="42" xfId="0" applyBorder="1" applyAlignment="1">
      <alignment horizontal="center" wrapText="1"/>
    </xf>
    <xf numFmtId="0" fontId="0" fillId="0" borderId="21" xfId="0" applyBorder="1" applyAlignment="1">
      <alignment horizontal="center" wrapText="1"/>
    </xf>
    <xf numFmtId="0" fontId="0" fillId="0" borderId="34" xfId="0" applyBorder="1" applyAlignment="1">
      <alignment horizontal="center" wrapText="1"/>
    </xf>
    <xf numFmtId="0" fontId="0" fillId="0" borderId="72" xfId="0" applyBorder="1" applyAlignment="1">
      <alignment horizontal="center" wrapText="1"/>
    </xf>
    <xf numFmtId="0" fontId="0" fillId="0" borderId="2" xfId="0" applyBorder="1" applyAlignment="1">
      <alignment horizontal="center" wrapText="1"/>
    </xf>
    <xf numFmtId="0" fontId="0" fillId="0" borderId="35" xfId="0" applyBorder="1" applyAlignment="1">
      <alignment horizontal="center" wrapText="1"/>
    </xf>
    <xf numFmtId="0" fontId="0" fillId="0" borderId="73" xfId="0" applyBorder="1" applyAlignment="1">
      <alignment horizontal="center" wrapText="1"/>
    </xf>
    <xf numFmtId="9" fontId="0" fillId="0" borderId="20" xfId="3" applyFont="1" applyBorder="1"/>
    <xf numFmtId="9" fontId="0" fillId="0" borderId="37" xfId="3" applyFont="1" applyBorder="1"/>
    <xf numFmtId="9" fontId="0" fillId="0" borderId="33" xfId="3" applyFont="1" applyBorder="1"/>
    <xf numFmtId="9" fontId="0" fillId="0" borderId="40" xfId="3" applyFont="1" applyBorder="1"/>
    <xf numFmtId="9" fontId="0" fillId="0" borderId="74" xfId="3" applyFont="1" applyBorder="1"/>
    <xf numFmtId="0" fontId="0" fillId="0" borderId="75" xfId="0" applyBorder="1"/>
    <xf numFmtId="9" fontId="0" fillId="0" borderId="21" xfId="3" applyFont="1" applyBorder="1"/>
    <xf numFmtId="0" fontId="0" fillId="0" borderId="0" xfId="0" applyAlignment="1">
      <alignment horizontal="center" wrapText="1"/>
    </xf>
    <xf numFmtId="0" fontId="0" fillId="0" borderId="55" xfId="0" applyBorder="1"/>
    <xf numFmtId="0" fontId="29" fillId="31" borderId="0" xfId="0" applyFont="1" applyFill="1"/>
    <xf numFmtId="0" fontId="24" fillId="31" borderId="0" xfId="0" applyFont="1" applyFill="1"/>
    <xf numFmtId="14" fontId="24" fillId="31" borderId="0" xfId="0" applyNumberFormat="1" applyFont="1" applyFill="1" applyAlignment="1">
      <alignment horizontal="center"/>
    </xf>
    <xf numFmtId="0" fontId="41" fillId="0" borderId="0" xfId="0" applyFont="1"/>
    <xf numFmtId="0" fontId="0" fillId="0" borderId="8" xfId="0" applyBorder="1"/>
    <xf numFmtId="0" fontId="0" fillId="0" borderId="10" xfId="0" applyBorder="1"/>
    <xf numFmtId="0" fontId="0" fillId="0" borderId="11" xfId="0" applyBorder="1"/>
    <xf numFmtId="0" fontId="0" fillId="0" borderId="12" xfId="0" applyBorder="1"/>
    <xf numFmtId="0" fontId="42" fillId="0" borderId="0" xfId="0" applyFont="1" applyAlignment="1">
      <alignment vertical="center"/>
    </xf>
    <xf numFmtId="0" fontId="43" fillId="0" borderId="0" xfId="0" applyFont="1" applyAlignment="1">
      <alignment horizontal="left" vertical="center" indent="1"/>
    </xf>
    <xf numFmtId="0" fontId="42" fillId="0" borderId="0" xfId="0" applyFont="1" applyAlignment="1">
      <alignment horizontal="left" vertical="center"/>
    </xf>
    <xf numFmtId="0" fontId="0" fillId="33" borderId="77" xfId="0" applyFill="1" applyBorder="1"/>
    <xf numFmtId="0" fontId="0" fillId="33" borderId="76" xfId="0" applyFill="1" applyBorder="1"/>
    <xf numFmtId="0" fontId="0" fillId="33" borderId="78" xfId="0" applyFill="1" applyBorder="1"/>
    <xf numFmtId="0" fontId="0" fillId="33" borderId="79" xfId="0" applyFill="1" applyBorder="1"/>
    <xf numFmtId="0" fontId="0" fillId="33" borderId="81" xfId="0" applyFill="1" applyBorder="1"/>
    <xf numFmtId="166" fontId="0" fillId="33" borderId="76" xfId="2" applyNumberFormat="1" applyFont="1" applyFill="1" applyBorder="1"/>
    <xf numFmtId="3" fontId="0" fillId="33" borderId="76" xfId="0" applyNumberFormat="1" applyFill="1" applyBorder="1"/>
    <xf numFmtId="166" fontId="0" fillId="33" borderId="80" xfId="0" applyNumberFormat="1" applyFill="1" applyBorder="1"/>
    <xf numFmtId="0" fontId="0" fillId="33" borderId="76" xfId="0" applyFill="1" applyBorder="1" applyAlignment="1">
      <alignment horizontal="right"/>
    </xf>
    <xf numFmtId="166" fontId="0" fillId="33" borderId="80" xfId="2" applyNumberFormat="1" applyFont="1" applyFill="1" applyBorder="1"/>
    <xf numFmtId="44" fontId="0" fillId="0" borderId="0" xfId="0" applyNumberFormat="1"/>
    <xf numFmtId="166" fontId="0" fillId="0" borderId="0" xfId="2" applyNumberFormat="1" applyFont="1"/>
    <xf numFmtId="169" fontId="0" fillId="0" borderId="0" xfId="3" applyNumberFormat="1" applyFont="1"/>
    <xf numFmtId="166" fontId="0" fillId="33" borderId="76" xfId="0" applyNumberFormat="1" applyFill="1" applyBorder="1"/>
    <xf numFmtId="3" fontId="0" fillId="33" borderId="79" xfId="0" applyNumberFormat="1" applyFill="1" applyBorder="1"/>
    <xf numFmtId="0" fontId="4" fillId="0" borderId="10" xfId="0" applyFont="1" applyBorder="1" applyAlignment="1">
      <alignment horizontal="center" wrapText="1"/>
    </xf>
    <xf numFmtId="0" fontId="4" fillId="32" borderId="47" xfId="0" applyFont="1" applyFill="1" applyBorder="1" applyAlignment="1">
      <alignment horizontal="center" wrapText="1"/>
    </xf>
    <xf numFmtId="0" fontId="4" fillId="32" borderId="48" xfId="0" applyFont="1" applyFill="1" applyBorder="1" applyAlignment="1">
      <alignment horizontal="center" wrapText="1"/>
    </xf>
    <xf numFmtId="0" fontId="4" fillId="32" borderId="19" xfId="0" applyFont="1" applyFill="1" applyBorder="1" applyAlignment="1">
      <alignment horizontal="center" wrapText="1"/>
    </xf>
    <xf numFmtId="177" fontId="0" fillId="34" borderId="36" xfId="0" applyNumberFormat="1" applyFill="1" applyBorder="1" applyAlignment="1">
      <alignment horizontal="center"/>
    </xf>
    <xf numFmtId="177" fontId="0" fillId="34" borderId="37" xfId="0" applyNumberFormat="1" applyFill="1" applyBorder="1" applyAlignment="1">
      <alignment horizontal="center"/>
    </xf>
    <xf numFmtId="177" fontId="0" fillId="34" borderId="20" xfId="0" applyNumberFormat="1" applyFill="1" applyBorder="1" applyAlignment="1">
      <alignment horizontal="center"/>
    </xf>
    <xf numFmtId="177" fontId="0" fillId="34" borderId="39" xfId="0" applyNumberFormat="1" applyFill="1" applyBorder="1" applyAlignment="1">
      <alignment horizontal="center"/>
    </xf>
    <xf numFmtId="177" fontId="0" fillId="34" borderId="3" xfId="0" applyNumberFormat="1" applyFill="1" applyBorder="1" applyAlignment="1">
      <alignment horizontal="center"/>
    </xf>
    <xf numFmtId="177" fontId="0" fillId="34" borderId="40" xfId="0" applyNumberFormat="1" applyFill="1" applyBorder="1" applyAlignment="1">
      <alignment horizontal="center"/>
    </xf>
    <xf numFmtId="177" fontId="2" fillId="34" borderId="39" xfId="683" applyNumberFormat="1" applyFill="1" applyBorder="1" applyAlignment="1">
      <alignment horizontal="center"/>
    </xf>
    <xf numFmtId="177" fontId="2" fillId="34" borderId="3" xfId="683" applyNumberFormat="1" applyFill="1" applyBorder="1" applyAlignment="1">
      <alignment horizontal="center"/>
    </xf>
    <xf numFmtId="177" fontId="2" fillId="34" borderId="40" xfId="683" applyNumberFormat="1" applyFill="1" applyBorder="1" applyAlignment="1">
      <alignment horizontal="center"/>
    </xf>
    <xf numFmtId="177" fontId="0" fillId="35" borderId="3" xfId="0" applyNumberFormat="1" applyFill="1" applyBorder="1" applyAlignment="1">
      <alignment horizontal="center"/>
    </xf>
    <xf numFmtId="177" fontId="2" fillId="35" borderId="39" xfId="683" applyNumberFormat="1" applyFill="1" applyBorder="1" applyAlignment="1">
      <alignment horizontal="center"/>
    </xf>
    <xf numFmtId="0" fontId="4" fillId="0" borderId="7" xfId="11" applyFont="1" applyBorder="1"/>
    <xf numFmtId="174" fontId="25" fillId="0" borderId="0" xfId="1" applyNumberFormat="1" applyFont="1" applyFill="1" applyBorder="1"/>
    <xf numFmtId="167" fontId="25" fillId="0" borderId="0" xfId="1" applyNumberFormat="1" applyFont="1" applyFill="1" applyBorder="1"/>
    <xf numFmtId="9" fontId="28" fillId="0" borderId="0" xfId="3" applyFont="1" applyFill="1" applyBorder="1" applyProtection="1"/>
    <xf numFmtId="9" fontId="24" fillId="0" borderId="82" xfId="3" applyFont="1" applyFill="1" applyBorder="1" applyAlignment="1">
      <alignment horizontal="center" vertical="center"/>
    </xf>
    <xf numFmtId="0" fontId="0" fillId="0" borderId="0" xfId="0" applyProtection="1">
      <protection locked="0"/>
    </xf>
    <xf numFmtId="0" fontId="28" fillId="0" borderId="0" xfId="0" applyFont="1" applyAlignment="1">
      <alignment horizontal="center"/>
    </xf>
    <xf numFmtId="166" fontId="28" fillId="0" borderId="0" xfId="2" applyNumberFormat="1" applyFont="1" applyBorder="1"/>
    <xf numFmtId="166" fontId="28" fillId="0" borderId="62" xfId="2" applyNumberFormat="1" applyFont="1" applyBorder="1" applyAlignment="1">
      <alignment horizontal="left"/>
    </xf>
    <xf numFmtId="166" fontId="28" fillId="0" borderId="0" xfId="0" applyNumberFormat="1" applyFont="1"/>
    <xf numFmtId="165" fontId="28" fillId="0" borderId="0" xfId="0" applyNumberFormat="1" applyFont="1"/>
    <xf numFmtId="166" fontId="29" fillId="0" borderId="62" xfId="0" applyNumberFormat="1" applyFont="1" applyBorder="1"/>
    <xf numFmtId="166" fontId="29" fillId="0" borderId="62" xfId="2" applyNumberFormat="1" applyFont="1" applyBorder="1" applyAlignment="1">
      <alignment horizontal="left"/>
    </xf>
    <xf numFmtId="3" fontId="28" fillId="0" borderId="0" xfId="0" applyNumberFormat="1" applyFont="1"/>
    <xf numFmtId="44" fontId="28" fillId="0" borderId="62" xfId="2" applyFont="1" applyBorder="1" applyAlignment="1">
      <alignment horizontal="left"/>
    </xf>
    <xf numFmtId="166" fontId="28" fillId="0" borderId="62" xfId="3" applyNumberFormat="1" applyFont="1" applyFill="1" applyBorder="1" applyProtection="1"/>
    <xf numFmtId="9" fontId="28" fillId="0" borderId="11" xfId="3" applyFont="1" applyFill="1" applyBorder="1" applyProtection="1"/>
    <xf numFmtId="166" fontId="28" fillId="0" borderId="63" xfId="3" applyNumberFormat="1" applyFont="1" applyFill="1" applyBorder="1" applyProtection="1"/>
    <xf numFmtId="0" fontId="4" fillId="2" borderId="39" xfId="0" applyFont="1" applyFill="1" applyBorder="1" applyAlignment="1">
      <alignment horizontal="right" vertical="top"/>
    </xf>
    <xf numFmtId="0" fontId="31" fillId="0" borderId="0" xfId="0" quotePrefix="1" applyFont="1"/>
    <xf numFmtId="0" fontId="4" fillId="2" borderId="39" xfId="0" applyFont="1" applyFill="1" applyBorder="1" applyAlignment="1">
      <alignment horizontal="right" vertical="top" wrapText="1"/>
    </xf>
    <xf numFmtId="0" fontId="24" fillId="0" borderId="39" xfId="0" applyFont="1" applyBorder="1" applyAlignment="1">
      <alignment horizontal="right" wrapText="1"/>
    </xf>
    <xf numFmtId="0" fontId="28" fillId="0" borderId="9" xfId="0" applyFont="1" applyBorder="1"/>
    <xf numFmtId="3" fontId="28" fillId="0" borderId="9" xfId="3" applyNumberFormat="1" applyFont="1" applyFill="1" applyBorder="1"/>
    <xf numFmtId="0" fontId="28" fillId="0" borderId="9" xfId="0" applyFont="1" applyBorder="1" applyAlignment="1">
      <alignment horizontal="left"/>
    </xf>
    <xf numFmtId="9" fontId="0" fillId="0" borderId="3" xfId="3" applyFont="1" applyBorder="1"/>
    <xf numFmtId="9" fontId="0" fillId="0" borderId="42" xfId="3" applyFont="1" applyBorder="1"/>
    <xf numFmtId="176" fontId="0" fillId="0" borderId="2" xfId="2" applyNumberFormat="1" applyFont="1" applyFill="1" applyBorder="1" applyAlignment="1" applyProtection="1">
      <alignment horizontal="left" wrapText="1"/>
    </xf>
    <xf numFmtId="165" fontId="0" fillId="0" borderId="84" xfId="1" applyNumberFormat="1" applyFont="1" applyFill="1" applyBorder="1" applyAlignment="1">
      <alignment horizontal="left" wrapText="1"/>
    </xf>
    <xf numFmtId="0" fontId="31" fillId="0" borderId="53" xfId="0" applyFont="1" applyBorder="1"/>
    <xf numFmtId="0" fontId="0" fillId="0" borderId="9" xfId="0" applyBorder="1" applyAlignment="1">
      <alignment horizontal="right"/>
    </xf>
    <xf numFmtId="0" fontId="33" fillId="0" borderId="53" xfId="0" applyFont="1" applyBorder="1"/>
    <xf numFmtId="0" fontId="46" fillId="0" borderId="0" xfId="0" applyFont="1"/>
    <xf numFmtId="0" fontId="47" fillId="0" borderId="0" xfId="0" applyFont="1" applyAlignment="1">
      <alignment horizontal="left" vertical="center" indent="1"/>
    </xf>
    <xf numFmtId="166" fontId="46" fillId="0" borderId="0" xfId="2" quotePrefix="1" applyNumberFormat="1" applyFont="1" applyBorder="1"/>
    <xf numFmtId="166" fontId="51" fillId="0" borderId="0" xfId="2" applyNumberFormat="1" applyFont="1" applyBorder="1"/>
    <xf numFmtId="0" fontId="54" fillId="0" borderId="0" xfId="0" applyFont="1" applyAlignment="1">
      <alignment horizontal="left" vertical="center" indent="1"/>
    </xf>
    <xf numFmtId="0" fontId="0" fillId="0" borderId="0" xfId="0" applyAlignment="1">
      <alignment horizontal="left" vertical="center"/>
    </xf>
    <xf numFmtId="0" fontId="55" fillId="0" borderId="0" xfId="0" applyFont="1" applyAlignment="1">
      <alignment horizontal="left" vertical="center"/>
    </xf>
    <xf numFmtId="0" fontId="56" fillId="0" borderId="0" xfId="0" applyFont="1" applyAlignment="1">
      <alignment horizontal="left" vertical="center"/>
    </xf>
    <xf numFmtId="0" fontId="0" fillId="32" borderId="0" xfId="0" applyFill="1"/>
    <xf numFmtId="0" fontId="37" fillId="32" borderId="0" xfId="0" applyFont="1" applyFill="1" applyAlignment="1">
      <alignment horizontal="left" vertical="center" indent="5"/>
    </xf>
    <xf numFmtId="0" fontId="37" fillId="32" borderId="0" xfId="0" applyFont="1" applyFill="1"/>
    <xf numFmtId="0" fontId="40" fillId="32" borderId="0" xfId="0" applyFont="1" applyFill="1" applyAlignment="1">
      <alignment vertical="center"/>
    </xf>
    <xf numFmtId="0" fontId="40" fillId="32" borderId="0" xfId="0" applyFont="1" applyFill="1"/>
    <xf numFmtId="0" fontId="48" fillId="32" borderId="0" xfId="0" applyFont="1" applyFill="1" applyAlignment="1">
      <alignment vertical="top"/>
    </xf>
    <xf numFmtId="0" fontId="49" fillId="32" borderId="0" xfId="0" applyFont="1" applyFill="1"/>
    <xf numFmtId="165" fontId="31" fillId="0" borderId="0" xfId="1" quotePrefix="1" applyNumberFormat="1" applyFont="1" applyBorder="1"/>
    <xf numFmtId="0" fontId="53" fillId="0" borderId="0" xfId="0" applyFont="1" applyAlignment="1">
      <alignment vertical="top" wrapText="1"/>
    </xf>
    <xf numFmtId="0" fontId="53" fillId="0" borderId="84" xfId="0" applyFont="1" applyBorder="1" applyAlignment="1">
      <alignment vertical="top" wrapText="1"/>
    </xf>
    <xf numFmtId="0" fontId="53" fillId="0" borderId="57" xfId="0" applyFont="1" applyBorder="1" applyAlignment="1">
      <alignment vertical="top" wrapText="1"/>
    </xf>
    <xf numFmtId="0" fontId="53" fillId="0" borderId="53" xfId="0" applyFont="1" applyBorder="1" applyAlignment="1">
      <alignment vertical="top" wrapText="1"/>
    </xf>
    <xf numFmtId="10" fontId="0" fillId="0" borderId="0" xfId="3" applyNumberFormat="1" applyFont="1"/>
    <xf numFmtId="0" fontId="41" fillId="0" borderId="9" xfId="0" applyFont="1" applyBorder="1"/>
    <xf numFmtId="10" fontId="28" fillId="0" borderId="0" xfId="3" applyNumberFormat="1" applyFont="1" applyFill="1" applyBorder="1" applyAlignment="1" applyProtection="1">
      <alignment horizontal="right"/>
    </xf>
    <xf numFmtId="0" fontId="52" fillId="0" borderId="0" xfId="0" applyFont="1"/>
    <xf numFmtId="173" fontId="52" fillId="0" borderId="0" xfId="0" applyNumberFormat="1" applyFont="1"/>
    <xf numFmtId="0" fontId="0" fillId="0" borderId="4" xfId="0" applyBorder="1" applyAlignment="1">
      <alignment horizontal="center"/>
    </xf>
    <xf numFmtId="9" fontId="24" fillId="0" borderId="0" xfId="3"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26" fillId="0" borderId="0" xfId="0" applyFont="1" applyAlignment="1">
      <alignment horizontal="left" vertical="top" wrapText="1"/>
    </xf>
    <xf numFmtId="0" fontId="32" fillId="2" borderId="39" xfId="1123" applyFill="1" applyBorder="1" applyAlignment="1">
      <alignment horizontal="right" vertical="top" wrapText="1"/>
    </xf>
    <xf numFmtId="9" fontId="32" fillId="0" borderId="69" xfId="1123" applyNumberFormat="1" applyFill="1" applyBorder="1" applyAlignment="1">
      <alignment horizontal="center" vertical="center"/>
    </xf>
    <xf numFmtId="14" fontId="24" fillId="0" borderId="0" xfId="0" applyNumberFormat="1" applyFont="1"/>
    <xf numFmtId="0" fontId="58" fillId="0" borderId="0" xfId="0" applyFont="1"/>
    <xf numFmtId="9" fontId="28" fillId="0" borderId="0" xfId="3" applyFont="1" applyFill="1" applyBorder="1" applyAlignment="1" applyProtection="1">
      <alignment horizontal="right"/>
    </xf>
    <xf numFmtId="0" fontId="0" fillId="0" borderId="84" xfId="0" applyBorder="1"/>
    <xf numFmtId="1" fontId="0" fillId="0" borderId="84" xfId="0" applyNumberFormat="1" applyBorder="1" applyAlignment="1">
      <alignment horizontal="center"/>
    </xf>
    <xf numFmtId="164" fontId="0" fillId="0" borderId="84" xfId="0" applyNumberFormat="1" applyBorder="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3" fillId="0" borderId="0" xfId="672" applyAlignment="1">
      <alignment horizontal="center"/>
    </xf>
    <xf numFmtId="167" fontId="0" fillId="0" borderId="0" xfId="0" applyNumberFormat="1"/>
    <xf numFmtId="168" fontId="3" fillId="0" borderId="0" xfId="8" applyNumberFormat="1" applyFill="1" applyBorder="1"/>
    <xf numFmtId="0" fontId="64" fillId="0" borderId="0" xfId="0" applyFont="1"/>
    <xf numFmtId="0" fontId="64" fillId="0" borderId="0" xfId="0" applyFont="1" applyAlignment="1">
      <alignment horizontal="left"/>
    </xf>
    <xf numFmtId="0" fontId="24" fillId="0" borderId="0" xfId="0" applyFont="1" applyAlignment="1">
      <alignment vertical="center"/>
    </xf>
    <xf numFmtId="0" fontId="66" fillId="0" borderId="0" xfId="0" applyFont="1"/>
    <xf numFmtId="166" fontId="64" fillId="0" borderId="0" xfId="2" applyNumberFormat="1" applyFont="1" applyBorder="1"/>
    <xf numFmtId="0" fontId="67" fillId="0" borderId="0" xfId="0" applyFont="1"/>
    <xf numFmtId="0" fontId="68" fillId="0" borderId="0" xfId="0" applyFont="1"/>
    <xf numFmtId="173" fontId="68" fillId="0" borderId="0" xfId="0" applyNumberFormat="1" applyFont="1"/>
    <xf numFmtId="173" fontId="64" fillId="0" borderId="0" xfId="0" applyNumberFormat="1" applyFont="1"/>
    <xf numFmtId="0" fontId="0" fillId="37" borderId="0" xfId="0" applyFill="1"/>
    <xf numFmtId="0" fontId="40" fillId="37" borderId="0" xfId="0" applyFont="1" applyFill="1"/>
    <xf numFmtId="0" fontId="0" fillId="37" borderId="0" xfId="0" applyFill="1" applyAlignment="1">
      <alignment horizontal="left"/>
    </xf>
    <xf numFmtId="0" fontId="40" fillId="37" borderId="0" xfId="0" applyFont="1" applyFill="1" applyAlignment="1">
      <alignment horizontal="left"/>
    </xf>
    <xf numFmtId="0" fontId="28" fillId="37" borderId="0" xfId="0" applyFont="1" applyFill="1" applyAlignment="1">
      <alignment horizontal="left"/>
    </xf>
    <xf numFmtId="0" fontId="64" fillId="38" borderId="0" xfId="0" applyFont="1" applyFill="1"/>
    <xf numFmtId="0" fontId="65" fillId="38" borderId="0" xfId="0" applyFont="1" applyFill="1"/>
    <xf numFmtId="0" fontId="64" fillId="38" borderId="0" xfId="0" applyFont="1" applyFill="1" applyAlignment="1">
      <alignment horizontal="left"/>
    </xf>
    <xf numFmtId="0" fontId="65" fillId="38" borderId="0" xfId="0" applyFont="1" applyFill="1" applyAlignment="1">
      <alignment horizontal="left"/>
    </xf>
    <xf numFmtId="9" fontId="0" fillId="0" borderId="60" xfId="3" applyFont="1" applyBorder="1" applyAlignment="1">
      <alignment horizontal="left" wrapText="1"/>
    </xf>
    <xf numFmtId="9" fontId="0" fillId="0" borderId="60" xfId="3" applyFont="1" applyBorder="1" applyAlignment="1">
      <alignment horizontal="left"/>
    </xf>
    <xf numFmtId="0" fontId="50" fillId="32" borderId="0" xfId="1123" applyFont="1" applyFill="1" applyAlignment="1">
      <alignment horizontal="center"/>
    </xf>
    <xf numFmtId="0" fontId="40" fillId="32" borderId="0" xfId="0" applyFont="1" applyFill="1" applyAlignment="1">
      <alignment horizontal="left"/>
    </xf>
    <xf numFmtId="0" fontId="28" fillId="0" borderId="0" xfId="0" applyFont="1" applyAlignment="1">
      <alignment horizontal="left" vertical="center"/>
    </xf>
    <xf numFmtId="0" fontId="57" fillId="32" borderId="0" xfId="1123" applyFont="1" applyFill="1" applyAlignment="1">
      <alignment horizontal="center"/>
    </xf>
    <xf numFmtId="0" fontId="69" fillId="32" borderId="0" xfId="1123" applyFont="1" applyFill="1" applyAlignment="1">
      <alignment horizontal="left"/>
    </xf>
    <xf numFmtId="0" fontId="32" fillId="0" borderId="0" xfId="1123" applyAlignment="1">
      <alignment horizontal="left"/>
    </xf>
    <xf numFmtId="9" fontId="1" fillId="0" borderId="82" xfId="3" applyFont="1" applyFill="1" applyBorder="1" applyAlignment="1">
      <alignment horizontal="center" vertical="center"/>
    </xf>
    <xf numFmtId="0" fontId="31" fillId="0" borderId="11" xfId="0" applyFont="1" applyBorder="1"/>
    <xf numFmtId="0" fontId="33" fillId="0" borderId="11" xfId="0" applyFont="1" applyBorder="1"/>
    <xf numFmtId="0" fontId="33" fillId="0" borderId="12" xfId="0" applyFont="1" applyBorder="1"/>
    <xf numFmtId="9" fontId="32" fillId="0" borderId="83" xfId="1123" applyNumberFormat="1" applyFill="1" applyBorder="1" applyAlignment="1">
      <alignment vertical="center"/>
    </xf>
    <xf numFmtId="9" fontId="32" fillId="0" borderId="11" xfId="1123" applyNumberFormat="1" applyFill="1" applyBorder="1" applyAlignment="1">
      <alignment vertical="center"/>
    </xf>
    <xf numFmtId="9" fontId="25" fillId="0" borderId="0" xfId="3" applyFont="1" applyBorder="1"/>
    <xf numFmtId="9" fontId="24" fillId="31" borderId="67" xfId="3" applyFont="1" applyFill="1" applyBorder="1" applyAlignment="1" applyProtection="1">
      <alignment horizontal="center" vertical="center"/>
      <protection locked="0"/>
    </xf>
    <xf numFmtId="1" fontId="0" fillId="31" borderId="67" xfId="0" applyNumberFormat="1" applyFill="1" applyBorder="1" applyAlignment="1" applyProtection="1">
      <alignment horizontal="center"/>
      <protection locked="0"/>
    </xf>
    <xf numFmtId="1" fontId="0" fillId="31" borderId="4" xfId="0" applyNumberFormat="1" applyFill="1" applyBorder="1" applyAlignment="1" applyProtection="1">
      <alignment horizontal="center"/>
      <protection locked="0"/>
    </xf>
    <xf numFmtId="0" fontId="0" fillId="36" borderId="54" xfId="0" applyFill="1" applyBorder="1" applyAlignment="1" applyProtection="1">
      <alignment horizontal="center"/>
      <protection locked="0"/>
    </xf>
    <xf numFmtId="1" fontId="28" fillId="31" borderId="3" xfId="0" applyNumberFormat="1" applyFont="1" applyFill="1" applyBorder="1" applyProtection="1">
      <protection locked="0"/>
    </xf>
    <xf numFmtId="166" fontId="28" fillId="31" borderId="3" xfId="0" applyNumberFormat="1" applyFont="1" applyFill="1" applyBorder="1" applyProtection="1">
      <protection locked="0"/>
    </xf>
    <xf numFmtId="166" fontId="28" fillId="31" borderId="60" xfId="0" applyNumberFormat="1" applyFont="1" applyFill="1" applyBorder="1" applyAlignment="1" applyProtection="1">
      <alignment horizontal="left" wrapText="1"/>
      <protection locked="0"/>
    </xf>
    <xf numFmtId="0" fontId="28" fillId="31" borderId="60" xfId="0" applyFont="1" applyFill="1" applyBorder="1" applyAlignment="1" applyProtection="1">
      <alignment horizontal="left" wrapText="1"/>
      <protection locked="0"/>
    </xf>
    <xf numFmtId="166" fontId="0" fillId="31" borderId="60" xfId="0" applyNumberFormat="1" applyFill="1" applyBorder="1" applyAlignment="1" applyProtection="1">
      <alignment horizontal="left" wrapText="1"/>
      <protection locked="0"/>
    </xf>
    <xf numFmtId="0" fontId="28" fillId="31" borderId="39" xfId="0" applyFont="1" applyFill="1" applyBorder="1" applyAlignment="1" applyProtection="1">
      <alignment horizontal="right"/>
      <protection locked="0"/>
    </xf>
    <xf numFmtId="3" fontId="28" fillId="36" borderId="0" xfId="2" applyNumberFormat="1" applyFont="1" applyFill="1" applyBorder="1" applyAlignment="1" applyProtection="1">
      <alignment horizontal="center"/>
      <protection locked="0"/>
    </xf>
    <xf numFmtId="0" fontId="0" fillId="31" borderId="32" xfId="0" applyFill="1" applyBorder="1" applyProtection="1">
      <protection locked="0"/>
    </xf>
    <xf numFmtId="0" fontId="0" fillId="31" borderId="58" xfId="0" applyFill="1" applyBorder="1" applyAlignment="1" applyProtection="1">
      <alignment horizontal="center"/>
      <protection locked="0"/>
    </xf>
    <xf numFmtId="9" fontId="0" fillId="31" borderId="36" xfId="3" applyFont="1" applyFill="1" applyBorder="1" applyProtection="1">
      <protection locked="0"/>
    </xf>
    <xf numFmtId="0" fontId="0" fillId="31" borderId="37" xfId="0" applyFill="1" applyBorder="1" applyProtection="1">
      <protection locked="0"/>
    </xf>
    <xf numFmtId="0" fontId="0" fillId="31" borderId="39" xfId="0" applyFill="1" applyBorder="1" applyProtection="1">
      <protection locked="0"/>
    </xf>
    <xf numFmtId="0" fontId="0" fillId="31" borderId="5" xfId="0" applyFill="1" applyBorder="1" applyProtection="1">
      <protection locked="0"/>
    </xf>
    <xf numFmtId="0" fontId="0" fillId="31" borderId="3" xfId="0" applyFill="1" applyBorder="1" applyProtection="1">
      <protection locked="0"/>
    </xf>
    <xf numFmtId="0" fontId="0" fillId="31" borderId="41" xfId="0" applyFill="1" applyBorder="1" applyProtection="1">
      <protection locked="0"/>
    </xf>
    <xf numFmtId="0" fontId="0" fillId="31" borderId="73" xfId="0" applyFill="1" applyBorder="1" applyProtection="1">
      <protection locked="0"/>
    </xf>
    <xf numFmtId="0" fontId="0" fillId="31" borderId="42" xfId="0" applyFill="1" applyBorder="1" applyProtection="1">
      <protection locked="0"/>
    </xf>
    <xf numFmtId="0" fontId="0" fillId="31" borderId="36" xfId="0" applyFill="1" applyBorder="1" applyProtection="1">
      <protection locked="0"/>
    </xf>
    <xf numFmtId="1" fontId="0" fillId="31" borderId="37" xfId="3" applyNumberFormat="1" applyFont="1" applyFill="1" applyBorder="1" applyProtection="1">
      <protection locked="0"/>
    </xf>
    <xf numFmtId="0" fontId="0" fillId="31" borderId="70" xfId="0" applyFill="1" applyBorder="1" applyProtection="1">
      <protection locked="0"/>
    </xf>
    <xf numFmtId="0" fontId="0" fillId="31" borderId="4" xfId="0" applyFill="1" applyBorder="1" applyProtection="1">
      <protection locked="0"/>
    </xf>
    <xf numFmtId="0" fontId="0" fillId="31" borderId="56" xfId="0" applyFill="1" applyBorder="1" applyProtection="1">
      <protection locked="0"/>
    </xf>
    <xf numFmtId="9" fontId="0" fillId="31" borderId="20" xfId="3" applyFont="1" applyFill="1" applyBorder="1" applyProtection="1">
      <protection locked="0"/>
    </xf>
    <xf numFmtId="9" fontId="0" fillId="31" borderId="39" xfId="3" applyFont="1" applyFill="1" applyBorder="1" applyProtection="1">
      <protection locked="0"/>
    </xf>
    <xf numFmtId="9" fontId="0" fillId="31" borderId="41" xfId="3" applyFont="1" applyFill="1" applyBorder="1" applyProtection="1">
      <protection locked="0"/>
    </xf>
    <xf numFmtId="9" fontId="0" fillId="31" borderId="40" xfId="3" applyFont="1" applyFill="1" applyBorder="1" applyProtection="1">
      <protection locked="0"/>
    </xf>
    <xf numFmtId="9" fontId="0" fillId="31" borderId="21" xfId="3" applyFont="1" applyFill="1" applyBorder="1" applyProtection="1">
      <protection locked="0"/>
    </xf>
    <xf numFmtId="0" fontId="0" fillId="0" borderId="89" xfId="0" applyBorder="1" applyAlignment="1">
      <alignment horizontal="left" vertical="top" wrapText="1"/>
    </xf>
    <xf numFmtId="0" fontId="0" fillId="0" borderId="54" xfId="0" applyBorder="1" applyAlignment="1">
      <alignment horizontal="left" vertical="top" wrapText="1"/>
    </xf>
    <xf numFmtId="0" fontId="0" fillId="0" borderId="72" xfId="0" applyBorder="1" applyAlignment="1">
      <alignment horizontal="left" vertical="top" wrapText="1"/>
    </xf>
    <xf numFmtId="0" fontId="0" fillId="0" borderId="57" xfId="0" applyBorder="1" applyAlignment="1">
      <alignment horizontal="left" vertical="top" wrapText="1"/>
    </xf>
    <xf numFmtId="0" fontId="0" fillId="0" borderId="0" xfId="0" applyAlignment="1">
      <alignment horizontal="left" vertical="top" wrapText="1"/>
    </xf>
    <xf numFmtId="0" fontId="0" fillId="0" borderId="88" xfId="0" applyBorder="1" applyAlignment="1">
      <alignment horizontal="left" vertical="top" wrapText="1"/>
    </xf>
    <xf numFmtId="0" fontId="0" fillId="0" borderId="58" xfId="0" applyBorder="1" applyAlignment="1">
      <alignment horizontal="left" vertical="top" wrapText="1"/>
    </xf>
    <xf numFmtId="0" fontId="0" fillId="0" borderId="55" xfId="0" applyBorder="1" applyAlignment="1">
      <alignment horizontal="left" vertical="top" wrapText="1"/>
    </xf>
    <xf numFmtId="0" fontId="0" fillId="0" borderId="59" xfId="0" applyBorder="1" applyAlignment="1">
      <alignment horizontal="left" vertical="top" wrapText="1"/>
    </xf>
    <xf numFmtId="0" fontId="74" fillId="0" borderId="55" xfId="0" applyFont="1" applyBorder="1" applyAlignment="1">
      <alignment horizontal="left"/>
    </xf>
    <xf numFmtId="0" fontId="64" fillId="38" borderId="0" xfId="0" applyFont="1" applyFill="1" applyAlignment="1">
      <alignment horizontal="left"/>
    </xf>
    <xf numFmtId="0" fontId="32" fillId="38" borderId="0" xfId="1123" applyFill="1" applyAlignment="1">
      <alignment horizontal="left"/>
    </xf>
    <xf numFmtId="0" fontId="64" fillId="38" borderId="0" xfId="0" applyFont="1" applyFill="1"/>
    <xf numFmtId="0" fontId="70" fillId="37" borderId="0" xfId="0" applyFont="1" applyFill="1" applyAlignment="1">
      <alignment horizontal="left"/>
    </xf>
    <xf numFmtId="0" fontId="0" fillId="37" borderId="0" xfId="0" applyFill="1" applyAlignment="1">
      <alignment horizontal="left"/>
    </xf>
    <xf numFmtId="0" fontId="32" fillId="37" borderId="0" xfId="1123" applyFill="1" applyAlignment="1">
      <alignment horizontal="left"/>
    </xf>
    <xf numFmtId="0" fontId="0" fillId="0" borderId="0" xfId="0" applyAlignment="1">
      <alignment horizontal="center"/>
    </xf>
    <xf numFmtId="0" fontId="71" fillId="38" borderId="0" xfId="0" applyFont="1" applyFill="1" applyAlignment="1">
      <alignment horizontal="left"/>
    </xf>
    <xf numFmtId="0" fontId="0" fillId="37" borderId="0" xfId="0" applyFill="1" applyAlignment="1">
      <alignment horizontal="center"/>
    </xf>
    <xf numFmtId="0" fontId="40" fillId="37" borderId="0" xfId="0" applyFont="1" applyFill="1" applyAlignment="1">
      <alignment horizontal="left"/>
    </xf>
    <xf numFmtId="0" fontId="0" fillId="37" borderId="0" xfId="0" applyFill="1"/>
    <xf numFmtId="0" fontId="31" fillId="0" borderId="0" xfId="0" applyFont="1" applyAlignment="1">
      <alignment horizontal="center" vertical="top" wrapText="1"/>
    </xf>
    <xf numFmtId="9" fontId="32" fillId="0" borderId="69" xfId="1123" applyNumberFormat="1" applyFill="1" applyBorder="1" applyAlignment="1">
      <alignment horizontal="left" vertical="center"/>
    </xf>
    <xf numFmtId="9" fontId="32" fillId="0" borderId="0" xfId="1123" applyNumberFormat="1" applyFill="1" applyBorder="1" applyAlignment="1">
      <alignment horizontal="left" vertical="center"/>
    </xf>
    <xf numFmtId="0" fontId="32" fillId="0" borderId="0" xfId="1123" applyFill="1"/>
    <xf numFmtId="0" fontId="0" fillId="0" borderId="89" xfId="0" applyBorder="1" applyAlignment="1">
      <alignment horizontal="center"/>
    </xf>
    <xf numFmtId="0" fontId="0" fillId="0" borderId="72" xfId="0" applyBorder="1" applyAlignment="1">
      <alignment horizontal="center"/>
    </xf>
    <xf numFmtId="0" fontId="0" fillId="0" borderId="57" xfId="0" applyBorder="1" applyAlignment="1">
      <alignment horizontal="center"/>
    </xf>
    <xf numFmtId="0" fontId="0" fillId="0" borderId="88"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57" xfId="0" applyBorder="1" applyAlignment="1">
      <alignment horizontal="left"/>
    </xf>
    <xf numFmtId="0" fontId="0" fillId="0" borderId="0" xfId="0" applyAlignment="1">
      <alignment horizontal="left"/>
    </xf>
    <xf numFmtId="0" fontId="0" fillId="0" borderId="88" xfId="0" applyBorder="1" applyAlignment="1">
      <alignment horizontal="left"/>
    </xf>
    <xf numFmtId="0" fontId="1" fillId="0" borderId="57" xfId="2" applyNumberFormat="1" applyFont="1" applyFill="1" applyBorder="1" applyAlignment="1">
      <alignment horizontal="left"/>
    </xf>
    <xf numFmtId="0" fontId="1" fillId="0" borderId="0" xfId="2" applyNumberFormat="1" applyFont="1" applyFill="1" applyBorder="1" applyAlignment="1">
      <alignment horizontal="left"/>
    </xf>
    <xf numFmtId="0" fontId="53" fillId="31" borderId="89" xfId="0" applyFont="1" applyFill="1" applyBorder="1" applyAlignment="1" applyProtection="1">
      <alignment horizontal="left" vertical="top" wrapText="1"/>
      <protection locked="0"/>
    </xf>
    <xf numFmtId="0" fontId="53" fillId="31" borderId="54" xfId="0" applyFont="1" applyFill="1" applyBorder="1" applyAlignment="1" applyProtection="1">
      <alignment horizontal="left" vertical="top" wrapText="1"/>
      <protection locked="0"/>
    </xf>
    <xf numFmtId="0" fontId="53" fillId="31" borderId="87" xfId="0" applyFont="1" applyFill="1" applyBorder="1" applyAlignment="1" applyProtection="1">
      <alignment horizontal="left" vertical="top" wrapText="1"/>
      <protection locked="0"/>
    </xf>
    <xf numFmtId="0" fontId="53" fillId="31" borderId="57" xfId="0" applyFont="1" applyFill="1" applyBorder="1" applyAlignment="1" applyProtection="1">
      <alignment horizontal="left" vertical="top" wrapText="1"/>
      <protection locked="0"/>
    </xf>
    <xf numFmtId="0" fontId="53" fillId="31" borderId="0" xfId="0" applyFont="1" applyFill="1" applyAlignment="1" applyProtection="1">
      <alignment horizontal="left" vertical="top" wrapText="1"/>
      <protection locked="0"/>
    </xf>
    <xf numFmtId="0" fontId="53" fillId="31" borderId="53" xfId="0" applyFont="1" applyFill="1" applyBorder="1" applyAlignment="1" applyProtection="1">
      <alignment horizontal="left" vertical="top" wrapText="1"/>
      <protection locked="0"/>
    </xf>
    <xf numFmtId="0" fontId="53" fillId="31" borderId="58" xfId="0" applyFont="1" applyFill="1" applyBorder="1" applyAlignment="1" applyProtection="1">
      <alignment horizontal="left" vertical="top" wrapText="1"/>
      <protection locked="0"/>
    </xf>
    <xf numFmtId="0" fontId="53" fillId="31" borderId="55" xfId="0" applyFont="1" applyFill="1" applyBorder="1" applyAlignment="1" applyProtection="1">
      <alignment horizontal="left" vertical="top" wrapText="1"/>
      <protection locked="0"/>
    </xf>
    <xf numFmtId="0" fontId="53" fillId="31" borderId="90" xfId="0" applyFont="1" applyFill="1" applyBorder="1" applyAlignment="1" applyProtection="1">
      <alignment horizontal="left" vertical="top" wrapText="1"/>
      <protection locked="0"/>
    </xf>
    <xf numFmtId="0" fontId="30" fillId="0" borderId="55" xfId="0" applyFont="1" applyBorder="1" applyAlignment="1">
      <alignment horizontal="left" vertical="top"/>
    </xf>
    <xf numFmtId="0" fontId="30" fillId="0" borderId="90" xfId="0" applyFont="1" applyBorder="1" applyAlignment="1">
      <alignment horizontal="left" vertical="top"/>
    </xf>
    <xf numFmtId="166" fontId="24" fillId="0" borderId="0" xfId="2" applyNumberFormat="1" applyFont="1" applyFill="1" applyBorder="1" applyAlignment="1">
      <alignment horizontal="left" vertical="center"/>
    </xf>
    <xf numFmtId="0" fontId="36" fillId="29" borderId="7" xfId="11" applyFont="1" applyFill="1" applyBorder="1" applyAlignment="1">
      <alignment horizontal="center"/>
    </xf>
    <xf numFmtId="0" fontId="36" fillId="29" borderId="8" xfId="11" applyFont="1" applyFill="1" applyBorder="1" applyAlignment="1">
      <alignment horizontal="center"/>
    </xf>
    <xf numFmtId="0" fontId="36" fillId="29" borderId="52" xfId="11" applyFont="1" applyFill="1" applyBorder="1" applyAlignment="1">
      <alignment horizontal="center"/>
    </xf>
    <xf numFmtId="0" fontId="34" fillId="29" borderId="13" xfId="0" applyFont="1" applyFill="1" applyBorder="1" applyAlignment="1">
      <alignment horizontal="center"/>
    </xf>
    <xf numFmtId="0" fontId="28" fillId="29" borderId="14" xfId="0" applyFont="1" applyFill="1" applyBorder="1" applyAlignment="1">
      <alignment horizontal="center"/>
    </xf>
    <xf numFmtId="0" fontId="28" fillId="29" borderId="86" xfId="0" applyFont="1" applyFill="1" applyBorder="1" applyAlignment="1">
      <alignment horizontal="center"/>
    </xf>
    <xf numFmtId="0" fontId="28" fillId="0" borderId="9" xfId="0" applyFont="1" applyBorder="1" applyAlignment="1">
      <alignment horizontal="left" vertical="top" wrapText="1"/>
    </xf>
    <xf numFmtId="0" fontId="28" fillId="0" borderId="0" xfId="0" applyFont="1" applyAlignment="1">
      <alignment horizontal="left" vertical="top" wrapText="1"/>
    </xf>
    <xf numFmtId="0" fontId="28" fillId="0" borderId="10" xfId="0" applyFont="1" applyBorder="1" applyAlignment="1">
      <alignment horizontal="left" vertical="top" wrapText="1"/>
    </xf>
    <xf numFmtId="0" fontId="28" fillId="0" borderId="11" xfId="0" applyFont="1" applyBorder="1" applyAlignment="1">
      <alignment horizontal="left" vertical="top" wrapText="1"/>
    </xf>
    <xf numFmtId="0" fontId="53" fillId="31" borderId="3" xfId="2" applyNumberFormat="1" applyFont="1" applyFill="1" applyBorder="1" applyAlignment="1" applyProtection="1">
      <alignment horizontal="left" vertical="top" wrapText="1"/>
      <protection locked="0"/>
    </xf>
    <xf numFmtId="0" fontId="53" fillId="31" borderId="40" xfId="2" applyNumberFormat="1" applyFont="1" applyFill="1" applyBorder="1" applyAlignment="1" applyProtection="1">
      <alignment horizontal="left" vertical="top" wrapText="1"/>
      <protection locked="0"/>
    </xf>
    <xf numFmtId="0" fontId="53" fillId="31" borderId="3" xfId="0" applyFont="1" applyFill="1" applyBorder="1" applyAlignment="1" applyProtection="1">
      <alignment horizontal="left" vertical="top" wrapText="1"/>
      <protection locked="0"/>
    </xf>
    <xf numFmtId="0" fontId="53" fillId="31" borderId="40" xfId="0" applyFont="1" applyFill="1" applyBorder="1" applyAlignment="1" applyProtection="1">
      <alignment horizontal="left" vertical="top" wrapText="1"/>
      <protection locked="0"/>
    </xf>
    <xf numFmtId="9" fontId="53" fillId="31" borderId="3" xfId="3" applyFont="1" applyFill="1" applyBorder="1" applyAlignment="1" applyProtection="1">
      <alignment horizontal="left" vertical="top" wrapText="1"/>
      <protection locked="0"/>
    </xf>
    <xf numFmtId="9" fontId="53" fillId="31" borderId="40" xfId="3" applyFont="1" applyFill="1" applyBorder="1" applyAlignment="1" applyProtection="1">
      <alignment horizontal="left" vertical="top" wrapText="1"/>
      <protection locked="0"/>
    </xf>
    <xf numFmtId="0" fontId="0" fillId="0" borderId="39" xfId="0" applyBorder="1" applyAlignment="1">
      <alignment horizontal="center"/>
    </xf>
    <xf numFmtId="0" fontId="0" fillId="0" borderId="3" xfId="0" applyBorder="1" applyAlignment="1">
      <alignment horizontal="center"/>
    </xf>
    <xf numFmtId="0" fontId="0" fillId="31" borderId="3" xfId="0" applyFill="1" applyBorder="1" applyAlignment="1" applyProtection="1">
      <alignment horizontal="left"/>
      <protection locked="0"/>
    </xf>
    <xf numFmtId="0" fontId="0" fillId="31" borderId="60" xfId="0" applyFill="1" applyBorder="1" applyAlignment="1" applyProtection="1">
      <alignment horizontal="left"/>
      <protection locked="0"/>
    </xf>
    <xf numFmtId="0" fontId="32" fillId="0" borderId="0" xfId="1123" quotePrefix="1" applyAlignment="1">
      <alignment horizontal="left" vertical="center"/>
    </xf>
    <xf numFmtId="0" fontId="72" fillId="0" borderId="57" xfId="0" applyFont="1" applyBorder="1" applyAlignment="1" applyProtection="1">
      <alignment horizontal="center" vertical="center" wrapText="1"/>
      <protection locked="0"/>
    </xf>
    <xf numFmtId="0" fontId="30" fillId="0" borderId="57" xfId="0" applyFont="1" applyBorder="1" applyAlignment="1" applyProtection="1">
      <alignment horizontal="center" vertical="center" wrapText="1"/>
      <protection locked="0"/>
    </xf>
    <xf numFmtId="0" fontId="73" fillId="31" borderId="91" xfId="0" applyFont="1" applyFill="1" applyBorder="1" applyAlignment="1" applyProtection="1">
      <alignment horizontal="center" vertical="center" wrapText="1"/>
      <protection locked="0"/>
    </xf>
    <xf numFmtId="0" fontId="73" fillId="31" borderId="92" xfId="0" applyFont="1" applyFill="1" applyBorder="1" applyAlignment="1" applyProtection="1">
      <alignment horizontal="center" vertical="center" wrapText="1"/>
      <protection locked="0"/>
    </xf>
    <xf numFmtId="175" fontId="52" fillId="0" borderId="57" xfId="2" applyNumberFormat="1" applyFont="1" applyFill="1" applyBorder="1" applyAlignment="1" applyProtection="1">
      <alignment horizontal="center" wrapText="1"/>
      <protection locked="0"/>
    </xf>
    <xf numFmtId="175" fontId="52" fillId="0" borderId="62" xfId="2" applyNumberFormat="1" applyFont="1" applyFill="1" applyBorder="1" applyAlignment="1" applyProtection="1">
      <alignment horizontal="center" wrapText="1"/>
      <protection locked="0"/>
    </xf>
    <xf numFmtId="175" fontId="52" fillId="0" borderId="93" xfId="2" applyNumberFormat="1" applyFont="1" applyFill="1" applyBorder="1" applyAlignment="1" applyProtection="1">
      <alignment horizontal="center" wrapText="1"/>
      <protection locked="0"/>
    </xf>
    <xf numFmtId="175" fontId="52" fillId="0" borderId="63" xfId="2" applyNumberFormat="1" applyFont="1" applyFill="1" applyBorder="1" applyAlignment="1" applyProtection="1">
      <alignment horizontal="center" wrapText="1"/>
      <protection locked="0"/>
    </xf>
    <xf numFmtId="0" fontId="35" fillId="29" borderId="13" xfId="11" applyFont="1" applyFill="1" applyBorder="1" applyAlignment="1">
      <alignment horizontal="center"/>
    </xf>
    <xf numFmtId="0" fontId="35" fillId="29" borderId="14" xfId="11" applyFont="1" applyFill="1" applyBorder="1" applyAlignment="1">
      <alignment horizontal="center"/>
    </xf>
    <xf numFmtId="0" fontId="35" fillId="29" borderId="86" xfId="11" applyFont="1" applyFill="1" applyBorder="1" applyAlignment="1">
      <alignment horizontal="center"/>
    </xf>
    <xf numFmtId="0" fontId="0" fillId="0" borderId="17" xfId="0" applyBorder="1" applyAlignment="1">
      <alignment horizontal="center"/>
    </xf>
    <xf numFmtId="0" fontId="0" fillId="0" borderId="56" xfId="0" applyBorder="1" applyAlignment="1">
      <alignment horizontal="center"/>
    </xf>
    <xf numFmtId="0" fontId="0" fillId="0" borderId="85" xfId="0" applyBorder="1" applyAlignment="1">
      <alignment horizontal="center"/>
    </xf>
    <xf numFmtId="0" fontId="0" fillId="0" borderId="5" xfId="0" applyBorder="1" applyAlignment="1">
      <alignment horizontal="center"/>
    </xf>
    <xf numFmtId="0" fontId="0" fillId="0" borderId="61" xfId="0" applyBorder="1" applyAlignment="1">
      <alignment horizontal="center"/>
    </xf>
    <xf numFmtId="0" fontId="0" fillId="0" borderId="38" xfId="0" applyBorder="1" applyAlignment="1">
      <alignment horizontal="center"/>
    </xf>
    <xf numFmtId="0" fontId="0" fillId="0" borderId="6" xfId="0" applyBorder="1" applyAlignment="1">
      <alignment horizontal="center"/>
    </xf>
    <xf numFmtId="0" fontId="31" fillId="0" borderId="0" xfId="0" applyFont="1" applyAlignment="1">
      <alignment horizontal="left" wrapText="1"/>
    </xf>
    <xf numFmtId="0" fontId="34" fillId="29" borderId="14" xfId="0" applyFont="1" applyFill="1" applyBorder="1" applyAlignment="1">
      <alignment horizontal="center"/>
    </xf>
    <xf numFmtId="0" fontId="34" fillId="29" borderId="86" xfId="0" applyFont="1" applyFill="1" applyBorder="1" applyAlignment="1">
      <alignment horizontal="center"/>
    </xf>
    <xf numFmtId="166" fontId="24" fillId="0" borderId="88" xfId="2" applyNumberFormat="1" applyFont="1" applyFill="1" applyBorder="1" applyAlignment="1">
      <alignment horizontal="left" vertical="center"/>
    </xf>
    <xf numFmtId="166" fontId="24" fillId="0" borderId="5" xfId="2" applyNumberFormat="1" applyFont="1" applyFill="1" applyBorder="1" applyAlignment="1">
      <alignment horizontal="center"/>
    </xf>
    <xf numFmtId="166" fontId="24" fillId="0" borderId="4" xfId="2" applyNumberFormat="1" applyFont="1" applyFill="1" applyBorder="1" applyAlignment="1">
      <alignment horizontal="center"/>
    </xf>
    <xf numFmtId="0" fontId="0" fillId="0" borderId="38"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0" fillId="31" borderId="55" xfId="0" applyFill="1" applyBorder="1" applyAlignment="1" applyProtection="1">
      <alignment horizontal="center"/>
      <protection locked="0"/>
    </xf>
    <xf numFmtId="0" fontId="24" fillId="0" borderId="36" xfId="0" applyFont="1" applyBorder="1" applyAlignment="1">
      <alignment horizontal="center"/>
    </xf>
    <xf numFmtId="0" fontId="24" fillId="0" borderId="37" xfId="0" applyFont="1" applyBorder="1" applyAlignment="1">
      <alignment horizontal="center"/>
    </xf>
    <xf numFmtId="0" fontId="24" fillId="0" borderId="20" xfId="0" applyFont="1" applyBorder="1" applyAlignment="1">
      <alignment horizontal="center"/>
    </xf>
    <xf numFmtId="0" fontId="24" fillId="0" borderId="36" xfId="0" applyFont="1" applyBorder="1" applyAlignment="1">
      <alignment horizontal="center" wrapText="1"/>
    </xf>
    <xf numFmtId="0" fontId="24" fillId="0" borderId="70" xfId="0" applyFont="1" applyBorder="1" applyAlignment="1">
      <alignment horizontal="center" wrapText="1"/>
    </xf>
    <xf numFmtId="0" fontId="24" fillId="0" borderId="37" xfId="0" applyFont="1" applyBorder="1" applyAlignment="1">
      <alignment horizontal="center" wrapText="1"/>
    </xf>
    <xf numFmtId="0" fontId="24" fillId="0" borderId="20" xfId="0" applyFont="1" applyBorder="1" applyAlignment="1">
      <alignment horizontal="center" wrapText="1"/>
    </xf>
    <xf numFmtId="0" fontId="24" fillId="0" borderId="51" xfId="0" applyFont="1" applyBorder="1" applyAlignment="1">
      <alignment horizontal="center"/>
    </xf>
    <xf numFmtId="0" fontId="0" fillId="0" borderId="3"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wrapText="1"/>
    </xf>
    <xf numFmtId="0" fontId="0" fillId="0" borderId="50" xfId="0" applyBorder="1" applyAlignment="1">
      <alignment horizontal="center" wrapText="1"/>
    </xf>
    <xf numFmtId="0" fontId="52" fillId="37" borderId="13" xfId="0" applyFont="1" applyFill="1" applyBorder="1" applyAlignment="1">
      <alignment horizontal="center"/>
    </xf>
    <xf numFmtId="0" fontId="52" fillId="37" borderId="14" xfId="0" applyFont="1" applyFill="1" applyBorder="1" applyAlignment="1">
      <alignment horizontal="center"/>
    </xf>
    <xf numFmtId="0" fontId="52" fillId="37" borderId="15" xfId="0" applyFont="1" applyFill="1" applyBorder="1" applyAlignment="1">
      <alignment horizontal="center"/>
    </xf>
    <xf numFmtId="0" fontId="24" fillId="38" borderId="13" xfId="0" applyFont="1" applyFill="1" applyBorder="1" applyAlignment="1">
      <alignment horizontal="center"/>
    </xf>
    <xf numFmtId="0" fontId="24" fillId="38" borderId="14" xfId="0" applyFont="1" applyFill="1" applyBorder="1" applyAlignment="1">
      <alignment horizontal="center"/>
    </xf>
    <xf numFmtId="0" fontId="24" fillId="38" borderId="15" xfId="0" applyFont="1" applyFill="1" applyBorder="1" applyAlignment="1">
      <alignment horizontal="center"/>
    </xf>
    <xf numFmtId="0" fontId="45" fillId="32" borderId="0" xfId="0" applyFont="1" applyFill="1" applyAlignment="1">
      <alignment horizontal="center" vertical="center"/>
    </xf>
    <xf numFmtId="0" fontId="75" fillId="32" borderId="0" xfId="1123" applyFont="1" applyFill="1" applyAlignment="1">
      <alignment horizontal="center"/>
    </xf>
    <xf numFmtId="0" fontId="75" fillId="0" borderId="0" xfId="1123" applyFont="1" applyFill="1" applyAlignment="1">
      <alignment horizontal="left" vertical="top"/>
    </xf>
    <xf numFmtId="0" fontId="42" fillId="0" borderId="0" xfId="0" applyFont="1" applyAlignment="1">
      <alignment horizontal="center" vertical="center"/>
    </xf>
    <xf numFmtId="0" fontId="63" fillId="0" borderId="0" xfId="0" applyFont="1" applyAlignment="1">
      <alignment horizontal="center"/>
    </xf>
    <xf numFmtId="0" fontId="0" fillId="31" borderId="89" xfId="0" applyFill="1" applyBorder="1" applyAlignment="1" applyProtection="1">
      <alignment horizontal="left" vertical="top" wrapText="1"/>
      <protection locked="0"/>
    </xf>
    <xf numFmtId="0" fontId="0" fillId="31" borderId="54" xfId="0" applyFill="1" applyBorder="1" applyAlignment="1" applyProtection="1">
      <alignment horizontal="left" vertical="top" wrapText="1"/>
      <protection locked="0"/>
    </xf>
    <xf numFmtId="0" fontId="0" fillId="31" borderId="72" xfId="0" applyFill="1" applyBorder="1" applyAlignment="1" applyProtection="1">
      <alignment horizontal="left" vertical="top" wrapText="1"/>
      <protection locked="0"/>
    </xf>
    <xf numFmtId="0" fontId="0" fillId="31" borderId="57" xfId="0" applyFill="1" applyBorder="1" applyAlignment="1" applyProtection="1">
      <alignment horizontal="left" vertical="top" wrapText="1"/>
      <protection locked="0"/>
    </xf>
    <xf numFmtId="0" fontId="0" fillId="31" borderId="0" xfId="0" applyFill="1" applyAlignment="1" applyProtection="1">
      <alignment horizontal="left" vertical="top" wrapText="1"/>
      <protection locked="0"/>
    </xf>
    <xf numFmtId="0" fontId="0" fillId="31" borderId="88" xfId="0" applyFill="1" applyBorder="1" applyAlignment="1" applyProtection="1">
      <alignment horizontal="left" vertical="top" wrapText="1"/>
      <protection locked="0"/>
    </xf>
    <xf numFmtId="0" fontId="0" fillId="31" borderId="58" xfId="0" applyFill="1" applyBorder="1" applyAlignment="1" applyProtection="1">
      <alignment horizontal="left" vertical="top" wrapText="1"/>
      <protection locked="0"/>
    </xf>
    <xf numFmtId="0" fontId="0" fillId="31" borderId="55" xfId="0" applyFill="1" applyBorder="1" applyAlignment="1" applyProtection="1">
      <alignment horizontal="left" vertical="top" wrapText="1"/>
      <protection locked="0"/>
    </xf>
    <xf numFmtId="0" fontId="0" fillId="31" borderId="59" xfId="0" applyFill="1" applyBorder="1" applyAlignment="1" applyProtection="1">
      <alignment horizontal="left" vertical="top" wrapText="1"/>
      <protection locked="0"/>
    </xf>
    <xf numFmtId="0" fontId="40" fillId="0" borderId="0" xfId="0" applyFont="1" applyAlignment="1">
      <alignment horizontal="center"/>
    </xf>
    <xf numFmtId="0" fontId="0" fillId="31" borderId="5" xfId="0" applyFill="1" applyBorder="1" applyAlignment="1" applyProtection="1">
      <alignment horizontal="left" vertical="top" wrapText="1"/>
      <protection locked="0"/>
    </xf>
    <xf numFmtId="0" fontId="0" fillId="31" borderId="6" xfId="0" applyFill="1" applyBorder="1" applyAlignment="1" applyProtection="1">
      <alignment horizontal="left" vertical="top" wrapText="1"/>
      <protection locked="0"/>
    </xf>
    <xf numFmtId="0" fontId="0" fillId="31" borderId="4" xfId="0" applyFill="1" applyBorder="1" applyAlignment="1" applyProtection="1">
      <alignment horizontal="left" vertical="top" wrapText="1"/>
      <protection locked="0"/>
    </xf>
    <xf numFmtId="0" fontId="59" fillId="0" borderId="13" xfId="0" applyFont="1" applyBorder="1" applyAlignment="1">
      <alignment horizontal="center"/>
    </xf>
    <xf numFmtId="0" fontId="59" fillId="0" borderId="14" xfId="0" applyFont="1" applyBorder="1" applyAlignment="1">
      <alignment horizontal="center"/>
    </xf>
    <xf numFmtId="0" fontId="59" fillId="0" borderId="15" xfId="0" applyFont="1" applyBorder="1" applyAlignment="1">
      <alignment horizontal="center"/>
    </xf>
    <xf numFmtId="0" fontId="8" fillId="0" borderId="0" xfId="672" applyFont="1" applyAlignment="1">
      <alignment horizontal="center" wrapText="1"/>
    </xf>
    <xf numFmtId="0" fontId="8" fillId="0" borderId="0" xfId="0" applyFont="1" applyAlignment="1">
      <alignment horizontal="center" wrapText="1"/>
    </xf>
    <xf numFmtId="0" fontId="8" fillId="0" borderId="13" xfId="672" applyFont="1" applyBorder="1" applyAlignment="1">
      <alignment horizontal="center" vertical="center" wrapText="1"/>
    </xf>
    <xf numFmtId="0" fontId="8" fillId="0" borderId="14" xfId="672" applyFont="1" applyBorder="1" applyAlignment="1">
      <alignment horizontal="center" vertical="center" wrapText="1"/>
    </xf>
    <xf numFmtId="0" fontId="8" fillId="0" borderId="15" xfId="672" applyFont="1" applyBorder="1" applyAlignment="1">
      <alignment horizontal="center" vertical="center" wrapText="1"/>
    </xf>
    <xf numFmtId="0" fontId="38" fillId="0" borderId="13" xfId="672" applyFont="1" applyBorder="1" applyAlignment="1">
      <alignment horizontal="center" vertical="center" wrapText="1"/>
    </xf>
    <xf numFmtId="0" fontId="38" fillId="0" borderId="14" xfId="672" applyFont="1" applyBorder="1" applyAlignment="1">
      <alignment horizontal="center" vertical="center" wrapText="1"/>
    </xf>
    <xf numFmtId="0" fontId="38" fillId="0" borderId="15" xfId="672"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26" fillId="0" borderId="7"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26" fillId="0" borderId="13" xfId="0" applyFont="1"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26"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26" fillId="0" borderId="8" xfId="0" applyFont="1" applyBorder="1" applyAlignment="1" applyProtection="1">
      <alignment horizontal="left" vertical="top" wrapText="1"/>
      <protection locked="0"/>
    </xf>
    <xf numFmtId="0" fontId="26" fillId="0" borderId="52"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53" xfId="0" applyFont="1" applyBorder="1" applyAlignment="1" applyProtection="1">
      <alignment horizontal="left" vertical="top" wrapText="1"/>
      <protection locked="0"/>
    </xf>
    <xf numFmtId="0" fontId="26" fillId="0" borderId="10" xfId="0" applyFont="1" applyBorder="1" applyAlignment="1" applyProtection="1">
      <alignment horizontal="left" vertical="top" wrapText="1"/>
      <protection locked="0"/>
    </xf>
    <xf numFmtId="0" fontId="26" fillId="0" borderId="11" xfId="0" applyFont="1" applyBorder="1" applyAlignment="1" applyProtection="1">
      <alignment horizontal="left" vertical="top" wrapText="1"/>
      <protection locked="0"/>
    </xf>
    <xf numFmtId="0" fontId="26" fillId="0" borderId="12" xfId="0" applyFont="1" applyBorder="1" applyAlignment="1" applyProtection="1">
      <alignment horizontal="left" vertical="top" wrapText="1"/>
      <protection locked="0"/>
    </xf>
    <xf numFmtId="0" fontId="0" fillId="0" borderId="14" xfId="0" applyBorder="1" applyAlignment="1">
      <alignment horizontal="center"/>
    </xf>
    <xf numFmtId="0" fontId="0" fillId="0" borderId="15" xfId="0" applyBorder="1" applyAlignment="1">
      <alignment horizontal="center"/>
    </xf>
    <xf numFmtId="0" fontId="8" fillId="0" borderId="13" xfId="672" applyFont="1" applyBorder="1" applyAlignment="1">
      <alignment horizontal="center" wrapText="1"/>
    </xf>
    <xf numFmtId="0" fontId="8" fillId="0" borderId="14" xfId="672" applyFont="1" applyBorder="1" applyAlignment="1">
      <alignment horizontal="center" wrapText="1"/>
    </xf>
    <xf numFmtId="0" fontId="8" fillId="0" borderId="15" xfId="672" applyFont="1" applyBorder="1" applyAlignment="1">
      <alignment horizontal="center" wrapText="1"/>
    </xf>
    <xf numFmtId="0" fontId="8" fillId="0" borderId="13" xfId="0" applyFont="1" applyBorder="1" applyAlignment="1">
      <alignment horizontal="center" wrapText="1"/>
    </xf>
    <xf numFmtId="0" fontId="8" fillId="0" borderId="14" xfId="0" applyFont="1" applyBorder="1" applyAlignment="1">
      <alignment horizontal="center" wrapText="1"/>
    </xf>
    <xf numFmtId="0" fontId="8" fillId="0" borderId="15" xfId="0" applyFont="1" applyBorder="1" applyAlignment="1">
      <alignment horizontal="center" wrapText="1"/>
    </xf>
  </cellXfs>
  <cellStyles count="1124">
    <cellStyle name="%" xfId="13" xr:uid="{00000000-0005-0000-0000-000000000000}"/>
    <cellStyle name="% 2" xfId="14" xr:uid="{00000000-0005-0000-0000-000001000000}"/>
    <cellStyle name="% 2 2" xfId="685" xr:uid="{00000000-0005-0000-0000-000002000000}"/>
    <cellStyle name="% 3" xfId="684" xr:uid="{00000000-0005-0000-0000-000003000000}"/>
    <cellStyle name="Accent1 - 20%" xfId="15" xr:uid="{00000000-0005-0000-0000-000004000000}"/>
    <cellStyle name="Accent1 - 40%" xfId="16" xr:uid="{00000000-0005-0000-0000-000005000000}"/>
    <cellStyle name="Accent1 - 60%" xfId="17" xr:uid="{00000000-0005-0000-0000-000006000000}"/>
    <cellStyle name="Accent1 2" xfId="18" xr:uid="{00000000-0005-0000-0000-000007000000}"/>
    <cellStyle name="Accent1 3" xfId="19" xr:uid="{00000000-0005-0000-0000-000008000000}"/>
    <cellStyle name="Accent1 4" xfId="20" xr:uid="{00000000-0005-0000-0000-000009000000}"/>
    <cellStyle name="Accent2 - 20%" xfId="21" xr:uid="{00000000-0005-0000-0000-00000A000000}"/>
    <cellStyle name="Accent2 - 40%" xfId="22" xr:uid="{00000000-0005-0000-0000-00000B000000}"/>
    <cellStyle name="Accent2 - 60%" xfId="23" xr:uid="{00000000-0005-0000-0000-00000C000000}"/>
    <cellStyle name="Accent2 2" xfId="24" xr:uid="{00000000-0005-0000-0000-00000D000000}"/>
    <cellStyle name="Accent2 3" xfId="25" xr:uid="{00000000-0005-0000-0000-00000E000000}"/>
    <cellStyle name="Accent2 4" xfId="26" xr:uid="{00000000-0005-0000-0000-00000F000000}"/>
    <cellStyle name="Accent3 - 20%" xfId="27" xr:uid="{00000000-0005-0000-0000-000010000000}"/>
    <cellStyle name="Accent3 - 40%" xfId="28" xr:uid="{00000000-0005-0000-0000-000011000000}"/>
    <cellStyle name="Accent3 - 60%" xfId="29" xr:uid="{00000000-0005-0000-0000-000012000000}"/>
    <cellStyle name="Accent3 2" xfId="30" xr:uid="{00000000-0005-0000-0000-000013000000}"/>
    <cellStyle name="Accent3 3" xfId="31" xr:uid="{00000000-0005-0000-0000-000014000000}"/>
    <cellStyle name="Accent3 4" xfId="32" xr:uid="{00000000-0005-0000-0000-000015000000}"/>
    <cellStyle name="Accent4 - 20%" xfId="33" xr:uid="{00000000-0005-0000-0000-000016000000}"/>
    <cellStyle name="Accent4 - 40%" xfId="34" xr:uid="{00000000-0005-0000-0000-000017000000}"/>
    <cellStyle name="Accent4 - 60%" xfId="35" xr:uid="{00000000-0005-0000-0000-000018000000}"/>
    <cellStyle name="Accent4 2" xfId="36" xr:uid="{00000000-0005-0000-0000-000019000000}"/>
    <cellStyle name="Accent4 3" xfId="37" xr:uid="{00000000-0005-0000-0000-00001A000000}"/>
    <cellStyle name="Accent4 4" xfId="38" xr:uid="{00000000-0005-0000-0000-00001B000000}"/>
    <cellStyle name="Accent5 - 20%" xfId="39" xr:uid="{00000000-0005-0000-0000-00001C000000}"/>
    <cellStyle name="Accent5 - 40%" xfId="40" xr:uid="{00000000-0005-0000-0000-00001D000000}"/>
    <cellStyle name="Accent5 - 60%" xfId="41" xr:uid="{00000000-0005-0000-0000-00001E000000}"/>
    <cellStyle name="Accent5 2" xfId="42" xr:uid="{00000000-0005-0000-0000-00001F000000}"/>
    <cellStyle name="Accent5 3" xfId="43" xr:uid="{00000000-0005-0000-0000-000020000000}"/>
    <cellStyle name="Accent5 4" xfId="44" xr:uid="{00000000-0005-0000-0000-000021000000}"/>
    <cellStyle name="Accent6 - 20%" xfId="45" xr:uid="{00000000-0005-0000-0000-000022000000}"/>
    <cellStyle name="Accent6 - 40%" xfId="46" xr:uid="{00000000-0005-0000-0000-000023000000}"/>
    <cellStyle name="Accent6 - 60%" xfId="47" xr:uid="{00000000-0005-0000-0000-000024000000}"/>
    <cellStyle name="Accent6 2" xfId="48" xr:uid="{00000000-0005-0000-0000-000025000000}"/>
    <cellStyle name="Accent6 3" xfId="49" xr:uid="{00000000-0005-0000-0000-000026000000}"/>
    <cellStyle name="Accent6 4" xfId="50" xr:uid="{00000000-0005-0000-0000-000027000000}"/>
    <cellStyle name="Bad 2" xfId="51" xr:uid="{00000000-0005-0000-0000-000028000000}"/>
    <cellStyle name="Bad 3" xfId="52" xr:uid="{00000000-0005-0000-0000-000029000000}"/>
    <cellStyle name="Bad 4" xfId="53" xr:uid="{00000000-0005-0000-0000-00002A000000}"/>
    <cellStyle name="Calculation 2" xfId="54" xr:uid="{00000000-0005-0000-0000-00002B000000}"/>
    <cellStyle name="Calculation 3" xfId="55" xr:uid="{00000000-0005-0000-0000-00002C000000}"/>
    <cellStyle name="Calculation 4" xfId="56" xr:uid="{00000000-0005-0000-0000-00002D000000}"/>
    <cellStyle name="Check Cell 2" xfId="57" xr:uid="{00000000-0005-0000-0000-00002E000000}"/>
    <cellStyle name="Check Cell 3" xfId="58" xr:uid="{00000000-0005-0000-0000-00002F000000}"/>
    <cellStyle name="Check Cell 4" xfId="59" xr:uid="{00000000-0005-0000-0000-000030000000}"/>
    <cellStyle name="Comma" xfId="1" builtinId="3"/>
    <cellStyle name="Comma 2" xfId="9" xr:uid="{00000000-0005-0000-0000-000032000000}"/>
    <cellStyle name="Comma 2 2" xfId="680" xr:uid="{00000000-0005-0000-0000-000033000000}"/>
    <cellStyle name="Comma 3" xfId="60" xr:uid="{00000000-0005-0000-0000-000034000000}"/>
    <cellStyle name="Comma 3 2" xfId="686" xr:uid="{00000000-0005-0000-0000-000035000000}"/>
    <cellStyle name="Comma 4" xfId="5" xr:uid="{00000000-0005-0000-0000-000036000000}"/>
    <cellStyle name="Comma 4 2" xfId="676" xr:uid="{00000000-0005-0000-0000-000037000000}"/>
    <cellStyle name="Currency" xfId="2" builtinId="4"/>
    <cellStyle name="Currency 2" xfId="8" xr:uid="{00000000-0005-0000-0000-000039000000}"/>
    <cellStyle name="Currency 2 10" xfId="12" xr:uid="{00000000-0005-0000-0000-00003A000000}"/>
    <cellStyle name="Currency 2 10 2" xfId="683" xr:uid="{00000000-0005-0000-0000-00003B000000}"/>
    <cellStyle name="Currency 2 11" xfId="61" xr:uid="{00000000-0005-0000-0000-00003C000000}"/>
    <cellStyle name="Currency 2 11 2" xfId="687" xr:uid="{00000000-0005-0000-0000-00003D000000}"/>
    <cellStyle name="Currency 2 12" xfId="62" xr:uid="{00000000-0005-0000-0000-00003E000000}"/>
    <cellStyle name="Currency 2 12 2" xfId="688" xr:uid="{00000000-0005-0000-0000-00003F000000}"/>
    <cellStyle name="Currency 2 13" xfId="63" xr:uid="{00000000-0005-0000-0000-000040000000}"/>
    <cellStyle name="Currency 2 13 2" xfId="689" xr:uid="{00000000-0005-0000-0000-000041000000}"/>
    <cellStyle name="Currency 2 14" xfId="64" xr:uid="{00000000-0005-0000-0000-000042000000}"/>
    <cellStyle name="Currency 2 14 2" xfId="690" xr:uid="{00000000-0005-0000-0000-000043000000}"/>
    <cellStyle name="Currency 2 15" xfId="65" xr:uid="{00000000-0005-0000-0000-000044000000}"/>
    <cellStyle name="Currency 2 15 2" xfId="691" xr:uid="{00000000-0005-0000-0000-000045000000}"/>
    <cellStyle name="Currency 2 16" xfId="66" xr:uid="{00000000-0005-0000-0000-000046000000}"/>
    <cellStyle name="Currency 2 16 2" xfId="692" xr:uid="{00000000-0005-0000-0000-000047000000}"/>
    <cellStyle name="Currency 2 17" xfId="67" xr:uid="{00000000-0005-0000-0000-000048000000}"/>
    <cellStyle name="Currency 2 17 2" xfId="693" xr:uid="{00000000-0005-0000-0000-000049000000}"/>
    <cellStyle name="Currency 2 18" xfId="68" xr:uid="{00000000-0005-0000-0000-00004A000000}"/>
    <cellStyle name="Currency 2 18 2" xfId="694" xr:uid="{00000000-0005-0000-0000-00004B000000}"/>
    <cellStyle name="Currency 2 19" xfId="69" xr:uid="{00000000-0005-0000-0000-00004C000000}"/>
    <cellStyle name="Currency 2 19 2" xfId="695" xr:uid="{00000000-0005-0000-0000-00004D000000}"/>
    <cellStyle name="Currency 2 2" xfId="70" xr:uid="{00000000-0005-0000-0000-00004E000000}"/>
    <cellStyle name="Currency 2 2 2" xfId="696" xr:uid="{00000000-0005-0000-0000-00004F000000}"/>
    <cellStyle name="Currency 2 20" xfId="71" xr:uid="{00000000-0005-0000-0000-000050000000}"/>
    <cellStyle name="Currency 2 20 2" xfId="697" xr:uid="{00000000-0005-0000-0000-000051000000}"/>
    <cellStyle name="Currency 2 21" xfId="72" xr:uid="{00000000-0005-0000-0000-000052000000}"/>
    <cellStyle name="Currency 2 21 2" xfId="698" xr:uid="{00000000-0005-0000-0000-000053000000}"/>
    <cellStyle name="Currency 2 22" xfId="73" xr:uid="{00000000-0005-0000-0000-000054000000}"/>
    <cellStyle name="Currency 2 22 2" xfId="699" xr:uid="{00000000-0005-0000-0000-000055000000}"/>
    <cellStyle name="Currency 2 23" xfId="74" xr:uid="{00000000-0005-0000-0000-000056000000}"/>
    <cellStyle name="Currency 2 23 2" xfId="700" xr:uid="{00000000-0005-0000-0000-000057000000}"/>
    <cellStyle name="Currency 2 24" xfId="75" xr:uid="{00000000-0005-0000-0000-000058000000}"/>
    <cellStyle name="Currency 2 24 2" xfId="701" xr:uid="{00000000-0005-0000-0000-000059000000}"/>
    <cellStyle name="Currency 2 25" xfId="76" xr:uid="{00000000-0005-0000-0000-00005A000000}"/>
    <cellStyle name="Currency 2 25 2" xfId="702" xr:uid="{00000000-0005-0000-0000-00005B000000}"/>
    <cellStyle name="Currency 2 26" xfId="77" xr:uid="{00000000-0005-0000-0000-00005C000000}"/>
    <cellStyle name="Currency 2 26 2" xfId="703" xr:uid="{00000000-0005-0000-0000-00005D000000}"/>
    <cellStyle name="Currency 2 27" xfId="78" xr:uid="{00000000-0005-0000-0000-00005E000000}"/>
    <cellStyle name="Currency 2 27 2" xfId="704" xr:uid="{00000000-0005-0000-0000-00005F000000}"/>
    <cellStyle name="Currency 2 28" xfId="79" xr:uid="{00000000-0005-0000-0000-000060000000}"/>
    <cellStyle name="Currency 2 28 2" xfId="705" xr:uid="{00000000-0005-0000-0000-000061000000}"/>
    <cellStyle name="Currency 2 29" xfId="80" xr:uid="{00000000-0005-0000-0000-000062000000}"/>
    <cellStyle name="Currency 2 29 2" xfId="706" xr:uid="{00000000-0005-0000-0000-000063000000}"/>
    <cellStyle name="Currency 2 3" xfId="81" xr:uid="{00000000-0005-0000-0000-000064000000}"/>
    <cellStyle name="Currency 2 3 2" xfId="707" xr:uid="{00000000-0005-0000-0000-000065000000}"/>
    <cellStyle name="Currency 2 30" xfId="82" xr:uid="{00000000-0005-0000-0000-000066000000}"/>
    <cellStyle name="Currency 2 30 2" xfId="708" xr:uid="{00000000-0005-0000-0000-000067000000}"/>
    <cellStyle name="Currency 2 31" xfId="83" xr:uid="{00000000-0005-0000-0000-000068000000}"/>
    <cellStyle name="Currency 2 31 2" xfId="709" xr:uid="{00000000-0005-0000-0000-000069000000}"/>
    <cellStyle name="Currency 2 32" xfId="84" xr:uid="{00000000-0005-0000-0000-00006A000000}"/>
    <cellStyle name="Currency 2 32 2" xfId="710" xr:uid="{00000000-0005-0000-0000-00006B000000}"/>
    <cellStyle name="Currency 2 33" xfId="85" xr:uid="{00000000-0005-0000-0000-00006C000000}"/>
    <cellStyle name="Currency 2 33 2" xfId="711" xr:uid="{00000000-0005-0000-0000-00006D000000}"/>
    <cellStyle name="Currency 2 34" xfId="86" xr:uid="{00000000-0005-0000-0000-00006E000000}"/>
    <cellStyle name="Currency 2 34 2" xfId="712" xr:uid="{00000000-0005-0000-0000-00006F000000}"/>
    <cellStyle name="Currency 2 35" xfId="87" xr:uid="{00000000-0005-0000-0000-000070000000}"/>
    <cellStyle name="Currency 2 35 2" xfId="713" xr:uid="{00000000-0005-0000-0000-000071000000}"/>
    <cellStyle name="Currency 2 36" xfId="88" xr:uid="{00000000-0005-0000-0000-000072000000}"/>
    <cellStyle name="Currency 2 36 2" xfId="714" xr:uid="{00000000-0005-0000-0000-000073000000}"/>
    <cellStyle name="Currency 2 37" xfId="89" xr:uid="{00000000-0005-0000-0000-000074000000}"/>
    <cellStyle name="Currency 2 37 2" xfId="715" xr:uid="{00000000-0005-0000-0000-000075000000}"/>
    <cellStyle name="Currency 2 38" xfId="90" xr:uid="{00000000-0005-0000-0000-000076000000}"/>
    <cellStyle name="Currency 2 38 2" xfId="716" xr:uid="{00000000-0005-0000-0000-000077000000}"/>
    <cellStyle name="Currency 2 39" xfId="91" xr:uid="{00000000-0005-0000-0000-000078000000}"/>
    <cellStyle name="Currency 2 39 2" xfId="717" xr:uid="{00000000-0005-0000-0000-000079000000}"/>
    <cellStyle name="Currency 2 4" xfId="92" xr:uid="{00000000-0005-0000-0000-00007A000000}"/>
    <cellStyle name="Currency 2 4 2" xfId="718" xr:uid="{00000000-0005-0000-0000-00007B000000}"/>
    <cellStyle name="Currency 2 40" xfId="93" xr:uid="{00000000-0005-0000-0000-00007C000000}"/>
    <cellStyle name="Currency 2 40 2" xfId="719" xr:uid="{00000000-0005-0000-0000-00007D000000}"/>
    <cellStyle name="Currency 2 41" xfId="94" xr:uid="{00000000-0005-0000-0000-00007E000000}"/>
    <cellStyle name="Currency 2 41 2" xfId="720" xr:uid="{00000000-0005-0000-0000-00007F000000}"/>
    <cellStyle name="Currency 2 42" xfId="95" xr:uid="{00000000-0005-0000-0000-000080000000}"/>
    <cellStyle name="Currency 2 42 2" xfId="721" xr:uid="{00000000-0005-0000-0000-000081000000}"/>
    <cellStyle name="Currency 2 43" xfId="96" xr:uid="{00000000-0005-0000-0000-000082000000}"/>
    <cellStyle name="Currency 2 43 2" xfId="722" xr:uid="{00000000-0005-0000-0000-000083000000}"/>
    <cellStyle name="Currency 2 44" xfId="97" xr:uid="{00000000-0005-0000-0000-000084000000}"/>
    <cellStyle name="Currency 2 44 2" xfId="723" xr:uid="{00000000-0005-0000-0000-000085000000}"/>
    <cellStyle name="Currency 2 45" xfId="98" xr:uid="{00000000-0005-0000-0000-000086000000}"/>
    <cellStyle name="Currency 2 45 2" xfId="724" xr:uid="{00000000-0005-0000-0000-000087000000}"/>
    <cellStyle name="Currency 2 46" xfId="99" xr:uid="{00000000-0005-0000-0000-000088000000}"/>
    <cellStyle name="Currency 2 46 2" xfId="725" xr:uid="{00000000-0005-0000-0000-000089000000}"/>
    <cellStyle name="Currency 2 47" xfId="100" xr:uid="{00000000-0005-0000-0000-00008A000000}"/>
    <cellStyle name="Currency 2 47 2" xfId="726" xr:uid="{00000000-0005-0000-0000-00008B000000}"/>
    <cellStyle name="Currency 2 48" xfId="101" xr:uid="{00000000-0005-0000-0000-00008C000000}"/>
    <cellStyle name="Currency 2 48 2" xfId="727" xr:uid="{00000000-0005-0000-0000-00008D000000}"/>
    <cellStyle name="Currency 2 49" xfId="102" xr:uid="{00000000-0005-0000-0000-00008E000000}"/>
    <cellStyle name="Currency 2 49 2" xfId="728" xr:uid="{00000000-0005-0000-0000-00008F000000}"/>
    <cellStyle name="Currency 2 5" xfId="103" xr:uid="{00000000-0005-0000-0000-000090000000}"/>
    <cellStyle name="Currency 2 5 2" xfId="729" xr:uid="{00000000-0005-0000-0000-000091000000}"/>
    <cellStyle name="Currency 2 50" xfId="104" xr:uid="{00000000-0005-0000-0000-000092000000}"/>
    <cellStyle name="Currency 2 50 2" xfId="730" xr:uid="{00000000-0005-0000-0000-000093000000}"/>
    <cellStyle name="Currency 2 51" xfId="105" xr:uid="{00000000-0005-0000-0000-000094000000}"/>
    <cellStyle name="Currency 2 51 2" xfId="731" xr:uid="{00000000-0005-0000-0000-000095000000}"/>
    <cellStyle name="Currency 2 52" xfId="106" xr:uid="{00000000-0005-0000-0000-000096000000}"/>
    <cellStyle name="Currency 2 52 2" xfId="732" xr:uid="{00000000-0005-0000-0000-000097000000}"/>
    <cellStyle name="Currency 2 53" xfId="107" xr:uid="{00000000-0005-0000-0000-000098000000}"/>
    <cellStyle name="Currency 2 53 2" xfId="733" xr:uid="{00000000-0005-0000-0000-000099000000}"/>
    <cellStyle name="Currency 2 54" xfId="108" xr:uid="{00000000-0005-0000-0000-00009A000000}"/>
    <cellStyle name="Currency 2 54 2" xfId="734" xr:uid="{00000000-0005-0000-0000-00009B000000}"/>
    <cellStyle name="Currency 2 55" xfId="109" xr:uid="{00000000-0005-0000-0000-00009C000000}"/>
    <cellStyle name="Currency 2 55 2" xfId="735" xr:uid="{00000000-0005-0000-0000-00009D000000}"/>
    <cellStyle name="Currency 2 56" xfId="110" xr:uid="{00000000-0005-0000-0000-00009E000000}"/>
    <cellStyle name="Currency 2 56 2" xfId="736" xr:uid="{00000000-0005-0000-0000-00009F000000}"/>
    <cellStyle name="Currency 2 57" xfId="111" xr:uid="{00000000-0005-0000-0000-0000A0000000}"/>
    <cellStyle name="Currency 2 57 2" xfId="737" xr:uid="{00000000-0005-0000-0000-0000A1000000}"/>
    <cellStyle name="Currency 2 58" xfId="112" xr:uid="{00000000-0005-0000-0000-0000A2000000}"/>
    <cellStyle name="Currency 2 58 2" xfId="738" xr:uid="{00000000-0005-0000-0000-0000A3000000}"/>
    <cellStyle name="Currency 2 59" xfId="113" xr:uid="{00000000-0005-0000-0000-0000A4000000}"/>
    <cellStyle name="Currency 2 59 2" xfId="739" xr:uid="{00000000-0005-0000-0000-0000A5000000}"/>
    <cellStyle name="Currency 2 6" xfId="114" xr:uid="{00000000-0005-0000-0000-0000A6000000}"/>
    <cellStyle name="Currency 2 6 2" xfId="740" xr:uid="{00000000-0005-0000-0000-0000A7000000}"/>
    <cellStyle name="Currency 2 60" xfId="115" xr:uid="{00000000-0005-0000-0000-0000A8000000}"/>
    <cellStyle name="Currency 2 60 2" xfId="741" xr:uid="{00000000-0005-0000-0000-0000A9000000}"/>
    <cellStyle name="Currency 2 61" xfId="116" xr:uid="{00000000-0005-0000-0000-0000AA000000}"/>
    <cellStyle name="Currency 2 61 2" xfId="742" xr:uid="{00000000-0005-0000-0000-0000AB000000}"/>
    <cellStyle name="Currency 2 62" xfId="117" xr:uid="{00000000-0005-0000-0000-0000AC000000}"/>
    <cellStyle name="Currency 2 62 2" xfId="743" xr:uid="{00000000-0005-0000-0000-0000AD000000}"/>
    <cellStyle name="Currency 2 63" xfId="118" xr:uid="{00000000-0005-0000-0000-0000AE000000}"/>
    <cellStyle name="Currency 2 63 2" xfId="744" xr:uid="{00000000-0005-0000-0000-0000AF000000}"/>
    <cellStyle name="Currency 2 64" xfId="119" xr:uid="{00000000-0005-0000-0000-0000B0000000}"/>
    <cellStyle name="Currency 2 64 2" xfId="745" xr:uid="{00000000-0005-0000-0000-0000B1000000}"/>
    <cellStyle name="Currency 2 65" xfId="120" xr:uid="{00000000-0005-0000-0000-0000B2000000}"/>
    <cellStyle name="Currency 2 65 2" xfId="746" xr:uid="{00000000-0005-0000-0000-0000B3000000}"/>
    <cellStyle name="Currency 2 66" xfId="121" xr:uid="{00000000-0005-0000-0000-0000B4000000}"/>
    <cellStyle name="Currency 2 66 2" xfId="747" xr:uid="{00000000-0005-0000-0000-0000B5000000}"/>
    <cellStyle name="Currency 2 67" xfId="122" xr:uid="{00000000-0005-0000-0000-0000B6000000}"/>
    <cellStyle name="Currency 2 67 2" xfId="748" xr:uid="{00000000-0005-0000-0000-0000B7000000}"/>
    <cellStyle name="Currency 2 68" xfId="123" xr:uid="{00000000-0005-0000-0000-0000B8000000}"/>
    <cellStyle name="Currency 2 68 2" xfId="749" xr:uid="{00000000-0005-0000-0000-0000B9000000}"/>
    <cellStyle name="Currency 2 69" xfId="124" xr:uid="{00000000-0005-0000-0000-0000BA000000}"/>
    <cellStyle name="Currency 2 69 2" xfId="750" xr:uid="{00000000-0005-0000-0000-0000BB000000}"/>
    <cellStyle name="Currency 2 7" xfId="125" xr:uid="{00000000-0005-0000-0000-0000BC000000}"/>
    <cellStyle name="Currency 2 7 2" xfId="751" xr:uid="{00000000-0005-0000-0000-0000BD000000}"/>
    <cellStyle name="Currency 2 70" xfId="126" xr:uid="{00000000-0005-0000-0000-0000BE000000}"/>
    <cellStyle name="Currency 2 70 2" xfId="752" xr:uid="{00000000-0005-0000-0000-0000BF000000}"/>
    <cellStyle name="Currency 2 71" xfId="127" xr:uid="{00000000-0005-0000-0000-0000C0000000}"/>
    <cellStyle name="Currency 2 71 2" xfId="753" xr:uid="{00000000-0005-0000-0000-0000C1000000}"/>
    <cellStyle name="Currency 2 72" xfId="128" xr:uid="{00000000-0005-0000-0000-0000C2000000}"/>
    <cellStyle name="Currency 2 72 2" xfId="754" xr:uid="{00000000-0005-0000-0000-0000C3000000}"/>
    <cellStyle name="Currency 2 73" xfId="129" xr:uid="{00000000-0005-0000-0000-0000C4000000}"/>
    <cellStyle name="Currency 2 73 2" xfId="755" xr:uid="{00000000-0005-0000-0000-0000C5000000}"/>
    <cellStyle name="Currency 2 74" xfId="130" xr:uid="{00000000-0005-0000-0000-0000C6000000}"/>
    <cellStyle name="Currency 2 74 2" xfId="756" xr:uid="{00000000-0005-0000-0000-0000C7000000}"/>
    <cellStyle name="Currency 2 75" xfId="131" xr:uid="{00000000-0005-0000-0000-0000C8000000}"/>
    <cellStyle name="Currency 2 75 2" xfId="757" xr:uid="{00000000-0005-0000-0000-0000C9000000}"/>
    <cellStyle name="Currency 2 76" xfId="132" xr:uid="{00000000-0005-0000-0000-0000CA000000}"/>
    <cellStyle name="Currency 2 76 2" xfId="758" xr:uid="{00000000-0005-0000-0000-0000CB000000}"/>
    <cellStyle name="Currency 2 77" xfId="679" xr:uid="{00000000-0005-0000-0000-0000CC000000}"/>
    <cellStyle name="Currency 2 8" xfId="133" xr:uid="{00000000-0005-0000-0000-0000CD000000}"/>
    <cellStyle name="Currency 2 8 2" xfId="759" xr:uid="{00000000-0005-0000-0000-0000CE000000}"/>
    <cellStyle name="Currency 2 9" xfId="134" xr:uid="{00000000-0005-0000-0000-0000CF000000}"/>
    <cellStyle name="Currency 2 9 2" xfId="760" xr:uid="{00000000-0005-0000-0000-0000D0000000}"/>
    <cellStyle name="Currency 3" xfId="6" xr:uid="{00000000-0005-0000-0000-0000D1000000}"/>
    <cellStyle name="Currency 3 10" xfId="135" xr:uid="{00000000-0005-0000-0000-0000D2000000}"/>
    <cellStyle name="Currency 3 10 2" xfId="761" xr:uid="{00000000-0005-0000-0000-0000D3000000}"/>
    <cellStyle name="Currency 3 11" xfId="136" xr:uid="{00000000-0005-0000-0000-0000D4000000}"/>
    <cellStyle name="Currency 3 11 2" xfId="762" xr:uid="{00000000-0005-0000-0000-0000D5000000}"/>
    <cellStyle name="Currency 3 12" xfId="137" xr:uid="{00000000-0005-0000-0000-0000D6000000}"/>
    <cellStyle name="Currency 3 12 2" xfId="763" xr:uid="{00000000-0005-0000-0000-0000D7000000}"/>
    <cellStyle name="Currency 3 13" xfId="138" xr:uid="{00000000-0005-0000-0000-0000D8000000}"/>
    <cellStyle name="Currency 3 13 2" xfId="764" xr:uid="{00000000-0005-0000-0000-0000D9000000}"/>
    <cellStyle name="Currency 3 14" xfId="139" xr:uid="{00000000-0005-0000-0000-0000DA000000}"/>
    <cellStyle name="Currency 3 14 2" xfId="765" xr:uid="{00000000-0005-0000-0000-0000DB000000}"/>
    <cellStyle name="Currency 3 15" xfId="140" xr:uid="{00000000-0005-0000-0000-0000DC000000}"/>
    <cellStyle name="Currency 3 15 2" xfId="766" xr:uid="{00000000-0005-0000-0000-0000DD000000}"/>
    <cellStyle name="Currency 3 16" xfId="141" xr:uid="{00000000-0005-0000-0000-0000DE000000}"/>
    <cellStyle name="Currency 3 16 2" xfId="767" xr:uid="{00000000-0005-0000-0000-0000DF000000}"/>
    <cellStyle name="Currency 3 17" xfId="142" xr:uid="{00000000-0005-0000-0000-0000E0000000}"/>
    <cellStyle name="Currency 3 17 2" xfId="768" xr:uid="{00000000-0005-0000-0000-0000E1000000}"/>
    <cellStyle name="Currency 3 18" xfId="143" xr:uid="{00000000-0005-0000-0000-0000E2000000}"/>
    <cellStyle name="Currency 3 18 2" xfId="769" xr:uid="{00000000-0005-0000-0000-0000E3000000}"/>
    <cellStyle name="Currency 3 19" xfId="144" xr:uid="{00000000-0005-0000-0000-0000E4000000}"/>
    <cellStyle name="Currency 3 19 2" xfId="770" xr:uid="{00000000-0005-0000-0000-0000E5000000}"/>
    <cellStyle name="Currency 3 2" xfId="145" xr:uid="{00000000-0005-0000-0000-0000E6000000}"/>
    <cellStyle name="Currency 3 2 2" xfId="771" xr:uid="{00000000-0005-0000-0000-0000E7000000}"/>
    <cellStyle name="Currency 3 20" xfId="146" xr:uid="{00000000-0005-0000-0000-0000E8000000}"/>
    <cellStyle name="Currency 3 20 2" xfId="772" xr:uid="{00000000-0005-0000-0000-0000E9000000}"/>
    <cellStyle name="Currency 3 21" xfId="147" xr:uid="{00000000-0005-0000-0000-0000EA000000}"/>
    <cellStyle name="Currency 3 21 2" xfId="773" xr:uid="{00000000-0005-0000-0000-0000EB000000}"/>
    <cellStyle name="Currency 3 22" xfId="148" xr:uid="{00000000-0005-0000-0000-0000EC000000}"/>
    <cellStyle name="Currency 3 22 2" xfId="774" xr:uid="{00000000-0005-0000-0000-0000ED000000}"/>
    <cellStyle name="Currency 3 23" xfId="149" xr:uid="{00000000-0005-0000-0000-0000EE000000}"/>
    <cellStyle name="Currency 3 23 2" xfId="775" xr:uid="{00000000-0005-0000-0000-0000EF000000}"/>
    <cellStyle name="Currency 3 24" xfId="150" xr:uid="{00000000-0005-0000-0000-0000F0000000}"/>
    <cellStyle name="Currency 3 24 2" xfId="776" xr:uid="{00000000-0005-0000-0000-0000F1000000}"/>
    <cellStyle name="Currency 3 25" xfId="151" xr:uid="{00000000-0005-0000-0000-0000F2000000}"/>
    <cellStyle name="Currency 3 25 2" xfId="777" xr:uid="{00000000-0005-0000-0000-0000F3000000}"/>
    <cellStyle name="Currency 3 26" xfId="152" xr:uid="{00000000-0005-0000-0000-0000F4000000}"/>
    <cellStyle name="Currency 3 26 2" xfId="778" xr:uid="{00000000-0005-0000-0000-0000F5000000}"/>
    <cellStyle name="Currency 3 27" xfId="153" xr:uid="{00000000-0005-0000-0000-0000F6000000}"/>
    <cellStyle name="Currency 3 27 2" xfId="779" xr:uid="{00000000-0005-0000-0000-0000F7000000}"/>
    <cellStyle name="Currency 3 28" xfId="154" xr:uid="{00000000-0005-0000-0000-0000F8000000}"/>
    <cellStyle name="Currency 3 28 2" xfId="780" xr:uid="{00000000-0005-0000-0000-0000F9000000}"/>
    <cellStyle name="Currency 3 29" xfId="155" xr:uid="{00000000-0005-0000-0000-0000FA000000}"/>
    <cellStyle name="Currency 3 29 2" xfId="781" xr:uid="{00000000-0005-0000-0000-0000FB000000}"/>
    <cellStyle name="Currency 3 3" xfId="156" xr:uid="{00000000-0005-0000-0000-0000FC000000}"/>
    <cellStyle name="Currency 3 3 2" xfId="782" xr:uid="{00000000-0005-0000-0000-0000FD000000}"/>
    <cellStyle name="Currency 3 30" xfId="157" xr:uid="{00000000-0005-0000-0000-0000FE000000}"/>
    <cellStyle name="Currency 3 30 2" xfId="783" xr:uid="{00000000-0005-0000-0000-0000FF000000}"/>
    <cellStyle name="Currency 3 31" xfId="158" xr:uid="{00000000-0005-0000-0000-000000010000}"/>
    <cellStyle name="Currency 3 31 2" xfId="784" xr:uid="{00000000-0005-0000-0000-000001010000}"/>
    <cellStyle name="Currency 3 32" xfId="159" xr:uid="{00000000-0005-0000-0000-000002010000}"/>
    <cellStyle name="Currency 3 32 2" xfId="785" xr:uid="{00000000-0005-0000-0000-000003010000}"/>
    <cellStyle name="Currency 3 33" xfId="160" xr:uid="{00000000-0005-0000-0000-000004010000}"/>
    <cellStyle name="Currency 3 33 2" xfId="786" xr:uid="{00000000-0005-0000-0000-000005010000}"/>
    <cellStyle name="Currency 3 34" xfId="161" xr:uid="{00000000-0005-0000-0000-000006010000}"/>
    <cellStyle name="Currency 3 34 2" xfId="787" xr:uid="{00000000-0005-0000-0000-000007010000}"/>
    <cellStyle name="Currency 3 35" xfId="162" xr:uid="{00000000-0005-0000-0000-000008010000}"/>
    <cellStyle name="Currency 3 35 2" xfId="788" xr:uid="{00000000-0005-0000-0000-000009010000}"/>
    <cellStyle name="Currency 3 36" xfId="163" xr:uid="{00000000-0005-0000-0000-00000A010000}"/>
    <cellStyle name="Currency 3 36 2" xfId="789" xr:uid="{00000000-0005-0000-0000-00000B010000}"/>
    <cellStyle name="Currency 3 37" xfId="164" xr:uid="{00000000-0005-0000-0000-00000C010000}"/>
    <cellStyle name="Currency 3 37 2" xfId="790" xr:uid="{00000000-0005-0000-0000-00000D010000}"/>
    <cellStyle name="Currency 3 38" xfId="165" xr:uid="{00000000-0005-0000-0000-00000E010000}"/>
    <cellStyle name="Currency 3 38 2" xfId="791" xr:uid="{00000000-0005-0000-0000-00000F010000}"/>
    <cellStyle name="Currency 3 39" xfId="166" xr:uid="{00000000-0005-0000-0000-000010010000}"/>
    <cellStyle name="Currency 3 39 2" xfId="792" xr:uid="{00000000-0005-0000-0000-000011010000}"/>
    <cellStyle name="Currency 3 4" xfId="167" xr:uid="{00000000-0005-0000-0000-000012010000}"/>
    <cellStyle name="Currency 3 4 2" xfId="793" xr:uid="{00000000-0005-0000-0000-000013010000}"/>
    <cellStyle name="Currency 3 40" xfId="168" xr:uid="{00000000-0005-0000-0000-000014010000}"/>
    <cellStyle name="Currency 3 40 2" xfId="794" xr:uid="{00000000-0005-0000-0000-000015010000}"/>
    <cellStyle name="Currency 3 41" xfId="169" xr:uid="{00000000-0005-0000-0000-000016010000}"/>
    <cellStyle name="Currency 3 41 2" xfId="795" xr:uid="{00000000-0005-0000-0000-000017010000}"/>
    <cellStyle name="Currency 3 42" xfId="170" xr:uid="{00000000-0005-0000-0000-000018010000}"/>
    <cellStyle name="Currency 3 42 2" xfId="796" xr:uid="{00000000-0005-0000-0000-000019010000}"/>
    <cellStyle name="Currency 3 43" xfId="171" xr:uid="{00000000-0005-0000-0000-00001A010000}"/>
    <cellStyle name="Currency 3 43 2" xfId="797" xr:uid="{00000000-0005-0000-0000-00001B010000}"/>
    <cellStyle name="Currency 3 44" xfId="172" xr:uid="{00000000-0005-0000-0000-00001C010000}"/>
    <cellStyle name="Currency 3 44 2" xfId="798" xr:uid="{00000000-0005-0000-0000-00001D010000}"/>
    <cellStyle name="Currency 3 45" xfId="173" xr:uid="{00000000-0005-0000-0000-00001E010000}"/>
    <cellStyle name="Currency 3 45 2" xfId="799" xr:uid="{00000000-0005-0000-0000-00001F010000}"/>
    <cellStyle name="Currency 3 46" xfId="174" xr:uid="{00000000-0005-0000-0000-000020010000}"/>
    <cellStyle name="Currency 3 46 2" xfId="800" xr:uid="{00000000-0005-0000-0000-000021010000}"/>
    <cellStyle name="Currency 3 47" xfId="175" xr:uid="{00000000-0005-0000-0000-000022010000}"/>
    <cellStyle name="Currency 3 47 2" xfId="801" xr:uid="{00000000-0005-0000-0000-000023010000}"/>
    <cellStyle name="Currency 3 48" xfId="176" xr:uid="{00000000-0005-0000-0000-000024010000}"/>
    <cellStyle name="Currency 3 48 2" xfId="802" xr:uid="{00000000-0005-0000-0000-000025010000}"/>
    <cellStyle name="Currency 3 49" xfId="177" xr:uid="{00000000-0005-0000-0000-000026010000}"/>
    <cellStyle name="Currency 3 49 2" xfId="803" xr:uid="{00000000-0005-0000-0000-000027010000}"/>
    <cellStyle name="Currency 3 5" xfId="178" xr:uid="{00000000-0005-0000-0000-000028010000}"/>
    <cellStyle name="Currency 3 5 2" xfId="804" xr:uid="{00000000-0005-0000-0000-000029010000}"/>
    <cellStyle name="Currency 3 50" xfId="179" xr:uid="{00000000-0005-0000-0000-00002A010000}"/>
    <cellStyle name="Currency 3 50 2" xfId="805" xr:uid="{00000000-0005-0000-0000-00002B010000}"/>
    <cellStyle name="Currency 3 51" xfId="180" xr:uid="{00000000-0005-0000-0000-00002C010000}"/>
    <cellStyle name="Currency 3 51 2" xfId="806" xr:uid="{00000000-0005-0000-0000-00002D010000}"/>
    <cellStyle name="Currency 3 52" xfId="181" xr:uid="{00000000-0005-0000-0000-00002E010000}"/>
    <cellStyle name="Currency 3 52 2" xfId="807" xr:uid="{00000000-0005-0000-0000-00002F010000}"/>
    <cellStyle name="Currency 3 53" xfId="182" xr:uid="{00000000-0005-0000-0000-000030010000}"/>
    <cellStyle name="Currency 3 53 2" xfId="808" xr:uid="{00000000-0005-0000-0000-000031010000}"/>
    <cellStyle name="Currency 3 54" xfId="183" xr:uid="{00000000-0005-0000-0000-000032010000}"/>
    <cellStyle name="Currency 3 54 2" xfId="809" xr:uid="{00000000-0005-0000-0000-000033010000}"/>
    <cellStyle name="Currency 3 55" xfId="184" xr:uid="{00000000-0005-0000-0000-000034010000}"/>
    <cellStyle name="Currency 3 55 2" xfId="810" xr:uid="{00000000-0005-0000-0000-000035010000}"/>
    <cellStyle name="Currency 3 56" xfId="185" xr:uid="{00000000-0005-0000-0000-000036010000}"/>
    <cellStyle name="Currency 3 56 2" xfId="811" xr:uid="{00000000-0005-0000-0000-000037010000}"/>
    <cellStyle name="Currency 3 57" xfId="186" xr:uid="{00000000-0005-0000-0000-000038010000}"/>
    <cellStyle name="Currency 3 57 2" xfId="812" xr:uid="{00000000-0005-0000-0000-000039010000}"/>
    <cellStyle name="Currency 3 58" xfId="187" xr:uid="{00000000-0005-0000-0000-00003A010000}"/>
    <cellStyle name="Currency 3 58 2" xfId="813" xr:uid="{00000000-0005-0000-0000-00003B010000}"/>
    <cellStyle name="Currency 3 59" xfId="188" xr:uid="{00000000-0005-0000-0000-00003C010000}"/>
    <cellStyle name="Currency 3 59 2" xfId="814" xr:uid="{00000000-0005-0000-0000-00003D010000}"/>
    <cellStyle name="Currency 3 6" xfId="189" xr:uid="{00000000-0005-0000-0000-00003E010000}"/>
    <cellStyle name="Currency 3 6 2" xfId="815" xr:uid="{00000000-0005-0000-0000-00003F010000}"/>
    <cellStyle name="Currency 3 60" xfId="190" xr:uid="{00000000-0005-0000-0000-000040010000}"/>
    <cellStyle name="Currency 3 60 2" xfId="816" xr:uid="{00000000-0005-0000-0000-000041010000}"/>
    <cellStyle name="Currency 3 61" xfId="191" xr:uid="{00000000-0005-0000-0000-000042010000}"/>
    <cellStyle name="Currency 3 61 2" xfId="817" xr:uid="{00000000-0005-0000-0000-000043010000}"/>
    <cellStyle name="Currency 3 62" xfId="192" xr:uid="{00000000-0005-0000-0000-000044010000}"/>
    <cellStyle name="Currency 3 62 2" xfId="818" xr:uid="{00000000-0005-0000-0000-000045010000}"/>
    <cellStyle name="Currency 3 63" xfId="193" xr:uid="{00000000-0005-0000-0000-000046010000}"/>
    <cellStyle name="Currency 3 63 2" xfId="819" xr:uid="{00000000-0005-0000-0000-000047010000}"/>
    <cellStyle name="Currency 3 64" xfId="194" xr:uid="{00000000-0005-0000-0000-000048010000}"/>
    <cellStyle name="Currency 3 64 2" xfId="820" xr:uid="{00000000-0005-0000-0000-000049010000}"/>
    <cellStyle name="Currency 3 65" xfId="195" xr:uid="{00000000-0005-0000-0000-00004A010000}"/>
    <cellStyle name="Currency 3 65 2" xfId="821" xr:uid="{00000000-0005-0000-0000-00004B010000}"/>
    <cellStyle name="Currency 3 66" xfId="196" xr:uid="{00000000-0005-0000-0000-00004C010000}"/>
    <cellStyle name="Currency 3 66 2" xfId="822" xr:uid="{00000000-0005-0000-0000-00004D010000}"/>
    <cellStyle name="Currency 3 67" xfId="197" xr:uid="{00000000-0005-0000-0000-00004E010000}"/>
    <cellStyle name="Currency 3 67 2" xfId="823" xr:uid="{00000000-0005-0000-0000-00004F010000}"/>
    <cellStyle name="Currency 3 68" xfId="198" xr:uid="{00000000-0005-0000-0000-000050010000}"/>
    <cellStyle name="Currency 3 68 2" xfId="824" xr:uid="{00000000-0005-0000-0000-000051010000}"/>
    <cellStyle name="Currency 3 69" xfId="199" xr:uid="{00000000-0005-0000-0000-000052010000}"/>
    <cellStyle name="Currency 3 69 2" xfId="825" xr:uid="{00000000-0005-0000-0000-000053010000}"/>
    <cellStyle name="Currency 3 7" xfId="200" xr:uid="{00000000-0005-0000-0000-000054010000}"/>
    <cellStyle name="Currency 3 7 2" xfId="826" xr:uid="{00000000-0005-0000-0000-000055010000}"/>
    <cellStyle name="Currency 3 70" xfId="201" xr:uid="{00000000-0005-0000-0000-000056010000}"/>
    <cellStyle name="Currency 3 70 2" xfId="827" xr:uid="{00000000-0005-0000-0000-000057010000}"/>
    <cellStyle name="Currency 3 71" xfId="202" xr:uid="{00000000-0005-0000-0000-000058010000}"/>
    <cellStyle name="Currency 3 71 2" xfId="828" xr:uid="{00000000-0005-0000-0000-000059010000}"/>
    <cellStyle name="Currency 3 72" xfId="203" xr:uid="{00000000-0005-0000-0000-00005A010000}"/>
    <cellStyle name="Currency 3 72 2" xfId="829" xr:uid="{00000000-0005-0000-0000-00005B010000}"/>
    <cellStyle name="Currency 3 73" xfId="204" xr:uid="{00000000-0005-0000-0000-00005C010000}"/>
    <cellStyle name="Currency 3 73 2" xfId="830" xr:uid="{00000000-0005-0000-0000-00005D010000}"/>
    <cellStyle name="Currency 3 74" xfId="677" xr:uid="{00000000-0005-0000-0000-00005E010000}"/>
    <cellStyle name="Currency 3 8" xfId="205" xr:uid="{00000000-0005-0000-0000-00005F010000}"/>
    <cellStyle name="Currency 3 8 2" xfId="831" xr:uid="{00000000-0005-0000-0000-000060010000}"/>
    <cellStyle name="Currency 3 9" xfId="206" xr:uid="{00000000-0005-0000-0000-000061010000}"/>
    <cellStyle name="Currency 3 9 2" xfId="832" xr:uid="{00000000-0005-0000-0000-000062010000}"/>
    <cellStyle name="Currency 4 10" xfId="207" xr:uid="{00000000-0005-0000-0000-000063010000}"/>
    <cellStyle name="Currency 4 10 2" xfId="833" xr:uid="{00000000-0005-0000-0000-000064010000}"/>
    <cellStyle name="Currency 4 11" xfId="208" xr:uid="{00000000-0005-0000-0000-000065010000}"/>
    <cellStyle name="Currency 4 11 2" xfId="834" xr:uid="{00000000-0005-0000-0000-000066010000}"/>
    <cellStyle name="Currency 4 12" xfId="209" xr:uid="{00000000-0005-0000-0000-000067010000}"/>
    <cellStyle name="Currency 4 12 2" xfId="835" xr:uid="{00000000-0005-0000-0000-000068010000}"/>
    <cellStyle name="Currency 4 13" xfId="210" xr:uid="{00000000-0005-0000-0000-000069010000}"/>
    <cellStyle name="Currency 4 13 2" xfId="836" xr:uid="{00000000-0005-0000-0000-00006A010000}"/>
    <cellStyle name="Currency 4 14" xfId="211" xr:uid="{00000000-0005-0000-0000-00006B010000}"/>
    <cellStyle name="Currency 4 14 2" xfId="837" xr:uid="{00000000-0005-0000-0000-00006C010000}"/>
    <cellStyle name="Currency 4 15" xfId="212" xr:uid="{00000000-0005-0000-0000-00006D010000}"/>
    <cellStyle name="Currency 4 15 2" xfId="838" xr:uid="{00000000-0005-0000-0000-00006E010000}"/>
    <cellStyle name="Currency 4 16" xfId="213" xr:uid="{00000000-0005-0000-0000-00006F010000}"/>
    <cellStyle name="Currency 4 16 2" xfId="839" xr:uid="{00000000-0005-0000-0000-000070010000}"/>
    <cellStyle name="Currency 4 17" xfId="214" xr:uid="{00000000-0005-0000-0000-000071010000}"/>
    <cellStyle name="Currency 4 17 2" xfId="840" xr:uid="{00000000-0005-0000-0000-000072010000}"/>
    <cellStyle name="Currency 4 18" xfId="215" xr:uid="{00000000-0005-0000-0000-000073010000}"/>
    <cellStyle name="Currency 4 18 2" xfId="841" xr:uid="{00000000-0005-0000-0000-000074010000}"/>
    <cellStyle name="Currency 4 19" xfId="216" xr:uid="{00000000-0005-0000-0000-000075010000}"/>
    <cellStyle name="Currency 4 19 2" xfId="842" xr:uid="{00000000-0005-0000-0000-000076010000}"/>
    <cellStyle name="Currency 4 2" xfId="217" xr:uid="{00000000-0005-0000-0000-000077010000}"/>
    <cellStyle name="Currency 4 2 2" xfId="843" xr:uid="{00000000-0005-0000-0000-000078010000}"/>
    <cellStyle name="Currency 4 20" xfId="218" xr:uid="{00000000-0005-0000-0000-000079010000}"/>
    <cellStyle name="Currency 4 20 2" xfId="844" xr:uid="{00000000-0005-0000-0000-00007A010000}"/>
    <cellStyle name="Currency 4 21" xfId="219" xr:uid="{00000000-0005-0000-0000-00007B010000}"/>
    <cellStyle name="Currency 4 21 2" xfId="845" xr:uid="{00000000-0005-0000-0000-00007C010000}"/>
    <cellStyle name="Currency 4 22" xfId="220" xr:uid="{00000000-0005-0000-0000-00007D010000}"/>
    <cellStyle name="Currency 4 22 2" xfId="846" xr:uid="{00000000-0005-0000-0000-00007E010000}"/>
    <cellStyle name="Currency 4 23" xfId="221" xr:uid="{00000000-0005-0000-0000-00007F010000}"/>
    <cellStyle name="Currency 4 23 2" xfId="847" xr:uid="{00000000-0005-0000-0000-000080010000}"/>
    <cellStyle name="Currency 4 24" xfId="222" xr:uid="{00000000-0005-0000-0000-000081010000}"/>
    <cellStyle name="Currency 4 24 2" xfId="848" xr:uid="{00000000-0005-0000-0000-000082010000}"/>
    <cellStyle name="Currency 4 25" xfId="223" xr:uid="{00000000-0005-0000-0000-000083010000}"/>
    <cellStyle name="Currency 4 25 2" xfId="849" xr:uid="{00000000-0005-0000-0000-000084010000}"/>
    <cellStyle name="Currency 4 26" xfId="224" xr:uid="{00000000-0005-0000-0000-000085010000}"/>
    <cellStyle name="Currency 4 26 2" xfId="850" xr:uid="{00000000-0005-0000-0000-000086010000}"/>
    <cellStyle name="Currency 4 27" xfId="225" xr:uid="{00000000-0005-0000-0000-000087010000}"/>
    <cellStyle name="Currency 4 27 2" xfId="851" xr:uid="{00000000-0005-0000-0000-000088010000}"/>
    <cellStyle name="Currency 4 28" xfId="226" xr:uid="{00000000-0005-0000-0000-000089010000}"/>
    <cellStyle name="Currency 4 28 2" xfId="852" xr:uid="{00000000-0005-0000-0000-00008A010000}"/>
    <cellStyle name="Currency 4 29" xfId="227" xr:uid="{00000000-0005-0000-0000-00008B010000}"/>
    <cellStyle name="Currency 4 29 2" xfId="853" xr:uid="{00000000-0005-0000-0000-00008C010000}"/>
    <cellStyle name="Currency 4 3" xfId="228" xr:uid="{00000000-0005-0000-0000-00008D010000}"/>
    <cellStyle name="Currency 4 3 2" xfId="854" xr:uid="{00000000-0005-0000-0000-00008E010000}"/>
    <cellStyle name="Currency 4 30" xfId="229" xr:uid="{00000000-0005-0000-0000-00008F010000}"/>
    <cellStyle name="Currency 4 30 2" xfId="855" xr:uid="{00000000-0005-0000-0000-000090010000}"/>
    <cellStyle name="Currency 4 31" xfId="230" xr:uid="{00000000-0005-0000-0000-000091010000}"/>
    <cellStyle name="Currency 4 31 2" xfId="856" xr:uid="{00000000-0005-0000-0000-000092010000}"/>
    <cellStyle name="Currency 4 32" xfId="231" xr:uid="{00000000-0005-0000-0000-000093010000}"/>
    <cellStyle name="Currency 4 32 2" xfId="857" xr:uid="{00000000-0005-0000-0000-000094010000}"/>
    <cellStyle name="Currency 4 33" xfId="232" xr:uid="{00000000-0005-0000-0000-000095010000}"/>
    <cellStyle name="Currency 4 33 2" xfId="858" xr:uid="{00000000-0005-0000-0000-000096010000}"/>
    <cellStyle name="Currency 4 34" xfId="233" xr:uid="{00000000-0005-0000-0000-000097010000}"/>
    <cellStyle name="Currency 4 34 2" xfId="859" xr:uid="{00000000-0005-0000-0000-000098010000}"/>
    <cellStyle name="Currency 4 35" xfId="234" xr:uid="{00000000-0005-0000-0000-000099010000}"/>
    <cellStyle name="Currency 4 35 2" xfId="860" xr:uid="{00000000-0005-0000-0000-00009A010000}"/>
    <cellStyle name="Currency 4 36" xfId="235" xr:uid="{00000000-0005-0000-0000-00009B010000}"/>
    <cellStyle name="Currency 4 36 2" xfId="861" xr:uid="{00000000-0005-0000-0000-00009C010000}"/>
    <cellStyle name="Currency 4 37" xfId="236" xr:uid="{00000000-0005-0000-0000-00009D010000}"/>
    <cellStyle name="Currency 4 37 2" xfId="862" xr:uid="{00000000-0005-0000-0000-00009E010000}"/>
    <cellStyle name="Currency 4 38" xfId="237" xr:uid="{00000000-0005-0000-0000-00009F010000}"/>
    <cellStyle name="Currency 4 38 2" xfId="863" xr:uid="{00000000-0005-0000-0000-0000A0010000}"/>
    <cellStyle name="Currency 4 39" xfId="238" xr:uid="{00000000-0005-0000-0000-0000A1010000}"/>
    <cellStyle name="Currency 4 39 2" xfId="864" xr:uid="{00000000-0005-0000-0000-0000A2010000}"/>
    <cellStyle name="Currency 4 4" xfId="239" xr:uid="{00000000-0005-0000-0000-0000A3010000}"/>
    <cellStyle name="Currency 4 4 2" xfId="865" xr:uid="{00000000-0005-0000-0000-0000A4010000}"/>
    <cellStyle name="Currency 4 40" xfId="240" xr:uid="{00000000-0005-0000-0000-0000A5010000}"/>
    <cellStyle name="Currency 4 40 2" xfId="866" xr:uid="{00000000-0005-0000-0000-0000A6010000}"/>
    <cellStyle name="Currency 4 41" xfId="241" xr:uid="{00000000-0005-0000-0000-0000A7010000}"/>
    <cellStyle name="Currency 4 41 2" xfId="867" xr:uid="{00000000-0005-0000-0000-0000A8010000}"/>
    <cellStyle name="Currency 4 42" xfId="242" xr:uid="{00000000-0005-0000-0000-0000A9010000}"/>
    <cellStyle name="Currency 4 42 2" xfId="868" xr:uid="{00000000-0005-0000-0000-0000AA010000}"/>
    <cellStyle name="Currency 4 43" xfId="243" xr:uid="{00000000-0005-0000-0000-0000AB010000}"/>
    <cellStyle name="Currency 4 43 2" xfId="869" xr:uid="{00000000-0005-0000-0000-0000AC010000}"/>
    <cellStyle name="Currency 4 44" xfId="244" xr:uid="{00000000-0005-0000-0000-0000AD010000}"/>
    <cellStyle name="Currency 4 44 2" xfId="870" xr:uid="{00000000-0005-0000-0000-0000AE010000}"/>
    <cellStyle name="Currency 4 45" xfId="245" xr:uid="{00000000-0005-0000-0000-0000AF010000}"/>
    <cellStyle name="Currency 4 45 2" xfId="871" xr:uid="{00000000-0005-0000-0000-0000B0010000}"/>
    <cellStyle name="Currency 4 46" xfId="246" xr:uid="{00000000-0005-0000-0000-0000B1010000}"/>
    <cellStyle name="Currency 4 46 2" xfId="872" xr:uid="{00000000-0005-0000-0000-0000B2010000}"/>
    <cellStyle name="Currency 4 47" xfId="247" xr:uid="{00000000-0005-0000-0000-0000B3010000}"/>
    <cellStyle name="Currency 4 47 2" xfId="873" xr:uid="{00000000-0005-0000-0000-0000B4010000}"/>
    <cellStyle name="Currency 4 48" xfId="248" xr:uid="{00000000-0005-0000-0000-0000B5010000}"/>
    <cellStyle name="Currency 4 48 2" xfId="874" xr:uid="{00000000-0005-0000-0000-0000B6010000}"/>
    <cellStyle name="Currency 4 49" xfId="249" xr:uid="{00000000-0005-0000-0000-0000B7010000}"/>
    <cellStyle name="Currency 4 49 2" xfId="875" xr:uid="{00000000-0005-0000-0000-0000B8010000}"/>
    <cellStyle name="Currency 4 5" xfId="250" xr:uid="{00000000-0005-0000-0000-0000B9010000}"/>
    <cellStyle name="Currency 4 5 2" xfId="876" xr:uid="{00000000-0005-0000-0000-0000BA010000}"/>
    <cellStyle name="Currency 4 50" xfId="251" xr:uid="{00000000-0005-0000-0000-0000BB010000}"/>
    <cellStyle name="Currency 4 50 2" xfId="877" xr:uid="{00000000-0005-0000-0000-0000BC010000}"/>
    <cellStyle name="Currency 4 51" xfId="252" xr:uid="{00000000-0005-0000-0000-0000BD010000}"/>
    <cellStyle name="Currency 4 51 2" xfId="878" xr:uid="{00000000-0005-0000-0000-0000BE010000}"/>
    <cellStyle name="Currency 4 52" xfId="253" xr:uid="{00000000-0005-0000-0000-0000BF010000}"/>
    <cellStyle name="Currency 4 52 2" xfId="879" xr:uid="{00000000-0005-0000-0000-0000C0010000}"/>
    <cellStyle name="Currency 4 53" xfId="254" xr:uid="{00000000-0005-0000-0000-0000C1010000}"/>
    <cellStyle name="Currency 4 53 2" xfId="880" xr:uid="{00000000-0005-0000-0000-0000C2010000}"/>
    <cellStyle name="Currency 4 54" xfId="255" xr:uid="{00000000-0005-0000-0000-0000C3010000}"/>
    <cellStyle name="Currency 4 54 2" xfId="881" xr:uid="{00000000-0005-0000-0000-0000C4010000}"/>
    <cellStyle name="Currency 4 55" xfId="256" xr:uid="{00000000-0005-0000-0000-0000C5010000}"/>
    <cellStyle name="Currency 4 55 2" xfId="882" xr:uid="{00000000-0005-0000-0000-0000C6010000}"/>
    <cellStyle name="Currency 4 56" xfId="257" xr:uid="{00000000-0005-0000-0000-0000C7010000}"/>
    <cellStyle name="Currency 4 56 2" xfId="883" xr:uid="{00000000-0005-0000-0000-0000C8010000}"/>
    <cellStyle name="Currency 4 57" xfId="258" xr:uid="{00000000-0005-0000-0000-0000C9010000}"/>
    <cellStyle name="Currency 4 57 2" xfId="884" xr:uid="{00000000-0005-0000-0000-0000CA010000}"/>
    <cellStyle name="Currency 4 58" xfId="259" xr:uid="{00000000-0005-0000-0000-0000CB010000}"/>
    <cellStyle name="Currency 4 58 2" xfId="885" xr:uid="{00000000-0005-0000-0000-0000CC010000}"/>
    <cellStyle name="Currency 4 59" xfId="260" xr:uid="{00000000-0005-0000-0000-0000CD010000}"/>
    <cellStyle name="Currency 4 59 2" xfId="886" xr:uid="{00000000-0005-0000-0000-0000CE010000}"/>
    <cellStyle name="Currency 4 6" xfId="261" xr:uid="{00000000-0005-0000-0000-0000CF010000}"/>
    <cellStyle name="Currency 4 6 2" xfId="887" xr:uid="{00000000-0005-0000-0000-0000D0010000}"/>
    <cellStyle name="Currency 4 60" xfId="262" xr:uid="{00000000-0005-0000-0000-0000D1010000}"/>
    <cellStyle name="Currency 4 60 2" xfId="888" xr:uid="{00000000-0005-0000-0000-0000D2010000}"/>
    <cellStyle name="Currency 4 61" xfId="263" xr:uid="{00000000-0005-0000-0000-0000D3010000}"/>
    <cellStyle name="Currency 4 61 2" xfId="889" xr:uid="{00000000-0005-0000-0000-0000D4010000}"/>
    <cellStyle name="Currency 4 62" xfId="264" xr:uid="{00000000-0005-0000-0000-0000D5010000}"/>
    <cellStyle name="Currency 4 62 2" xfId="890" xr:uid="{00000000-0005-0000-0000-0000D6010000}"/>
    <cellStyle name="Currency 4 63" xfId="265" xr:uid="{00000000-0005-0000-0000-0000D7010000}"/>
    <cellStyle name="Currency 4 63 2" xfId="891" xr:uid="{00000000-0005-0000-0000-0000D8010000}"/>
    <cellStyle name="Currency 4 64" xfId="266" xr:uid="{00000000-0005-0000-0000-0000D9010000}"/>
    <cellStyle name="Currency 4 64 2" xfId="892" xr:uid="{00000000-0005-0000-0000-0000DA010000}"/>
    <cellStyle name="Currency 4 65" xfId="267" xr:uid="{00000000-0005-0000-0000-0000DB010000}"/>
    <cellStyle name="Currency 4 65 2" xfId="893" xr:uid="{00000000-0005-0000-0000-0000DC010000}"/>
    <cellStyle name="Currency 4 66" xfId="268" xr:uid="{00000000-0005-0000-0000-0000DD010000}"/>
    <cellStyle name="Currency 4 66 2" xfId="894" xr:uid="{00000000-0005-0000-0000-0000DE010000}"/>
    <cellStyle name="Currency 4 67" xfId="269" xr:uid="{00000000-0005-0000-0000-0000DF010000}"/>
    <cellStyle name="Currency 4 67 2" xfId="895" xr:uid="{00000000-0005-0000-0000-0000E0010000}"/>
    <cellStyle name="Currency 4 68" xfId="270" xr:uid="{00000000-0005-0000-0000-0000E1010000}"/>
    <cellStyle name="Currency 4 68 2" xfId="896" xr:uid="{00000000-0005-0000-0000-0000E2010000}"/>
    <cellStyle name="Currency 4 69" xfId="271" xr:uid="{00000000-0005-0000-0000-0000E3010000}"/>
    <cellStyle name="Currency 4 69 2" xfId="897" xr:uid="{00000000-0005-0000-0000-0000E4010000}"/>
    <cellStyle name="Currency 4 7" xfId="272" xr:uid="{00000000-0005-0000-0000-0000E5010000}"/>
    <cellStyle name="Currency 4 7 2" xfId="898" xr:uid="{00000000-0005-0000-0000-0000E6010000}"/>
    <cellStyle name="Currency 4 70" xfId="273" xr:uid="{00000000-0005-0000-0000-0000E7010000}"/>
    <cellStyle name="Currency 4 70 2" xfId="899" xr:uid="{00000000-0005-0000-0000-0000E8010000}"/>
    <cellStyle name="Currency 4 71" xfId="274" xr:uid="{00000000-0005-0000-0000-0000E9010000}"/>
    <cellStyle name="Currency 4 71 2" xfId="900" xr:uid="{00000000-0005-0000-0000-0000EA010000}"/>
    <cellStyle name="Currency 4 72" xfId="275" xr:uid="{00000000-0005-0000-0000-0000EB010000}"/>
    <cellStyle name="Currency 4 72 2" xfId="901" xr:uid="{00000000-0005-0000-0000-0000EC010000}"/>
    <cellStyle name="Currency 4 73" xfId="276" xr:uid="{00000000-0005-0000-0000-0000ED010000}"/>
    <cellStyle name="Currency 4 73 2" xfId="902" xr:uid="{00000000-0005-0000-0000-0000EE010000}"/>
    <cellStyle name="Currency 4 8" xfId="277" xr:uid="{00000000-0005-0000-0000-0000EF010000}"/>
    <cellStyle name="Currency 4 8 2" xfId="903" xr:uid="{00000000-0005-0000-0000-0000F0010000}"/>
    <cellStyle name="Currency 4 9" xfId="278" xr:uid="{00000000-0005-0000-0000-0000F1010000}"/>
    <cellStyle name="Currency 4 9 2" xfId="904" xr:uid="{00000000-0005-0000-0000-0000F2010000}"/>
    <cellStyle name="Emphasis 1" xfId="279" xr:uid="{00000000-0005-0000-0000-0000F3010000}"/>
    <cellStyle name="Emphasis 2" xfId="280" xr:uid="{00000000-0005-0000-0000-0000F4010000}"/>
    <cellStyle name="Emphasis 3" xfId="281" xr:uid="{00000000-0005-0000-0000-0000F5010000}"/>
    <cellStyle name="Good 2" xfId="282" xr:uid="{00000000-0005-0000-0000-0000F6010000}"/>
    <cellStyle name="Good 3" xfId="283" xr:uid="{00000000-0005-0000-0000-0000F7010000}"/>
    <cellStyle name="Good 4" xfId="284" xr:uid="{00000000-0005-0000-0000-0000F8010000}"/>
    <cellStyle name="Heading 1 2" xfId="285" xr:uid="{00000000-0005-0000-0000-0000F9010000}"/>
    <cellStyle name="Heading 1 3" xfId="286" xr:uid="{00000000-0005-0000-0000-0000FA010000}"/>
    <cellStyle name="Heading 1 4" xfId="287" xr:uid="{00000000-0005-0000-0000-0000FB010000}"/>
    <cellStyle name="Heading 2 2" xfId="288" xr:uid="{00000000-0005-0000-0000-0000FC010000}"/>
    <cellStyle name="Heading 2 3" xfId="289" xr:uid="{00000000-0005-0000-0000-0000FD010000}"/>
    <cellStyle name="Heading 2 4" xfId="290" xr:uid="{00000000-0005-0000-0000-0000FE010000}"/>
    <cellStyle name="Heading 3 2" xfId="291" xr:uid="{00000000-0005-0000-0000-0000FF010000}"/>
    <cellStyle name="Heading 3 3" xfId="292" xr:uid="{00000000-0005-0000-0000-000000020000}"/>
    <cellStyle name="Heading 3 4" xfId="293" xr:uid="{00000000-0005-0000-0000-000001020000}"/>
    <cellStyle name="Heading 4 2" xfId="294" xr:uid="{00000000-0005-0000-0000-000002020000}"/>
    <cellStyle name="Heading 4 3" xfId="295" xr:uid="{00000000-0005-0000-0000-000003020000}"/>
    <cellStyle name="Heading 4 4" xfId="296" xr:uid="{00000000-0005-0000-0000-000004020000}"/>
    <cellStyle name="Hyperlink" xfId="1123" builtinId="8"/>
    <cellStyle name="Input 2" xfId="297" xr:uid="{00000000-0005-0000-0000-000006020000}"/>
    <cellStyle name="Input 3" xfId="298" xr:uid="{00000000-0005-0000-0000-000007020000}"/>
    <cellStyle name="Input 4" xfId="299" xr:uid="{00000000-0005-0000-0000-000008020000}"/>
    <cellStyle name="Linked Cell 2" xfId="300" xr:uid="{00000000-0005-0000-0000-000009020000}"/>
    <cellStyle name="Linked Cell 3" xfId="301" xr:uid="{00000000-0005-0000-0000-00000A020000}"/>
    <cellStyle name="Linked Cell 4" xfId="302" xr:uid="{00000000-0005-0000-0000-00000B020000}"/>
    <cellStyle name="Neutral 2" xfId="303" xr:uid="{00000000-0005-0000-0000-00000C020000}"/>
    <cellStyle name="Neutral 3" xfId="304" xr:uid="{00000000-0005-0000-0000-00000D020000}"/>
    <cellStyle name="Neutral 4" xfId="305" xr:uid="{00000000-0005-0000-0000-00000E020000}"/>
    <cellStyle name="Normal" xfId="0" builtinId="0"/>
    <cellStyle name="Normal 10" xfId="306" xr:uid="{00000000-0005-0000-0000-000010020000}"/>
    <cellStyle name="Normal 10 2" xfId="307" xr:uid="{00000000-0005-0000-0000-000011020000}"/>
    <cellStyle name="Normal 10 3" xfId="308" xr:uid="{00000000-0005-0000-0000-000012020000}"/>
    <cellStyle name="Normal 10 4" xfId="309" xr:uid="{00000000-0005-0000-0000-000013020000}"/>
    <cellStyle name="Normal 10 5" xfId="905" xr:uid="{00000000-0005-0000-0000-000014020000}"/>
    <cellStyle name="Normal 11" xfId="310" xr:uid="{00000000-0005-0000-0000-000015020000}"/>
    <cellStyle name="Normal 11 2" xfId="906" xr:uid="{00000000-0005-0000-0000-000016020000}"/>
    <cellStyle name="Normal 12" xfId="311" xr:uid="{00000000-0005-0000-0000-000017020000}"/>
    <cellStyle name="Normal 12 2" xfId="312" xr:uid="{00000000-0005-0000-0000-000018020000}"/>
    <cellStyle name="Normal 12 3" xfId="313" xr:uid="{00000000-0005-0000-0000-000019020000}"/>
    <cellStyle name="Normal 12 4" xfId="314" xr:uid="{00000000-0005-0000-0000-00001A020000}"/>
    <cellStyle name="Normal 12 5" xfId="907" xr:uid="{00000000-0005-0000-0000-00001B020000}"/>
    <cellStyle name="Normal 13" xfId="315" xr:uid="{00000000-0005-0000-0000-00001C020000}"/>
    <cellStyle name="Normal 13 2" xfId="316" xr:uid="{00000000-0005-0000-0000-00001D020000}"/>
    <cellStyle name="Normal 13 3" xfId="317" xr:uid="{00000000-0005-0000-0000-00001E020000}"/>
    <cellStyle name="Normal 13 4" xfId="318" xr:uid="{00000000-0005-0000-0000-00001F020000}"/>
    <cellStyle name="Normal 13 5" xfId="908" xr:uid="{00000000-0005-0000-0000-000020020000}"/>
    <cellStyle name="Normal 14" xfId="319" xr:uid="{00000000-0005-0000-0000-000021020000}"/>
    <cellStyle name="Normal 14 2" xfId="320" xr:uid="{00000000-0005-0000-0000-000022020000}"/>
    <cellStyle name="Normal 14 3" xfId="321" xr:uid="{00000000-0005-0000-0000-000023020000}"/>
    <cellStyle name="Normal 14 4" xfId="322" xr:uid="{00000000-0005-0000-0000-000024020000}"/>
    <cellStyle name="Normal 14 5" xfId="909" xr:uid="{00000000-0005-0000-0000-000025020000}"/>
    <cellStyle name="Normal 15" xfId="323" xr:uid="{00000000-0005-0000-0000-000026020000}"/>
    <cellStyle name="Normal 15 2" xfId="910" xr:uid="{00000000-0005-0000-0000-000027020000}"/>
    <cellStyle name="Normal 16" xfId="324" xr:uid="{00000000-0005-0000-0000-000028020000}"/>
    <cellStyle name="Normal 16 2" xfId="911" xr:uid="{00000000-0005-0000-0000-000029020000}"/>
    <cellStyle name="Normal 17" xfId="325" xr:uid="{00000000-0005-0000-0000-00002A020000}"/>
    <cellStyle name="Normal 17 2" xfId="912" xr:uid="{00000000-0005-0000-0000-00002B020000}"/>
    <cellStyle name="Normal 18" xfId="326" xr:uid="{00000000-0005-0000-0000-00002C020000}"/>
    <cellStyle name="Normal 18 2" xfId="913" xr:uid="{00000000-0005-0000-0000-00002D020000}"/>
    <cellStyle name="Normal 19" xfId="327" xr:uid="{00000000-0005-0000-0000-00002E020000}"/>
    <cellStyle name="Normal 19 2" xfId="914" xr:uid="{00000000-0005-0000-0000-00002F020000}"/>
    <cellStyle name="Normal 2" xfId="11" xr:uid="{00000000-0005-0000-0000-000030020000}"/>
    <cellStyle name="Normal 2 10" xfId="328" xr:uid="{00000000-0005-0000-0000-000031020000}"/>
    <cellStyle name="Normal 2 10 2" xfId="915" xr:uid="{00000000-0005-0000-0000-000032020000}"/>
    <cellStyle name="Normal 2 11" xfId="329" xr:uid="{00000000-0005-0000-0000-000033020000}"/>
    <cellStyle name="Normal 2 11 2" xfId="916" xr:uid="{00000000-0005-0000-0000-000034020000}"/>
    <cellStyle name="Normal 2 12" xfId="330" xr:uid="{00000000-0005-0000-0000-000035020000}"/>
    <cellStyle name="Normal 2 12 2" xfId="917" xr:uid="{00000000-0005-0000-0000-000036020000}"/>
    <cellStyle name="Normal 2 13" xfId="331" xr:uid="{00000000-0005-0000-0000-000037020000}"/>
    <cellStyle name="Normal 2 13 2" xfId="918" xr:uid="{00000000-0005-0000-0000-000038020000}"/>
    <cellStyle name="Normal 2 14" xfId="332" xr:uid="{00000000-0005-0000-0000-000039020000}"/>
    <cellStyle name="Normal 2 14 2" xfId="919" xr:uid="{00000000-0005-0000-0000-00003A020000}"/>
    <cellStyle name="Normal 2 15" xfId="333" xr:uid="{00000000-0005-0000-0000-00003B020000}"/>
    <cellStyle name="Normal 2 15 2" xfId="920" xr:uid="{00000000-0005-0000-0000-00003C020000}"/>
    <cellStyle name="Normal 2 16" xfId="334" xr:uid="{00000000-0005-0000-0000-00003D020000}"/>
    <cellStyle name="Normal 2 16 2" xfId="921" xr:uid="{00000000-0005-0000-0000-00003E020000}"/>
    <cellStyle name="Normal 2 17" xfId="335" xr:uid="{00000000-0005-0000-0000-00003F020000}"/>
    <cellStyle name="Normal 2 17 2" xfId="922" xr:uid="{00000000-0005-0000-0000-000040020000}"/>
    <cellStyle name="Normal 2 18" xfId="336" xr:uid="{00000000-0005-0000-0000-000041020000}"/>
    <cellStyle name="Normal 2 18 2" xfId="923" xr:uid="{00000000-0005-0000-0000-000042020000}"/>
    <cellStyle name="Normal 2 19" xfId="337" xr:uid="{00000000-0005-0000-0000-000043020000}"/>
    <cellStyle name="Normal 2 19 2" xfId="924" xr:uid="{00000000-0005-0000-0000-000044020000}"/>
    <cellStyle name="Normal 2 2" xfId="338" xr:uid="{00000000-0005-0000-0000-000045020000}"/>
    <cellStyle name="Normal 2 2 10" xfId="339" xr:uid="{00000000-0005-0000-0000-000046020000}"/>
    <cellStyle name="Normal 2 2 10 2" xfId="925" xr:uid="{00000000-0005-0000-0000-000047020000}"/>
    <cellStyle name="Normal 2 2 11" xfId="340" xr:uid="{00000000-0005-0000-0000-000048020000}"/>
    <cellStyle name="Normal 2 2 11 2" xfId="926" xr:uid="{00000000-0005-0000-0000-000049020000}"/>
    <cellStyle name="Normal 2 2 12" xfId="341" xr:uid="{00000000-0005-0000-0000-00004A020000}"/>
    <cellStyle name="Normal 2 2 12 2" xfId="927" xr:uid="{00000000-0005-0000-0000-00004B020000}"/>
    <cellStyle name="Normal 2 2 13" xfId="342" xr:uid="{00000000-0005-0000-0000-00004C020000}"/>
    <cellStyle name="Normal 2 2 13 2" xfId="928" xr:uid="{00000000-0005-0000-0000-00004D020000}"/>
    <cellStyle name="Normal 2 2 14" xfId="343" xr:uid="{00000000-0005-0000-0000-00004E020000}"/>
    <cellStyle name="Normal 2 2 14 2" xfId="929" xr:uid="{00000000-0005-0000-0000-00004F020000}"/>
    <cellStyle name="Normal 2 2 15" xfId="344" xr:uid="{00000000-0005-0000-0000-000050020000}"/>
    <cellStyle name="Normal 2 2 15 2" xfId="930" xr:uid="{00000000-0005-0000-0000-000051020000}"/>
    <cellStyle name="Normal 2 2 16" xfId="345" xr:uid="{00000000-0005-0000-0000-000052020000}"/>
    <cellStyle name="Normal 2 2 16 2" xfId="931" xr:uid="{00000000-0005-0000-0000-000053020000}"/>
    <cellStyle name="Normal 2 2 17" xfId="346" xr:uid="{00000000-0005-0000-0000-000054020000}"/>
    <cellStyle name="Normal 2 2 17 2" xfId="932" xr:uid="{00000000-0005-0000-0000-000055020000}"/>
    <cellStyle name="Normal 2 2 18" xfId="347" xr:uid="{00000000-0005-0000-0000-000056020000}"/>
    <cellStyle name="Normal 2 2 18 2" xfId="933" xr:uid="{00000000-0005-0000-0000-000057020000}"/>
    <cellStyle name="Normal 2 2 19" xfId="348" xr:uid="{00000000-0005-0000-0000-000058020000}"/>
    <cellStyle name="Normal 2 2 19 2" xfId="934" xr:uid="{00000000-0005-0000-0000-000059020000}"/>
    <cellStyle name="Normal 2 2 2" xfId="349" xr:uid="{00000000-0005-0000-0000-00005A020000}"/>
    <cellStyle name="Normal 2 2 2 2" xfId="935" xr:uid="{00000000-0005-0000-0000-00005B020000}"/>
    <cellStyle name="Normal 2 2 20" xfId="350" xr:uid="{00000000-0005-0000-0000-00005C020000}"/>
    <cellStyle name="Normal 2 2 20 2" xfId="936" xr:uid="{00000000-0005-0000-0000-00005D020000}"/>
    <cellStyle name="Normal 2 2 21" xfId="351" xr:uid="{00000000-0005-0000-0000-00005E020000}"/>
    <cellStyle name="Normal 2 2 21 2" xfId="937" xr:uid="{00000000-0005-0000-0000-00005F020000}"/>
    <cellStyle name="Normal 2 2 22" xfId="352" xr:uid="{00000000-0005-0000-0000-000060020000}"/>
    <cellStyle name="Normal 2 2 22 2" xfId="938" xr:uid="{00000000-0005-0000-0000-000061020000}"/>
    <cellStyle name="Normal 2 2 23" xfId="353" xr:uid="{00000000-0005-0000-0000-000062020000}"/>
    <cellStyle name="Normal 2 2 23 2" xfId="939" xr:uid="{00000000-0005-0000-0000-000063020000}"/>
    <cellStyle name="Normal 2 2 24" xfId="354" xr:uid="{00000000-0005-0000-0000-000064020000}"/>
    <cellStyle name="Normal 2 2 24 2" xfId="940" xr:uid="{00000000-0005-0000-0000-000065020000}"/>
    <cellStyle name="Normal 2 2 25" xfId="355" xr:uid="{00000000-0005-0000-0000-000066020000}"/>
    <cellStyle name="Normal 2 2 25 2" xfId="941" xr:uid="{00000000-0005-0000-0000-000067020000}"/>
    <cellStyle name="Normal 2 2 26" xfId="356" xr:uid="{00000000-0005-0000-0000-000068020000}"/>
    <cellStyle name="Normal 2 2 26 2" xfId="942" xr:uid="{00000000-0005-0000-0000-000069020000}"/>
    <cellStyle name="Normal 2 2 27" xfId="357" xr:uid="{00000000-0005-0000-0000-00006A020000}"/>
    <cellStyle name="Normal 2 2 27 2" xfId="943" xr:uid="{00000000-0005-0000-0000-00006B020000}"/>
    <cellStyle name="Normal 2 2 28" xfId="358" xr:uid="{00000000-0005-0000-0000-00006C020000}"/>
    <cellStyle name="Normal 2 2 28 2" xfId="944" xr:uid="{00000000-0005-0000-0000-00006D020000}"/>
    <cellStyle name="Normal 2 2 29" xfId="359" xr:uid="{00000000-0005-0000-0000-00006E020000}"/>
    <cellStyle name="Normal 2 2 29 2" xfId="945" xr:uid="{00000000-0005-0000-0000-00006F020000}"/>
    <cellStyle name="Normal 2 2 3" xfId="360" xr:uid="{00000000-0005-0000-0000-000070020000}"/>
    <cellStyle name="Normal 2 2 3 2" xfId="946" xr:uid="{00000000-0005-0000-0000-000071020000}"/>
    <cellStyle name="Normal 2 2 30" xfId="361" xr:uid="{00000000-0005-0000-0000-000072020000}"/>
    <cellStyle name="Normal 2 2 30 2" xfId="947" xr:uid="{00000000-0005-0000-0000-000073020000}"/>
    <cellStyle name="Normal 2 2 31" xfId="362" xr:uid="{00000000-0005-0000-0000-000074020000}"/>
    <cellStyle name="Normal 2 2 31 2" xfId="948" xr:uid="{00000000-0005-0000-0000-000075020000}"/>
    <cellStyle name="Normal 2 2 32" xfId="363" xr:uid="{00000000-0005-0000-0000-000076020000}"/>
    <cellStyle name="Normal 2 2 32 2" xfId="949" xr:uid="{00000000-0005-0000-0000-000077020000}"/>
    <cellStyle name="Normal 2 2 33" xfId="364" xr:uid="{00000000-0005-0000-0000-000078020000}"/>
    <cellStyle name="Normal 2 2 33 2" xfId="950" xr:uid="{00000000-0005-0000-0000-000079020000}"/>
    <cellStyle name="Normal 2 2 34" xfId="365" xr:uid="{00000000-0005-0000-0000-00007A020000}"/>
    <cellStyle name="Normal 2 2 34 2" xfId="951" xr:uid="{00000000-0005-0000-0000-00007B020000}"/>
    <cellStyle name="Normal 2 2 35" xfId="366" xr:uid="{00000000-0005-0000-0000-00007C020000}"/>
    <cellStyle name="Normal 2 2 35 2" xfId="952" xr:uid="{00000000-0005-0000-0000-00007D020000}"/>
    <cellStyle name="Normal 2 2 36" xfId="367" xr:uid="{00000000-0005-0000-0000-00007E020000}"/>
    <cellStyle name="Normal 2 2 36 2" xfId="953" xr:uid="{00000000-0005-0000-0000-00007F020000}"/>
    <cellStyle name="Normal 2 2 37" xfId="368" xr:uid="{00000000-0005-0000-0000-000080020000}"/>
    <cellStyle name="Normal 2 2 37 2" xfId="954" xr:uid="{00000000-0005-0000-0000-000081020000}"/>
    <cellStyle name="Normal 2 2 38" xfId="369" xr:uid="{00000000-0005-0000-0000-000082020000}"/>
    <cellStyle name="Normal 2 2 38 2" xfId="955" xr:uid="{00000000-0005-0000-0000-000083020000}"/>
    <cellStyle name="Normal 2 2 39" xfId="370" xr:uid="{00000000-0005-0000-0000-000084020000}"/>
    <cellStyle name="Normal 2 2 39 2" xfId="956" xr:uid="{00000000-0005-0000-0000-000085020000}"/>
    <cellStyle name="Normal 2 2 4" xfId="371" xr:uid="{00000000-0005-0000-0000-000086020000}"/>
    <cellStyle name="Normal 2 2 4 2" xfId="957" xr:uid="{00000000-0005-0000-0000-000087020000}"/>
    <cellStyle name="Normal 2 2 40" xfId="372" xr:uid="{00000000-0005-0000-0000-000088020000}"/>
    <cellStyle name="Normal 2 2 40 2" xfId="958" xr:uid="{00000000-0005-0000-0000-000089020000}"/>
    <cellStyle name="Normal 2 2 41" xfId="373" xr:uid="{00000000-0005-0000-0000-00008A020000}"/>
    <cellStyle name="Normal 2 2 41 2" xfId="959" xr:uid="{00000000-0005-0000-0000-00008B020000}"/>
    <cellStyle name="Normal 2 2 42" xfId="374" xr:uid="{00000000-0005-0000-0000-00008C020000}"/>
    <cellStyle name="Normal 2 2 42 2" xfId="960" xr:uid="{00000000-0005-0000-0000-00008D020000}"/>
    <cellStyle name="Normal 2 2 43" xfId="375" xr:uid="{00000000-0005-0000-0000-00008E020000}"/>
    <cellStyle name="Normal 2 2 43 2" xfId="961" xr:uid="{00000000-0005-0000-0000-00008F020000}"/>
    <cellStyle name="Normal 2 2 44" xfId="376" xr:uid="{00000000-0005-0000-0000-000090020000}"/>
    <cellStyle name="Normal 2 2 44 2" xfId="962" xr:uid="{00000000-0005-0000-0000-000091020000}"/>
    <cellStyle name="Normal 2 2 45" xfId="377" xr:uid="{00000000-0005-0000-0000-000092020000}"/>
    <cellStyle name="Normal 2 2 45 2" xfId="963" xr:uid="{00000000-0005-0000-0000-000093020000}"/>
    <cellStyle name="Normal 2 2 46" xfId="378" xr:uid="{00000000-0005-0000-0000-000094020000}"/>
    <cellStyle name="Normal 2 2 46 2" xfId="964" xr:uid="{00000000-0005-0000-0000-000095020000}"/>
    <cellStyle name="Normal 2 2 47" xfId="379" xr:uid="{00000000-0005-0000-0000-000096020000}"/>
    <cellStyle name="Normal 2 2 47 2" xfId="965" xr:uid="{00000000-0005-0000-0000-000097020000}"/>
    <cellStyle name="Normal 2 2 48" xfId="380" xr:uid="{00000000-0005-0000-0000-000098020000}"/>
    <cellStyle name="Normal 2 2 48 2" xfId="966" xr:uid="{00000000-0005-0000-0000-000099020000}"/>
    <cellStyle name="Normal 2 2 49" xfId="381" xr:uid="{00000000-0005-0000-0000-00009A020000}"/>
    <cellStyle name="Normal 2 2 49 2" xfId="967" xr:uid="{00000000-0005-0000-0000-00009B020000}"/>
    <cellStyle name="Normal 2 2 5" xfId="382" xr:uid="{00000000-0005-0000-0000-00009C020000}"/>
    <cellStyle name="Normal 2 2 5 2" xfId="968" xr:uid="{00000000-0005-0000-0000-00009D020000}"/>
    <cellStyle name="Normal 2 2 50" xfId="383" xr:uid="{00000000-0005-0000-0000-00009E020000}"/>
    <cellStyle name="Normal 2 2 50 2" xfId="969" xr:uid="{00000000-0005-0000-0000-00009F020000}"/>
    <cellStyle name="Normal 2 2 51" xfId="384" xr:uid="{00000000-0005-0000-0000-0000A0020000}"/>
    <cellStyle name="Normal 2 2 51 2" xfId="970" xr:uid="{00000000-0005-0000-0000-0000A1020000}"/>
    <cellStyle name="Normal 2 2 52" xfId="385" xr:uid="{00000000-0005-0000-0000-0000A2020000}"/>
    <cellStyle name="Normal 2 2 52 2" xfId="971" xr:uid="{00000000-0005-0000-0000-0000A3020000}"/>
    <cellStyle name="Normal 2 2 53" xfId="386" xr:uid="{00000000-0005-0000-0000-0000A4020000}"/>
    <cellStyle name="Normal 2 2 53 2" xfId="972" xr:uid="{00000000-0005-0000-0000-0000A5020000}"/>
    <cellStyle name="Normal 2 2 54" xfId="387" xr:uid="{00000000-0005-0000-0000-0000A6020000}"/>
    <cellStyle name="Normal 2 2 54 2" xfId="973" xr:uid="{00000000-0005-0000-0000-0000A7020000}"/>
    <cellStyle name="Normal 2 2 55" xfId="388" xr:uid="{00000000-0005-0000-0000-0000A8020000}"/>
    <cellStyle name="Normal 2 2 55 2" xfId="974" xr:uid="{00000000-0005-0000-0000-0000A9020000}"/>
    <cellStyle name="Normal 2 2 56" xfId="389" xr:uid="{00000000-0005-0000-0000-0000AA020000}"/>
    <cellStyle name="Normal 2 2 56 2" xfId="975" xr:uid="{00000000-0005-0000-0000-0000AB020000}"/>
    <cellStyle name="Normal 2 2 57" xfId="390" xr:uid="{00000000-0005-0000-0000-0000AC020000}"/>
    <cellStyle name="Normal 2 2 57 2" xfId="976" xr:uid="{00000000-0005-0000-0000-0000AD020000}"/>
    <cellStyle name="Normal 2 2 58" xfId="391" xr:uid="{00000000-0005-0000-0000-0000AE020000}"/>
    <cellStyle name="Normal 2 2 58 2" xfId="977" xr:uid="{00000000-0005-0000-0000-0000AF020000}"/>
    <cellStyle name="Normal 2 2 59" xfId="392" xr:uid="{00000000-0005-0000-0000-0000B0020000}"/>
    <cellStyle name="Normal 2 2 59 2" xfId="978" xr:uid="{00000000-0005-0000-0000-0000B1020000}"/>
    <cellStyle name="Normal 2 2 6" xfId="393" xr:uid="{00000000-0005-0000-0000-0000B2020000}"/>
    <cellStyle name="Normal 2 2 6 2" xfId="979" xr:uid="{00000000-0005-0000-0000-0000B3020000}"/>
    <cellStyle name="Normal 2 2 60" xfId="394" xr:uid="{00000000-0005-0000-0000-0000B4020000}"/>
    <cellStyle name="Normal 2 2 60 2" xfId="980" xr:uid="{00000000-0005-0000-0000-0000B5020000}"/>
    <cellStyle name="Normal 2 2 61" xfId="395" xr:uid="{00000000-0005-0000-0000-0000B6020000}"/>
    <cellStyle name="Normal 2 2 61 2" xfId="981" xr:uid="{00000000-0005-0000-0000-0000B7020000}"/>
    <cellStyle name="Normal 2 2 62" xfId="396" xr:uid="{00000000-0005-0000-0000-0000B8020000}"/>
    <cellStyle name="Normal 2 2 62 2" xfId="982" xr:uid="{00000000-0005-0000-0000-0000B9020000}"/>
    <cellStyle name="Normal 2 2 63" xfId="397" xr:uid="{00000000-0005-0000-0000-0000BA020000}"/>
    <cellStyle name="Normal 2 2 63 2" xfId="983" xr:uid="{00000000-0005-0000-0000-0000BB020000}"/>
    <cellStyle name="Normal 2 2 64" xfId="398" xr:uid="{00000000-0005-0000-0000-0000BC020000}"/>
    <cellStyle name="Normal 2 2 64 2" xfId="984" xr:uid="{00000000-0005-0000-0000-0000BD020000}"/>
    <cellStyle name="Normal 2 2 65" xfId="399" xr:uid="{00000000-0005-0000-0000-0000BE020000}"/>
    <cellStyle name="Normal 2 2 65 2" xfId="985" xr:uid="{00000000-0005-0000-0000-0000BF020000}"/>
    <cellStyle name="Normal 2 2 66" xfId="400" xr:uid="{00000000-0005-0000-0000-0000C0020000}"/>
    <cellStyle name="Normal 2 2 66 2" xfId="986" xr:uid="{00000000-0005-0000-0000-0000C1020000}"/>
    <cellStyle name="Normal 2 2 67" xfId="401" xr:uid="{00000000-0005-0000-0000-0000C2020000}"/>
    <cellStyle name="Normal 2 2 67 2" xfId="987" xr:uid="{00000000-0005-0000-0000-0000C3020000}"/>
    <cellStyle name="Normal 2 2 68" xfId="402" xr:uid="{00000000-0005-0000-0000-0000C4020000}"/>
    <cellStyle name="Normal 2 2 68 2" xfId="988" xr:uid="{00000000-0005-0000-0000-0000C5020000}"/>
    <cellStyle name="Normal 2 2 7" xfId="403" xr:uid="{00000000-0005-0000-0000-0000C6020000}"/>
    <cellStyle name="Normal 2 2 7 2" xfId="989" xr:uid="{00000000-0005-0000-0000-0000C7020000}"/>
    <cellStyle name="Normal 2 2 8" xfId="404" xr:uid="{00000000-0005-0000-0000-0000C8020000}"/>
    <cellStyle name="Normal 2 2 8 2" xfId="990" xr:uid="{00000000-0005-0000-0000-0000C9020000}"/>
    <cellStyle name="Normal 2 2 9" xfId="405" xr:uid="{00000000-0005-0000-0000-0000CA020000}"/>
    <cellStyle name="Normal 2 2 9 2" xfId="991" xr:uid="{00000000-0005-0000-0000-0000CB020000}"/>
    <cellStyle name="Normal 2 2_FY11 PSE Cost Breakout v3.0.0" xfId="406" xr:uid="{00000000-0005-0000-0000-0000CC020000}"/>
    <cellStyle name="Normal 2 20" xfId="407" xr:uid="{00000000-0005-0000-0000-0000CD020000}"/>
    <cellStyle name="Normal 2 20 2" xfId="992" xr:uid="{00000000-0005-0000-0000-0000CE020000}"/>
    <cellStyle name="Normal 2 21" xfId="408" xr:uid="{00000000-0005-0000-0000-0000CF020000}"/>
    <cellStyle name="Normal 2 21 2" xfId="993" xr:uid="{00000000-0005-0000-0000-0000D0020000}"/>
    <cellStyle name="Normal 2 22" xfId="409" xr:uid="{00000000-0005-0000-0000-0000D1020000}"/>
    <cellStyle name="Normal 2 22 2" xfId="994" xr:uid="{00000000-0005-0000-0000-0000D2020000}"/>
    <cellStyle name="Normal 2 23" xfId="410" xr:uid="{00000000-0005-0000-0000-0000D3020000}"/>
    <cellStyle name="Normal 2 23 2" xfId="995" xr:uid="{00000000-0005-0000-0000-0000D4020000}"/>
    <cellStyle name="Normal 2 24" xfId="411" xr:uid="{00000000-0005-0000-0000-0000D5020000}"/>
    <cellStyle name="Normal 2 24 2" xfId="996" xr:uid="{00000000-0005-0000-0000-0000D6020000}"/>
    <cellStyle name="Normal 2 25" xfId="412" xr:uid="{00000000-0005-0000-0000-0000D7020000}"/>
    <cellStyle name="Normal 2 25 2" xfId="997" xr:uid="{00000000-0005-0000-0000-0000D8020000}"/>
    <cellStyle name="Normal 2 26" xfId="413" xr:uid="{00000000-0005-0000-0000-0000D9020000}"/>
    <cellStyle name="Normal 2 26 2" xfId="998" xr:uid="{00000000-0005-0000-0000-0000DA020000}"/>
    <cellStyle name="Normal 2 27" xfId="414" xr:uid="{00000000-0005-0000-0000-0000DB020000}"/>
    <cellStyle name="Normal 2 27 2" xfId="999" xr:uid="{00000000-0005-0000-0000-0000DC020000}"/>
    <cellStyle name="Normal 2 28" xfId="415" xr:uid="{00000000-0005-0000-0000-0000DD020000}"/>
    <cellStyle name="Normal 2 28 2" xfId="1000" xr:uid="{00000000-0005-0000-0000-0000DE020000}"/>
    <cellStyle name="Normal 2 29" xfId="416" xr:uid="{00000000-0005-0000-0000-0000DF020000}"/>
    <cellStyle name="Normal 2 29 2" xfId="1001" xr:uid="{00000000-0005-0000-0000-0000E0020000}"/>
    <cellStyle name="Normal 2 3" xfId="417" xr:uid="{00000000-0005-0000-0000-0000E1020000}"/>
    <cellStyle name="Normal 2 3 2" xfId="1002" xr:uid="{00000000-0005-0000-0000-0000E2020000}"/>
    <cellStyle name="Normal 2 30" xfId="418" xr:uid="{00000000-0005-0000-0000-0000E3020000}"/>
    <cellStyle name="Normal 2 30 2" xfId="1003" xr:uid="{00000000-0005-0000-0000-0000E4020000}"/>
    <cellStyle name="Normal 2 31" xfId="419" xr:uid="{00000000-0005-0000-0000-0000E5020000}"/>
    <cellStyle name="Normal 2 31 2" xfId="1004" xr:uid="{00000000-0005-0000-0000-0000E6020000}"/>
    <cellStyle name="Normal 2 32" xfId="420" xr:uid="{00000000-0005-0000-0000-0000E7020000}"/>
    <cellStyle name="Normal 2 32 2" xfId="1005" xr:uid="{00000000-0005-0000-0000-0000E8020000}"/>
    <cellStyle name="Normal 2 33" xfId="421" xr:uid="{00000000-0005-0000-0000-0000E9020000}"/>
    <cellStyle name="Normal 2 33 2" xfId="1006" xr:uid="{00000000-0005-0000-0000-0000EA020000}"/>
    <cellStyle name="Normal 2 34" xfId="422" xr:uid="{00000000-0005-0000-0000-0000EB020000}"/>
    <cellStyle name="Normal 2 34 2" xfId="1007" xr:uid="{00000000-0005-0000-0000-0000EC020000}"/>
    <cellStyle name="Normal 2 35" xfId="423" xr:uid="{00000000-0005-0000-0000-0000ED020000}"/>
    <cellStyle name="Normal 2 35 2" xfId="1008" xr:uid="{00000000-0005-0000-0000-0000EE020000}"/>
    <cellStyle name="Normal 2 36" xfId="424" xr:uid="{00000000-0005-0000-0000-0000EF020000}"/>
    <cellStyle name="Normal 2 36 2" xfId="1009" xr:uid="{00000000-0005-0000-0000-0000F0020000}"/>
    <cellStyle name="Normal 2 37" xfId="425" xr:uid="{00000000-0005-0000-0000-0000F1020000}"/>
    <cellStyle name="Normal 2 37 2" xfId="1010" xr:uid="{00000000-0005-0000-0000-0000F2020000}"/>
    <cellStyle name="Normal 2 38" xfId="426" xr:uid="{00000000-0005-0000-0000-0000F3020000}"/>
    <cellStyle name="Normal 2 39" xfId="427" xr:uid="{00000000-0005-0000-0000-0000F4020000}"/>
    <cellStyle name="Normal 2 4" xfId="428" xr:uid="{00000000-0005-0000-0000-0000F5020000}"/>
    <cellStyle name="Normal 2 4 2" xfId="1011" xr:uid="{00000000-0005-0000-0000-0000F6020000}"/>
    <cellStyle name="Normal 2 40" xfId="429" xr:uid="{00000000-0005-0000-0000-0000F7020000}"/>
    <cellStyle name="Normal 2 41" xfId="430" xr:uid="{00000000-0005-0000-0000-0000F8020000}"/>
    <cellStyle name="Normal 2 42" xfId="431" xr:uid="{00000000-0005-0000-0000-0000F9020000}"/>
    <cellStyle name="Normal 2 43" xfId="432" xr:uid="{00000000-0005-0000-0000-0000FA020000}"/>
    <cellStyle name="Normal 2 44" xfId="433" xr:uid="{00000000-0005-0000-0000-0000FB020000}"/>
    <cellStyle name="Normal 2 45" xfId="434" xr:uid="{00000000-0005-0000-0000-0000FC020000}"/>
    <cellStyle name="Normal 2 46" xfId="435" xr:uid="{00000000-0005-0000-0000-0000FD020000}"/>
    <cellStyle name="Normal 2 47" xfId="436" xr:uid="{00000000-0005-0000-0000-0000FE020000}"/>
    <cellStyle name="Normal 2 48" xfId="437" xr:uid="{00000000-0005-0000-0000-0000FF020000}"/>
    <cellStyle name="Normal 2 49" xfId="438" xr:uid="{00000000-0005-0000-0000-000000030000}"/>
    <cellStyle name="Normal 2 5" xfId="439" xr:uid="{00000000-0005-0000-0000-000001030000}"/>
    <cellStyle name="Normal 2 5 2" xfId="1012" xr:uid="{00000000-0005-0000-0000-000002030000}"/>
    <cellStyle name="Normal 2 50" xfId="440" xr:uid="{00000000-0005-0000-0000-000003030000}"/>
    <cellStyle name="Normal 2 51" xfId="441" xr:uid="{00000000-0005-0000-0000-000004030000}"/>
    <cellStyle name="Normal 2 52" xfId="442" xr:uid="{00000000-0005-0000-0000-000005030000}"/>
    <cellStyle name="Normal 2 53" xfId="443" xr:uid="{00000000-0005-0000-0000-000006030000}"/>
    <cellStyle name="Normal 2 54" xfId="444" xr:uid="{00000000-0005-0000-0000-000007030000}"/>
    <cellStyle name="Normal 2 55" xfId="445" xr:uid="{00000000-0005-0000-0000-000008030000}"/>
    <cellStyle name="Normal 2 56" xfId="446" xr:uid="{00000000-0005-0000-0000-000009030000}"/>
    <cellStyle name="Normal 2 57" xfId="447" xr:uid="{00000000-0005-0000-0000-00000A030000}"/>
    <cellStyle name="Normal 2 58" xfId="448" xr:uid="{00000000-0005-0000-0000-00000B030000}"/>
    <cellStyle name="Normal 2 59" xfId="449" xr:uid="{00000000-0005-0000-0000-00000C030000}"/>
    <cellStyle name="Normal 2 6" xfId="450" xr:uid="{00000000-0005-0000-0000-00000D030000}"/>
    <cellStyle name="Normal 2 6 2" xfId="1013" xr:uid="{00000000-0005-0000-0000-00000E030000}"/>
    <cellStyle name="Normal 2 60" xfId="451" xr:uid="{00000000-0005-0000-0000-00000F030000}"/>
    <cellStyle name="Normal 2 61" xfId="452" xr:uid="{00000000-0005-0000-0000-000010030000}"/>
    <cellStyle name="Normal 2 62" xfId="453" xr:uid="{00000000-0005-0000-0000-000011030000}"/>
    <cellStyle name="Normal 2 63" xfId="454" xr:uid="{00000000-0005-0000-0000-000012030000}"/>
    <cellStyle name="Normal 2 64" xfId="455" xr:uid="{00000000-0005-0000-0000-000013030000}"/>
    <cellStyle name="Normal 2 65" xfId="456" xr:uid="{00000000-0005-0000-0000-000014030000}"/>
    <cellStyle name="Normal 2 66" xfId="457" xr:uid="{00000000-0005-0000-0000-000015030000}"/>
    <cellStyle name="Normal 2 67" xfId="458" xr:uid="{00000000-0005-0000-0000-000016030000}"/>
    <cellStyle name="Normal 2 68" xfId="459" xr:uid="{00000000-0005-0000-0000-000017030000}"/>
    <cellStyle name="Normal 2 69" xfId="460" xr:uid="{00000000-0005-0000-0000-000018030000}"/>
    <cellStyle name="Normal 2 7" xfId="461" xr:uid="{00000000-0005-0000-0000-000019030000}"/>
    <cellStyle name="Normal 2 7 2" xfId="1014" xr:uid="{00000000-0005-0000-0000-00001A030000}"/>
    <cellStyle name="Normal 2 70" xfId="462" xr:uid="{00000000-0005-0000-0000-00001B030000}"/>
    <cellStyle name="Normal 2 71" xfId="463" xr:uid="{00000000-0005-0000-0000-00001C030000}"/>
    <cellStyle name="Normal 2 72" xfId="464" xr:uid="{00000000-0005-0000-0000-00001D030000}"/>
    <cellStyle name="Normal 2 73" xfId="465" xr:uid="{00000000-0005-0000-0000-00001E030000}"/>
    <cellStyle name="Normal 2 74" xfId="466" xr:uid="{00000000-0005-0000-0000-00001F030000}"/>
    <cellStyle name="Normal 2 75" xfId="467" xr:uid="{00000000-0005-0000-0000-000020030000}"/>
    <cellStyle name="Normal 2 76" xfId="468" xr:uid="{00000000-0005-0000-0000-000021030000}"/>
    <cellStyle name="Normal 2 77" xfId="469" xr:uid="{00000000-0005-0000-0000-000022030000}"/>
    <cellStyle name="Normal 2 78" xfId="470" xr:uid="{00000000-0005-0000-0000-000023030000}"/>
    <cellStyle name="Normal 2 79" xfId="471" xr:uid="{00000000-0005-0000-0000-000024030000}"/>
    <cellStyle name="Normal 2 8" xfId="472" xr:uid="{00000000-0005-0000-0000-000025030000}"/>
    <cellStyle name="Normal 2 8 2" xfId="1015" xr:uid="{00000000-0005-0000-0000-000026030000}"/>
    <cellStyle name="Normal 2 80" xfId="473" xr:uid="{00000000-0005-0000-0000-000027030000}"/>
    <cellStyle name="Normal 2 81" xfId="474" xr:uid="{00000000-0005-0000-0000-000028030000}"/>
    <cellStyle name="Normal 2 82" xfId="475" xr:uid="{00000000-0005-0000-0000-000029030000}"/>
    <cellStyle name="Normal 2 83" xfId="476" xr:uid="{00000000-0005-0000-0000-00002A030000}"/>
    <cellStyle name="Normal 2 84" xfId="477" xr:uid="{00000000-0005-0000-0000-00002B030000}"/>
    <cellStyle name="Normal 2 85" xfId="478" xr:uid="{00000000-0005-0000-0000-00002C030000}"/>
    <cellStyle name="Normal 2 86" xfId="479" xr:uid="{00000000-0005-0000-0000-00002D030000}"/>
    <cellStyle name="Normal 2 87" xfId="480" xr:uid="{00000000-0005-0000-0000-00002E030000}"/>
    <cellStyle name="Normal 2 88" xfId="481" xr:uid="{00000000-0005-0000-0000-00002F030000}"/>
    <cellStyle name="Normal 2 89" xfId="482" xr:uid="{00000000-0005-0000-0000-000030030000}"/>
    <cellStyle name="Normal 2 9" xfId="483" xr:uid="{00000000-0005-0000-0000-000031030000}"/>
    <cellStyle name="Normal 2 9 2" xfId="1016" xr:uid="{00000000-0005-0000-0000-000032030000}"/>
    <cellStyle name="Normal 2 90" xfId="484" xr:uid="{00000000-0005-0000-0000-000033030000}"/>
    <cellStyle name="Normal 2 91" xfId="485" xr:uid="{00000000-0005-0000-0000-000034030000}"/>
    <cellStyle name="Normal 2 92" xfId="486" xr:uid="{00000000-0005-0000-0000-000035030000}"/>
    <cellStyle name="Normal 2 93" xfId="487" xr:uid="{00000000-0005-0000-0000-000036030000}"/>
    <cellStyle name="Normal 2 94" xfId="488" xr:uid="{00000000-0005-0000-0000-000037030000}"/>
    <cellStyle name="Normal 2 95" xfId="489" xr:uid="{00000000-0005-0000-0000-000038030000}"/>
    <cellStyle name="Normal 2 96" xfId="490" xr:uid="{00000000-0005-0000-0000-000039030000}"/>
    <cellStyle name="Normal 2 97" xfId="682" xr:uid="{00000000-0005-0000-0000-00003A030000}"/>
    <cellStyle name="Normal 20" xfId="491" xr:uid="{00000000-0005-0000-0000-00003B030000}"/>
    <cellStyle name="Normal 20 2" xfId="1017" xr:uid="{00000000-0005-0000-0000-00003C030000}"/>
    <cellStyle name="Normal 21" xfId="492" xr:uid="{00000000-0005-0000-0000-00003D030000}"/>
    <cellStyle name="Normal 21 2" xfId="1018" xr:uid="{00000000-0005-0000-0000-00003E030000}"/>
    <cellStyle name="Normal 22" xfId="493" xr:uid="{00000000-0005-0000-0000-00003F030000}"/>
    <cellStyle name="Normal 22 2" xfId="1019" xr:uid="{00000000-0005-0000-0000-000040030000}"/>
    <cellStyle name="Normal 23" xfId="494" xr:uid="{00000000-0005-0000-0000-000041030000}"/>
    <cellStyle name="Normal 23 2" xfId="1020" xr:uid="{00000000-0005-0000-0000-000042030000}"/>
    <cellStyle name="Normal 24" xfId="495" xr:uid="{00000000-0005-0000-0000-000043030000}"/>
    <cellStyle name="Normal 24 2" xfId="1021" xr:uid="{00000000-0005-0000-0000-000044030000}"/>
    <cellStyle name="Normal 25" xfId="496" xr:uid="{00000000-0005-0000-0000-000045030000}"/>
    <cellStyle name="Normal 25 2" xfId="1022" xr:uid="{00000000-0005-0000-0000-000046030000}"/>
    <cellStyle name="Normal 26" xfId="497" xr:uid="{00000000-0005-0000-0000-000047030000}"/>
    <cellStyle name="Normal 26 2" xfId="1023" xr:uid="{00000000-0005-0000-0000-000048030000}"/>
    <cellStyle name="Normal 27" xfId="498" xr:uid="{00000000-0005-0000-0000-000049030000}"/>
    <cellStyle name="Normal 27 2" xfId="1024" xr:uid="{00000000-0005-0000-0000-00004A030000}"/>
    <cellStyle name="Normal 28" xfId="499" xr:uid="{00000000-0005-0000-0000-00004B030000}"/>
    <cellStyle name="Normal 28 2" xfId="1025" xr:uid="{00000000-0005-0000-0000-00004C030000}"/>
    <cellStyle name="Normal 29" xfId="500" xr:uid="{00000000-0005-0000-0000-00004D030000}"/>
    <cellStyle name="Normal 29 2" xfId="1026" xr:uid="{00000000-0005-0000-0000-00004E030000}"/>
    <cellStyle name="Normal 3" xfId="501" xr:uid="{00000000-0005-0000-0000-00004F030000}"/>
    <cellStyle name="Normal 3 10" xfId="502" xr:uid="{00000000-0005-0000-0000-000050030000}"/>
    <cellStyle name="Normal 3 11" xfId="503" xr:uid="{00000000-0005-0000-0000-000051030000}"/>
    <cellStyle name="Normal 3 12" xfId="504" xr:uid="{00000000-0005-0000-0000-000052030000}"/>
    <cellStyle name="Normal 3 13" xfId="505" xr:uid="{00000000-0005-0000-0000-000053030000}"/>
    <cellStyle name="Normal 3 14" xfId="506" xr:uid="{00000000-0005-0000-0000-000054030000}"/>
    <cellStyle name="Normal 3 15" xfId="507" xr:uid="{00000000-0005-0000-0000-000055030000}"/>
    <cellStyle name="Normal 3 16" xfId="508" xr:uid="{00000000-0005-0000-0000-000056030000}"/>
    <cellStyle name="Normal 3 17" xfId="509" xr:uid="{00000000-0005-0000-0000-000057030000}"/>
    <cellStyle name="Normal 3 18" xfId="510" xr:uid="{00000000-0005-0000-0000-000058030000}"/>
    <cellStyle name="Normal 3 19" xfId="511" xr:uid="{00000000-0005-0000-0000-000059030000}"/>
    <cellStyle name="Normal 3 2" xfId="512" xr:uid="{00000000-0005-0000-0000-00005A030000}"/>
    <cellStyle name="Normal 3 20" xfId="513" xr:uid="{00000000-0005-0000-0000-00005B030000}"/>
    <cellStyle name="Normal 3 21" xfId="514" xr:uid="{00000000-0005-0000-0000-00005C030000}"/>
    <cellStyle name="Normal 3 22" xfId="515" xr:uid="{00000000-0005-0000-0000-00005D030000}"/>
    <cellStyle name="Normal 3 23" xfId="516" xr:uid="{00000000-0005-0000-0000-00005E030000}"/>
    <cellStyle name="Normal 3 24" xfId="517" xr:uid="{00000000-0005-0000-0000-00005F030000}"/>
    <cellStyle name="Normal 3 25" xfId="518" xr:uid="{00000000-0005-0000-0000-000060030000}"/>
    <cellStyle name="Normal 3 26" xfId="519" xr:uid="{00000000-0005-0000-0000-000061030000}"/>
    <cellStyle name="Normal 3 27" xfId="520" xr:uid="{00000000-0005-0000-0000-000062030000}"/>
    <cellStyle name="Normal 3 28" xfId="521" xr:uid="{00000000-0005-0000-0000-000063030000}"/>
    <cellStyle name="Normal 3 29" xfId="522" xr:uid="{00000000-0005-0000-0000-000064030000}"/>
    <cellStyle name="Normal 3 3" xfId="523" xr:uid="{00000000-0005-0000-0000-000065030000}"/>
    <cellStyle name="Normal 3 30" xfId="524" xr:uid="{00000000-0005-0000-0000-000066030000}"/>
    <cellStyle name="Normal 3 31" xfId="525" xr:uid="{00000000-0005-0000-0000-000067030000}"/>
    <cellStyle name="Normal 3 32" xfId="526" xr:uid="{00000000-0005-0000-0000-000068030000}"/>
    <cellStyle name="Normal 3 33" xfId="527" xr:uid="{00000000-0005-0000-0000-000069030000}"/>
    <cellStyle name="Normal 3 34" xfId="528" xr:uid="{00000000-0005-0000-0000-00006A030000}"/>
    <cellStyle name="Normal 3 35" xfId="529" xr:uid="{00000000-0005-0000-0000-00006B030000}"/>
    <cellStyle name="Normal 3 36" xfId="530" xr:uid="{00000000-0005-0000-0000-00006C030000}"/>
    <cellStyle name="Normal 3 37" xfId="531" xr:uid="{00000000-0005-0000-0000-00006D030000}"/>
    <cellStyle name="Normal 3 38" xfId="532" xr:uid="{00000000-0005-0000-0000-00006E030000}"/>
    <cellStyle name="Normal 3 39" xfId="533" xr:uid="{00000000-0005-0000-0000-00006F030000}"/>
    <cellStyle name="Normal 3 4" xfId="534" xr:uid="{00000000-0005-0000-0000-000070030000}"/>
    <cellStyle name="Normal 3 40" xfId="535" xr:uid="{00000000-0005-0000-0000-000071030000}"/>
    <cellStyle name="Normal 3 41" xfId="536" xr:uid="{00000000-0005-0000-0000-000072030000}"/>
    <cellStyle name="Normal 3 42" xfId="537" xr:uid="{00000000-0005-0000-0000-000073030000}"/>
    <cellStyle name="Normal 3 43" xfId="538" xr:uid="{00000000-0005-0000-0000-000074030000}"/>
    <cellStyle name="Normal 3 44" xfId="539" xr:uid="{00000000-0005-0000-0000-000075030000}"/>
    <cellStyle name="Normal 3 45" xfId="540" xr:uid="{00000000-0005-0000-0000-000076030000}"/>
    <cellStyle name="Normal 3 46" xfId="541" xr:uid="{00000000-0005-0000-0000-000077030000}"/>
    <cellStyle name="Normal 3 47" xfId="542" xr:uid="{00000000-0005-0000-0000-000078030000}"/>
    <cellStyle name="Normal 3 48" xfId="543" xr:uid="{00000000-0005-0000-0000-000079030000}"/>
    <cellStyle name="Normal 3 49" xfId="544" xr:uid="{00000000-0005-0000-0000-00007A030000}"/>
    <cellStyle name="Normal 3 5" xfId="545" xr:uid="{00000000-0005-0000-0000-00007B030000}"/>
    <cellStyle name="Normal 3 50" xfId="546" xr:uid="{00000000-0005-0000-0000-00007C030000}"/>
    <cellStyle name="Normal 3 51" xfId="547" xr:uid="{00000000-0005-0000-0000-00007D030000}"/>
    <cellStyle name="Normal 3 52" xfId="548" xr:uid="{00000000-0005-0000-0000-00007E030000}"/>
    <cellStyle name="Normal 3 53" xfId="549" xr:uid="{00000000-0005-0000-0000-00007F030000}"/>
    <cellStyle name="Normal 3 54" xfId="550" xr:uid="{00000000-0005-0000-0000-000080030000}"/>
    <cellStyle name="Normal 3 55" xfId="551" xr:uid="{00000000-0005-0000-0000-000081030000}"/>
    <cellStyle name="Normal 3 56" xfId="552" xr:uid="{00000000-0005-0000-0000-000082030000}"/>
    <cellStyle name="Normal 3 57" xfId="553" xr:uid="{00000000-0005-0000-0000-000083030000}"/>
    <cellStyle name="Normal 3 58" xfId="554" xr:uid="{00000000-0005-0000-0000-000084030000}"/>
    <cellStyle name="Normal 3 59" xfId="555" xr:uid="{00000000-0005-0000-0000-000085030000}"/>
    <cellStyle name="Normal 3 6" xfId="556" xr:uid="{00000000-0005-0000-0000-000086030000}"/>
    <cellStyle name="Normal 3 60" xfId="557" xr:uid="{00000000-0005-0000-0000-000087030000}"/>
    <cellStyle name="Normal 3 61" xfId="558" xr:uid="{00000000-0005-0000-0000-000088030000}"/>
    <cellStyle name="Normal 3 62" xfId="559" xr:uid="{00000000-0005-0000-0000-000089030000}"/>
    <cellStyle name="Normal 3 62 2" xfId="1028" xr:uid="{00000000-0005-0000-0000-00008A030000}"/>
    <cellStyle name="Normal 3 63" xfId="1027" xr:uid="{00000000-0005-0000-0000-00008B030000}"/>
    <cellStyle name="Normal 3 7" xfId="560" xr:uid="{00000000-0005-0000-0000-00008C030000}"/>
    <cellStyle name="Normal 3 8" xfId="561" xr:uid="{00000000-0005-0000-0000-00008D030000}"/>
    <cellStyle name="Normal 3 9" xfId="562" xr:uid="{00000000-0005-0000-0000-00008E030000}"/>
    <cellStyle name="Normal 3_FY11 PSE Cost Breakout v3.0.0" xfId="563" xr:uid="{00000000-0005-0000-0000-00008F030000}"/>
    <cellStyle name="Normal 30" xfId="564" xr:uid="{00000000-0005-0000-0000-000090030000}"/>
    <cellStyle name="Normal 30 2" xfId="1029" xr:uid="{00000000-0005-0000-0000-000091030000}"/>
    <cellStyle name="Normal 31" xfId="565" xr:uid="{00000000-0005-0000-0000-000092030000}"/>
    <cellStyle name="Normal 31 2" xfId="1030" xr:uid="{00000000-0005-0000-0000-000093030000}"/>
    <cellStyle name="Normal 32" xfId="566" xr:uid="{00000000-0005-0000-0000-000094030000}"/>
    <cellStyle name="Normal 32 2" xfId="1031" xr:uid="{00000000-0005-0000-0000-000095030000}"/>
    <cellStyle name="Normal 33" xfId="567" xr:uid="{00000000-0005-0000-0000-000096030000}"/>
    <cellStyle name="Normal 33 2" xfId="1032" xr:uid="{00000000-0005-0000-0000-000097030000}"/>
    <cellStyle name="Normal 34" xfId="568" xr:uid="{00000000-0005-0000-0000-000098030000}"/>
    <cellStyle name="Normal 34 2" xfId="1033" xr:uid="{00000000-0005-0000-0000-000099030000}"/>
    <cellStyle name="Normal 35" xfId="569" xr:uid="{00000000-0005-0000-0000-00009A030000}"/>
    <cellStyle name="Normal 35 2" xfId="1034" xr:uid="{00000000-0005-0000-0000-00009B030000}"/>
    <cellStyle name="Normal 36" xfId="570" xr:uid="{00000000-0005-0000-0000-00009C030000}"/>
    <cellStyle name="Normal 36 2" xfId="1035" xr:uid="{00000000-0005-0000-0000-00009D030000}"/>
    <cellStyle name="Normal 37" xfId="571" xr:uid="{00000000-0005-0000-0000-00009E030000}"/>
    <cellStyle name="Normal 37 2" xfId="1036" xr:uid="{00000000-0005-0000-0000-00009F030000}"/>
    <cellStyle name="Normal 38" xfId="572" xr:uid="{00000000-0005-0000-0000-0000A0030000}"/>
    <cellStyle name="Normal 38 2" xfId="1037" xr:uid="{00000000-0005-0000-0000-0000A1030000}"/>
    <cellStyle name="Normal 39" xfId="573" xr:uid="{00000000-0005-0000-0000-0000A2030000}"/>
    <cellStyle name="Normal 39 2" xfId="1038" xr:uid="{00000000-0005-0000-0000-0000A3030000}"/>
    <cellStyle name="Normal 4" xfId="574" xr:uid="{00000000-0005-0000-0000-0000A4030000}"/>
    <cellStyle name="Normal 4 2" xfId="1039" xr:uid="{00000000-0005-0000-0000-0000A5030000}"/>
    <cellStyle name="Normal 40" xfId="575" xr:uid="{00000000-0005-0000-0000-0000A6030000}"/>
    <cellStyle name="Normal 40 2" xfId="1040" xr:uid="{00000000-0005-0000-0000-0000A7030000}"/>
    <cellStyle name="Normal 41" xfId="576" xr:uid="{00000000-0005-0000-0000-0000A8030000}"/>
    <cellStyle name="Normal 41 2" xfId="1041" xr:uid="{00000000-0005-0000-0000-0000A9030000}"/>
    <cellStyle name="Normal 42" xfId="577" xr:uid="{00000000-0005-0000-0000-0000AA030000}"/>
    <cellStyle name="Normal 42 2" xfId="1042" xr:uid="{00000000-0005-0000-0000-0000AB030000}"/>
    <cellStyle name="Normal 43" xfId="578" xr:uid="{00000000-0005-0000-0000-0000AC030000}"/>
    <cellStyle name="Normal 43 2" xfId="1043" xr:uid="{00000000-0005-0000-0000-0000AD030000}"/>
    <cellStyle name="Normal 44" xfId="579" xr:uid="{00000000-0005-0000-0000-0000AE030000}"/>
    <cellStyle name="Normal 44 2" xfId="1044" xr:uid="{00000000-0005-0000-0000-0000AF030000}"/>
    <cellStyle name="Normal 45" xfId="580" xr:uid="{00000000-0005-0000-0000-0000B0030000}"/>
    <cellStyle name="Normal 45 2" xfId="1045" xr:uid="{00000000-0005-0000-0000-0000B1030000}"/>
    <cellStyle name="Normal 46" xfId="581" xr:uid="{00000000-0005-0000-0000-0000B2030000}"/>
    <cellStyle name="Normal 46 2" xfId="1046" xr:uid="{00000000-0005-0000-0000-0000B3030000}"/>
    <cellStyle name="Normal 47" xfId="582" xr:uid="{00000000-0005-0000-0000-0000B4030000}"/>
    <cellStyle name="Normal 47 2" xfId="1047" xr:uid="{00000000-0005-0000-0000-0000B5030000}"/>
    <cellStyle name="Normal 48" xfId="583" xr:uid="{00000000-0005-0000-0000-0000B6030000}"/>
    <cellStyle name="Normal 48 2" xfId="1048" xr:uid="{00000000-0005-0000-0000-0000B7030000}"/>
    <cellStyle name="Normal 49" xfId="584" xr:uid="{00000000-0005-0000-0000-0000B8030000}"/>
    <cellStyle name="Normal 49 2" xfId="1049" xr:uid="{00000000-0005-0000-0000-0000B9030000}"/>
    <cellStyle name="Normal 5" xfId="585" xr:uid="{00000000-0005-0000-0000-0000BA030000}"/>
    <cellStyle name="Normal 5 2" xfId="1050" xr:uid="{00000000-0005-0000-0000-0000BB030000}"/>
    <cellStyle name="Normal 50" xfId="586" xr:uid="{00000000-0005-0000-0000-0000BC030000}"/>
    <cellStyle name="Normal 50 2" xfId="1051" xr:uid="{00000000-0005-0000-0000-0000BD030000}"/>
    <cellStyle name="Normal 51" xfId="587" xr:uid="{00000000-0005-0000-0000-0000BE030000}"/>
    <cellStyle name="Normal 51 2" xfId="1052" xr:uid="{00000000-0005-0000-0000-0000BF030000}"/>
    <cellStyle name="Normal 52" xfId="588" xr:uid="{00000000-0005-0000-0000-0000C0030000}"/>
    <cellStyle name="Normal 52 2" xfId="1053" xr:uid="{00000000-0005-0000-0000-0000C1030000}"/>
    <cellStyle name="Normal 53" xfId="589" xr:uid="{00000000-0005-0000-0000-0000C2030000}"/>
    <cellStyle name="Normal 53 2" xfId="1054" xr:uid="{00000000-0005-0000-0000-0000C3030000}"/>
    <cellStyle name="Normal 54" xfId="671" xr:uid="{00000000-0005-0000-0000-0000C4030000}"/>
    <cellStyle name="Normal 55" xfId="673" xr:uid="{00000000-0005-0000-0000-0000C5030000}"/>
    <cellStyle name="Normal 56" xfId="4" xr:uid="{00000000-0005-0000-0000-0000C6030000}"/>
    <cellStyle name="Normal 57" xfId="675" xr:uid="{00000000-0005-0000-0000-0000C7030000}"/>
    <cellStyle name="Normal 6" xfId="590" xr:uid="{00000000-0005-0000-0000-0000C8030000}"/>
    <cellStyle name="Normal 6 2" xfId="591" xr:uid="{00000000-0005-0000-0000-0000C9030000}"/>
    <cellStyle name="Normal 6 3" xfId="592" xr:uid="{00000000-0005-0000-0000-0000CA030000}"/>
    <cellStyle name="Normal 6 4" xfId="593" xr:uid="{00000000-0005-0000-0000-0000CB030000}"/>
    <cellStyle name="Normal 6 5" xfId="1055" xr:uid="{00000000-0005-0000-0000-0000CC030000}"/>
    <cellStyle name="Normal 7" xfId="594" xr:uid="{00000000-0005-0000-0000-0000CD030000}"/>
    <cellStyle name="Normal 7 2" xfId="1056" xr:uid="{00000000-0005-0000-0000-0000CE030000}"/>
    <cellStyle name="Normal 8" xfId="595" xr:uid="{00000000-0005-0000-0000-0000CF030000}"/>
    <cellStyle name="Normal 8 2" xfId="1057" xr:uid="{00000000-0005-0000-0000-0000D0030000}"/>
    <cellStyle name="Normal 9" xfId="596" xr:uid="{00000000-0005-0000-0000-0000D1030000}"/>
    <cellStyle name="Normal 9 2" xfId="1058" xr:uid="{00000000-0005-0000-0000-0000D2030000}"/>
    <cellStyle name="Normal_CommercialAvoidedCosts_7-15-02" xfId="672" xr:uid="{00000000-0005-0000-0000-0000D3030000}"/>
    <cellStyle name="Note 2" xfId="597" xr:uid="{00000000-0005-0000-0000-0000D4030000}"/>
    <cellStyle name="Note 2 2" xfId="1059" xr:uid="{00000000-0005-0000-0000-0000D5030000}"/>
    <cellStyle name="Note 3" xfId="598" xr:uid="{00000000-0005-0000-0000-0000D6030000}"/>
    <cellStyle name="Note 3 2" xfId="1060" xr:uid="{00000000-0005-0000-0000-0000D7030000}"/>
    <cellStyle name="Note 4" xfId="599" xr:uid="{00000000-0005-0000-0000-0000D8030000}"/>
    <cellStyle name="Note 4 2" xfId="1061" xr:uid="{00000000-0005-0000-0000-0000D9030000}"/>
    <cellStyle name="Output 2" xfId="600" xr:uid="{00000000-0005-0000-0000-0000DA030000}"/>
    <cellStyle name="Output 3" xfId="601" xr:uid="{00000000-0005-0000-0000-0000DB030000}"/>
    <cellStyle name="Output 4" xfId="602" xr:uid="{00000000-0005-0000-0000-0000DC030000}"/>
    <cellStyle name="Percent" xfId="3" builtinId="5"/>
    <cellStyle name="Percent 2" xfId="10" xr:uid="{00000000-0005-0000-0000-0000DE030000}"/>
    <cellStyle name="Percent 2 10" xfId="603" xr:uid="{00000000-0005-0000-0000-0000DF030000}"/>
    <cellStyle name="Percent 2 10 2" xfId="1062" xr:uid="{00000000-0005-0000-0000-0000E0030000}"/>
    <cellStyle name="Percent 2 11" xfId="604" xr:uid="{00000000-0005-0000-0000-0000E1030000}"/>
    <cellStyle name="Percent 2 11 2" xfId="1063" xr:uid="{00000000-0005-0000-0000-0000E2030000}"/>
    <cellStyle name="Percent 2 12" xfId="605" xr:uid="{00000000-0005-0000-0000-0000E3030000}"/>
    <cellStyle name="Percent 2 12 2" xfId="1064" xr:uid="{00000000-0005-0000-0000-0000E4030000}"/>
    <cellStyle name="Percent 2 13" xfId="606" xr:uid="{00000000-0005-0000-0000-0000E5030000}"/>
    <cellStyle name="Percent 2 13 2" xfId="1065" xr:uid="{00000000-0005-0000-0000-0000E6030000}"/>
    <cellStyle name="Percent 2 14" xfId="607" xr:uid="{00000000-0005-0000-0000-0000E7030000}"/>
    <cellStyle name="Percent 2 14 2" xfId="1066" xr:uid="{00000000-0005-0000-0000-0000E8030000}"/>
    <cellStyle name="Percent 2 15" xfId="608" xr:uid="{00000000-0005-0000-0000-0000E9030000}"/>
    <cellStyle name="Percent 2 15 2" xfId="1067" xr:uid="{00000000-0005-0000-0000-0000EA030000}"/>
    <cellStyle name="Percent 2 16" xfId="609" xr:uid="{00000000-0005-0000-0000-0000EB030000}"/>
    <cellStyle name="Percent 2 16 2" xfId="1068" xr:uid="{00000000-0005-0000-0000-0000EC030000}"/>
    <cellStyle name="Percent 2 17" xfId="610" xr:uid="{00000000-0005-0000-0000-0000ED030000}"/>
    <cellStyle name="Percent 2 17 2" xfId="1069" xr:uid="{00000000-0005-0000-0000-0000EE030000}"/>
    <cellStyle name="Percent 2 18" xfId="611" xr:uid="{00000000-0005-0000-0000-0000EF030000}"/>
    <cellStyle name="Percent 2 18 2" xfId="1070" xr:uid="{00000000-0005-0000-0000-0000F0030000}"/>
    <cellStyle name="Percent 2 19" xfId="612" xr:uid="{00000000-0005-0000-0000-0000F1030000}"/>
    <cellStyle name="Percent 2 19 2" xfId="1071" xr:uid="{00000000-0005-0000-0000-0000F2030000}"/>
    <cellStyle name="Percent 2 2" xfId="613" xr:uid="{00000000-0005-0000-0000-0000F3030000}"/>
    <cellStyle name="Percent 2 2 2" xfId="1072" xr:uid="{00000000-0005-0000-0000-0000F4030000}"/>
    <cellStyle name="Percent 2 20" xfId="614" xr:uid="{00000000-0005-0000-0000-0000F5030000}"/>
    <cellStyle name="Percent 2 20 2" xfId="1073" xr:uid="{00000000-0005-0000-0000-0000F6030000}"/>
    <cellStyle name="Percent 2 21" xfId="615" xr:uid="{00000000-0005-0000-0000-0000F7030000}"/>
    <cellStyle name="Percent 2 21 2" xfId="1074" xr:uid="{00000000-0005-0000-0000-0000F8030000}"/>
    <cellStyle name="Percent 2 22" xfId="616" xr:uid="{00000000-0005-0000-0000-0000F9030000}"/>
    <cellStyle name="Percent 2 22 2" xfId="1075" xr:uid="{00000000-0005-0000-0000-0000FA030000}"/>
    <cellStyle name="Percent 2 23" xfId="617" xr:uid="{00000000-0005-0000-0000-0000FB030000}"/>
    <cellStyle name="Percent 2 23 2" xfId="1076" xr:uid="{00000000-0005-0000-0000-0000FC030000}"/>
    <cellStyle name="Percent 2 24" xfId="618" xr:uid="{00000000-0005-0000-0000-0000FD030000}"/>
    <cellStyle name="Percent 2 24 2" xfId="1077" xr:uid="{00000000-0005-0000-0000-0000FE030000}"/>
    <cellStyle name="Percent 2 25" xfId="619" xr:uid="{00000000-0005-0000-0000-0000FF030000}"/>
    <cellStyle name="Percent 2 25 2" xfId="1078" xr:uid="{00000000-0005-0000-0000-000000040000}"/>
    <cellStyle name="Percent 2 26" xfId="620" xr:uid="{00000000-0005-0000-0000-000001040000}"/>
    <cellStyle name="Percent 2 26 2" xfId="1079" xr:uid="{00000000-0005-0000-0000-000002040000}"/>
    <cellStyle name="Percent 2 27" xfId="621" xr:uid="{00000000-0005-0000-0000-000003040000}"/>
    <cellStyle name="Percent 2 27 2" xfId="1080" xr:uid="{00000000-0005-0000-0000-000004040000}"/>
    <cellStyle name="Percent 2 28" xfId="622" xr:uid="{00000000-0005-0000-0000-000005040000}"/>
    <cellStyle name="Percent 2 28 2" xfId="1081" xr:uid="{00000000-0005-0000-0000-000006040000}"/>
    <cellStyle name="Percent 2 29" xfId="623" xr:uid="{00000000-0005-0000-0000-000007040000}"/>
    <cellStyle name="Percent 2 29 2" xfId="1082" xr:uid="{00000000-0005-0000-0000-000008040000}"/>
    <cellStyle name="Percent 2 3" xfId="624" xr:uid="{00000000-0005-0000-0000-000009040000}"/>
    <cellStyle name="Percent 2 3 2" xfId="1083" xr:uid="{00000000-0005-0000-0000-00000A040000}"/>
    <cellStyle name="Percent 2 30" xfId="625" xr:uid="{00000000-0005-0000-0000-00000B040000}"/>
    <cellStyle name="Percent 2 30 2" xfId="1084" xr:uid="{00000000-0005-0000-0000-00000C040000}"/>
    <cellStyle name="Percent 2 31" xfId="626" xr:uid="{00000000-0005-0000-0000-00000D040000}"/>
    <cellStyle name="Percent 2 31 2" xfId="1085" xr:uid="{00000000-0005-0000-0000-00000E040000}"/>
    <cellStyle name="Percent 2 32" xfId="627" xr:uid="{00000000-0005-0000-0000-00000F040000}"/>
    <cellStyle name="Percent 2 32 2" xfId="1086" xr:uid="{00000000-0005-0000-0000-000010040000}"/>
    <cellStyle name="Percent 2 33" xfId="628" xr:uid="{00000000-0005-0000-0000-000011040000}"/>
    <cellStyle name="Percent 2 33 2" xfId="1087" xr:uid="{00000000-0005-0000-0000-000012040000}"/>
    <cellStyle name="Percent 2 34" xfId="629" xr:uid="{00000000-0005-0000-0000-000013040000}"/>
    <cellStyle name="Percent 2 34 2" xfId="1088" xr:uid="{00000000-0005-0000-0000-000014040000}"/>
    <cellStyle name="Percent 2 35" xfId="630" xr:uid="{00000000-0005-0000-0000-000015040000}"/>
    <cellStyle name="Percent 2 35 2" xfId="1089" xr:uid="{00000000-0005-0000-0000-000016040000}"/>
    <cellStyle name="Percent 2 36" xfId="631" xr:uid="{00000000-0005-0000-0000-000017040000}"/>
    <cellStyle name="Percent 2 36 2" xfId="1090" xr:uid="{00000000-0005-0000-0000-000018040000}"/>
    <cellStyle name="Percent 2 37" xfId="632" xr:uid="{00000000-0005-0000-0000-000019040000}"/>
    <cellStyle name="Percent 2 37 2" xfId="1091" xr:uid="{00000000-0005-0000-0000-00001A040000}"/>
    <cellStyle name="Percent 2 38" xfId="633" xr:uid="{00000000-0005-0000-0000-00001B040000}"/>
    <cellStyle name="Percent 2 38 2" xfId="1092" xr:uid="{00000000-0005-0000-0000-00001C040000}"/>
    <cellStyle name="Percent 2 39" xfId="634" xr:uid="{00000000-0005-0000-0000-00001D040000}"/>
    <cellStyle name="Percent 2 39 2" xfId="1093" xr:uid="{00000000-0005-0000-0000-00001E040000}"/>
    <cellStyle name="Percent 2 4" xfId="635" xr:uid="{00000000-0005-0000-0000-00001F040000}"/>
    <cellStyle name="Percent 2 4 2" xfId="1094" xr:uid="{00000000-0005-0000-0000-000020040000}"/>
    <cellStyle name="Percent 2 40" xfId="636" xr:uid="{00000000-0005-0000-0000-000021040000}"/>
    <cellStyle name="Percent 2 40 2" xfId="1095" xr:uid="{00000000-0005-0000-0000-000022040000}"/>
    <cellStyle name="Percent 2 41" xfId="637" xr:uid="{00000000-0005-0000-0000-000023040000}"/>
    <cellStyle name="Percent 2 41 2" xfId="1096" xr:uid="{00000000-0005-0000-0000-000024040000}"/>
    <cellStyle name="Percent 2 42" xfId="638" xr:uid="{00000000-0005-0000-0000-000025040000}"/>
    <cellStyle name="Percent 2 42 2" xfId="1097" xr:uid="{00000000-0005-0000-0000-000026040000}"/>
    <cellStyle name="Percent 2 43" xfId="639" xr:uid="{00000000-0005-0000-0000-000027040000}"/>
    <cellStyle name="Percent 2 43 2" xfId="1098" xr:uid="{00000000-0005-0000-0000-000028040000}"/>
    <cellStyle name="Percent 2 44" xfId="640" xr:uid="{00000000-0005-0000-0000-000029040000}"/>
    <cellStyle name="Percent 2 44 2" xfId="1099" xr:uid="{00000000-0005-0000-0000-00002A040000}"/>
    <cellStyle name="Percent 2 45" xfId="641" xr:uid="{00000000-0005-0000-0000-00002B040000}"/>
    <cellStyle name="Percent 2 45 2" xfId="1100" xr:uid="{00000000-0005-0000-0000-00002C040000}"/>
    <cellStyle name="Percent 2 46" xfId="642" xr:uid="{00000000-0005-0000-0000-00002D040000}"/>
    <cellStyle name="Percent 2 46 2" xfId="1101" xr:uid="{00000000-0005-0000-0000-00002E040000}"/>
    <cellStyle name="Percent 2 47" xfId="643" xr:uid="{00000000-0005-0000-0000-00002F040000}"/>
    <cellStyle name="Percent 2 47 2" xfId="1102" xr:uid="{00000000-0005-0000-0000-000030040000}"/>
    <cellStyle name="Percent 2 48" xfId="644" xr:uid="{00000000-0005-0000-0000-000031040000}"/>
    <cellStyle name="Percent 2 48 2" xfId="1103" xr:uid="{00000000-0005-0000-0000-000032040000}"/>
    <cellStyle name="Percent 2 49" xfId="645" xr:uid="{00000000-0005-0000-0000-000033040000}"/>
    <cellStyle name="Percent 2 49 2" xfId="1104" xr:uid="{00000000-0005-0000-0000-000034040000}"/>
    <cellStyle name="Percent 2 5" xfId="646" xr:uid="{00000000-0005-0000-0000-000035040000}"/>
    <cellStyle name="Percent 2 5 2" xfId="1105" xr:uid="{00000000-0005-0000-0000-000036040000}"/>
    <cellStyle name="Percent 2 50" xfId="647" xr:uid="{00000000-0005-0000-0000-000037040000}"/>
    <cellStyle name="Percent 2 50 2" xfId="1106" xr:uid="{00000000-0005-0000-0000-000038040000}"/>
    <cellStyle name="Percent 2 51" xfId="648" xr:uid="{00000000-0005-0000-0000-000039040000}"/>
    <cellStyle name="Percent 2 51 2" xfId="1107" xr:uid="{00000000-0005-0000-0000-00003A040000}"/>
    <cellStyle name="Percent 2 52" xfId="649" xr:uid="{00000000-0005-0000-0000-00003B040000}"/>
    <cellStyle name="Percent 2 52 2" xfId="1108" xr:uid="{00000000-0005-0000-0000-00003C040000}"/>
    <cellStyle name="Percent 2 53" xfId="650" xr:uid="{00000000-0005-0000-0000-00003D040000}"/>
    <cellStyle name="Percent 2 53 2" xfId="1109" xr:uid="{00000000-0005-0000-0000-00003E040000}"/>
    <cellStyle name="Percent 2 54" xfId="651" xr:uid="{00000000-0005-0000-0000-00003F040000}"/>
    <cellStyle name="Percent 2 54 2" xfId="1110" xr:uid="{00000000-0005-0000-0000-000040040000}"/>
    <cellStyle name="Percent 2 55" xfId="652" xr:uid="{00000000-0005-0000-0000-000041040000}"/>
    <cellStyle name="Percent 2 55 2" xfId="1111" xr:uid="{00000000-0005-0000-0000-000042040000}"/>
    <cellStyle name="Percent 2 56" xfId="653" xr:uid="{00000000-0005-0000-0000-000043040000}"/>
    <cellStyle name="Percent 2 56 2" xfId="1112" xr:uid="{00000000-0005-0000-0000-000044040000}"/>
    <cellStyle name="Percent 2 57" xfId="654" xr:uid="{00000000-0005-0000-0000-000045040000}"/>
    <cellStyle name="Percent 2 57 2" xfId="1113" xr:uid="{00000000-0005-0000-0000-000046040000}"/>
    <cellStyle name="Percent 2 58" xfId="655" xr:uid="{00000000-0005-0000-0000-000047040000}"/>
    <cellStyle name="Percent 2 58 2" xfId="1114" xr:uid="{00000000-0005-0000-0000-000048040000}"/>
    <cellStyle name="Percent 2 59" xfId="656" xr:uid="{00000000-0005-0000-0000-000049040000}"/>
    <cellStyle name="Percent 2 59 2" xfId="1115" xr:uid="{00000000-0005-0000-0000-00004A040000}"/>
    <cellStyle name="Percent 2 6" xfId="657" xr:uid="{00000000-0005-0000-0000-00004B040000}"/>
    <cellStyle name="Percent 2 6 2" xfId="1116" xr:uid="{00000000-0005-0000-0000-00004C040000}"/>
    <cellStyle name="Percent 2 60" xfId="658" xr:uid="{00000000-0005-0000-0000-00004D040000}"/>
    <cellStyle name="Percent 2 60 2" xfId="1117" xr:uid="{00000000-0005-0000-0000-00004E040000}"/>
    <cellStyle name="Percent 2 61" xfId="659" xr:uid="{00000000-0005-0000-0000-00004F040000}"/>
    <cellStyle name="Percent 2 61 2" xfId="1118" xr:uid="{00000000-0005-0000-0000-000050040000}"/>
    <cellStyle name="Percent 2 62" xfId="681" xr:uid="{00000000-0005-0000-0000-000051040000}"/>
    <cellStyle name="Percent 2 7" xfId="660" xr:uid="{00000000-0005-0000-0000-000052040000}"/>
    <cellStyle name="Percent 2 7 2" xfId="1119" xr:uid="{00000000-0005-0000-0000-000053040000}"/>
    <cellStyle name="Percent 2 8" xfId="661" xr:uid="{00000000-0005-0000-0000-000054040000}"/>
    <cellStyle name="Percent 2 8 2" xfId="1120" xr:uid="{00000000-0005-0000-0000-000055040000}"/>
    <cellStyle name="Percent 2 9" xfId="662" xr:uid="{00000000-0005-0000-0000-000056040000}"/>
    <cellStyle name="Percent 2 9 2" xfId="1121" xr:uid="{00000000-0005-0000-0000-000057040000}"/>
    <cellStyle name="Percent 3" xfId="663" xr:uid="{00000000-0005-0000-0000-000058040000}"/>
    <cellStyle name="Percent 3 2" xfId="1122" xr:uid="{00000000-0005-0000-0000-000059040000}"/>
    <cellStyle name="Percent 4" xfId="674" xr:uid="{00000000-0005-0000-0000-00005A040000}"/>
    <cellStyle name="Percent 5" xfId="7" xr:uid="{00000000-0005-0000-0000-00005B040000}"/>
    <cellStyle name="Percent 5 2" xfId="678" xr:uid="{00000000-0005-0000-0000-00005C040000}"/>
    <cellStyle name="Sheet Title" xfId="664" xr:uid="{00000000-0005-0000-0000-00005D040000}"/>
    <cellStyle name="Total 2" xfId="665" xr:uid="{00000000-0005-0000-0000-00005E040000}"/>
    <cellStyle name="Total 3" xfId="666" xr:uid="{00000000-0005-0000-0000-00005F040000}"/>
    <cellStyle name="Total 4" xfId="667" xr:uid="{00000000-0005-0000-0000-000060040000}"/>
    <cellStyle name="Warning Text 2" xfId="668" xr:uid="{00000000-0005-0000-0000-000061040000}"/>
    <cellStyle name="Warning Text 3" xfId="669" xr:uid="{00000000-0005-0000-0000-000062040000}"/>
    <cellStyle name="Warning Text 4" xfId="670" xr:uid="{00000000-0005-0000-0000-00006304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tint="-0.34998626667073579"/>
      </font>
    </dxf>
    <dxf>
      <font>
        <color rgb="FFC00000"/>
      </font>
    </dxf>
    <dxf>
      <font>
        <color rgb="FFFF0000"/>
      </font>
    </dxf>
    <dxf>
      <font>
        <color rgb="FFC00000"/>
      </font>
    </dxf>
    <dxf>
      <font>
        <b/>
        <i val="0"/>
      </font>
      <fill>
        <patternFill>
          <bgColor theme="5" tint="0.39994506668294322"/>
        </patternFill>
      </fill>
      <border>
        <left style="thin">
          <color auto="1"/>
        </left>
        <right style="thin">
          <color auto="1"/>
        </right>
        <top style="thin">
          <color auto="1"/>
        </top>
        <bottom style="thin">
          <color auto="1"/>
        </bottom>
        <vertical/>
        <horizontal/>
      </border>
    </dxf>
    <dxf>
      <font>
        <b/>
        <i val="0"/>
      </font>
      <fill>
        <patternFill>
          <bgColor theme="5" tint="0.3999450666829432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b/>
        <i val="0"/>
        <strike val="0"/>
        <color rgb="FFFF0000"/>
      </font>
      <fill>
        <patternFill patternType="none">
          <bgColor auto="1"/>
        </patternFill>
      </fill>
    </dxf>
    <dxf>
      <font>
        <color rgb="FF9C0006"/>
      </font>
      <fill>
        <patternFill>
          <bgColor rgb="FFFFC7CE"/>
        </patternFill>
      </fill>
    </dxf>
  </dxfs>
  <tableStyles count="0" defaultTableStyle="TableStyleMedium2" defaultPivotStyle="PivotStyleLight16"/>
  <colors>
    <mruColors>
      <color rgb="FF0D816E"/>
      <color rgb="FFCCFFCC"/>
      <color rgb="FFEBE9DD"/>
      <color rgb="FFFF0000"/>
      <color rgb="FFFFFFCC"/>
      <color rgb="FFFFFF99"/>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42652</xdr:colOff>
      <xdr:row>0</xdr:row>
      <xdr:rowOff>41413</xdr:rowOff>
    </xdr:from>
    <xdr:to>
      <xdr:col>1</xdr:col>
      <xdr:colOff>47034</xdr:colOff>
      <xdr:row>0</xdr:row>
      <xdr:rowOff>256068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52" y="41413"/>
          <a:ext cx="1299644" cy="2146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205466</xdr:colOff>
      <xdr:row>3</xdr:row>
      <xdr:rowOff>10884</xdr:rowOff>
    </xdr:from>
    <xdr:to>
      <xdr:col>20</xdr:col>
      <xdr:colOff>353784</xdr:colOff>
      <xdr:row>25</xdr:row>
      <xdr:rowOff>98015</xdr:rowOff>
    </xdr:to>
    <xdr:pic>
      <xdr:nvPicPr>
        <xdr:cNvPr id="4" name="Picture 3">
          <a:extLst>
            <a:ext uri="{FF2B5EF4-FFF2-40B4-BE49-F238E27FC236}">
              <a16:creationId xmlns:a16="http://schemas.microsoft.com/office/drawing/2014/main" id="{672D69C3-49D6-4DD2-AA4B-61892BB4D4CD}"/>
            </a:ext>
          </a:extLst>
        </xdr:cNvPr>
        <xdr:cNvPicPr>
          <a:picLocks noChangeAspect="1"/>
        </xdr:cNvPicPr>
      </xdr:nvPicPr>
      <xdr:blipFill>
        <a:blip xmlns:r="http://schemas.openxmlformats.org/officeDocument/2006/relationships" r:embed="rId1"/>
        <a:stretch>
          <a:fillRect/>
        </a:stretch>
      </xdr:blipFill>
      <xdr:spPr>
        <a:xfrm>
          <a:off x="4491716" y="1058634"/>
          <a:ext cx="8108497" cy="4849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stdpt1.puget.com\sopscci\4-Energy%20Efficiency\BEM\_PROJECTS\Seatac%20Towers,%20South%20Tower%20I%20-%20Controls%20-%20CTRL%20-%20102-2759\Payment\Performance\Electric%20Bill%20History_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History"/>
      <sheetName val="Daily Data"/>
      <sheetName val="Tables"/>
      <sheetName val="Sheet1"/>
    </sheetNames>
    <sheetDataSet>
      <sheetData sheetId="0">
        <row r="12">
          <cell r="AB12">
            <v>1</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pse.com/en/business-incentives/hvac-incentive-and-rebate-programs/major-hvac-controls-upgrade-rebates" TargetMode="External"/><Relationship Id="rId2" Type="http://schemas.openxmlformats.org/officeDocument/2006/relationships/hyperlink" Target="https://www.pse.com/en/business-incentives/hvac-incentive-and-rebate-programs/major-hvac-controls-upgrade-rebates" TargetMode="External"/><Relationship Id="rId1" Type="http://schemas.openxmlformats.org/officeDocument/2006/relationships/hyperlink" Target="https://www.pse.com/en/business-incentives/hvac-incentive-and-rebate-programs/major-hvac-controls-upgrade-rebat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sbcc.wa.gov/sites/default/files/2024-01/2021_WSEC_C_2ndEd_012824.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3F70-8FE7-4132-8CB3-9D1D9110438C}">
  <sheetPr>
    <tabColor theme="0"/>
    <pageSetUpPr fitToPage="1"/>
  </sheetPr>
  <dimension ref="A1:O32"/>
  <sheetViews>
    <sheetView zoomScale="130" zoomScaleNormal="130" workbookViewId="0">
      <selection activeCell="A3" sqref="A3:N7"/>
    </sheetView>
  </sheetViews>
  <sheetFormatPr defaultRowHeight="15" x14ac:dyDescent="0.25"/>
  <sheetData>
    <row r="1" spans="1:14" ht="6" customHeight="1" x14ac:dyDescent="0.25"/>
    <row r="2" spans="1:14" ht="21" x14ac:dyDescent="0.35">
      <c r="A2" s="341" t="s">
        <v>1155</v>
      </c>
      <c r="B2" s="341"/>
      <c r="C2" s="341"/>
      <c r="D2" s="341"/>
      <c r="E2" s="341"/>
      <c r="F2" s="341"/>
      <c r="G2" s="341"/>
      <c r="H2" s="341"/>
      <c r="I2" s="341"/>
      <c r="J2" s="341"/>
      <c r="K2" s="341"/>
      <c r="L2" s="341"/>
      <c r="M2" s="341"/>
      <c r="N2" s="341"/>
    </row>
    <row r="3" spans="1:14" x14ac:dyDescent="0.25">
      <c r="A3" s="332" t="s">
        <v>1163</v>
      </c>
      <c r="B3" s="333"/>
      <c r="C3" s="333"/>
      <c r="D3" s="333"/>
      <c r="E3" s="333"/>
      <c r="F3" s="333"/>
      <c r="G3" s="333"/>
      <c r="H3" s="333"/>
      <c r="I3" s="333"/>
      <c r="J3" s="333"/>
      <c r="K3" s="333"/>
      <c r="L3" s="333"/>
      <c r="M3" s="333"/>
      <c r="N3" s="334"/>
    </row>
    <row r="4" spans="1:14" x14ac:dyDescent="0.25">
      <c r="A4" s="335"/>
      <c r="B4" s="336"/>
      <c r="C4" s="336"/>
      <c r="D4" s="336"/>
      <c r="E4" s="336"/>
      <c r="F4" s="336"/>
      <c r="G4" s="336"/>
      <c r="H4" s="336"/>
      <c r="I4" s="336"/>
      <c r="J4" s="336"/>
      <c r="K4" s="336"/>
      <c r="L4" s="336"/>
      <c r="M4" s="336"/>
      <c r="N4" s="337"/>
    </row>
    <row r="5" spans="1:14" x14ac:dyDescent="0.25">
      <c r="A5" s="335"/>
      <c r="B5" s="336"/>
      <c r="C5" s="336"/>
      <c r="D5" s="336"/>
      <c r="E5" s="336"/>
      <c r="F5" s="336"/>
      <c r="G5" s="336"/>
      <c r="H5" s="336"/>
      <c r="I5" s="336"/>
      <c r="J5" s="336"/>
      <c r="K5" s="336"/>
      <c r="L5" s="336"/>
      <c r="M5" s="336"/>
      <c r="N5" s="337"/>
    </row>
    <row r="6" spans="1:14" x14ac:dyDescent="0.25">
      <c r="A6" s="335"/>
      <c r="B6" s="336"/>
      <c r="C6" s="336"/>
      <c r="D6" s="336"/>
      <c r="E6" s="336"/>
      <c r="F6" s="336"/>
      <c r="G6" s="336"/>
      <c r="H6" s="336"/>
      <c r="I6" s="336"/>
      <c r="J6" s="336"/>
      <c r="K6" s="336"/>
      <c r="L6" s="336"/>
      <c r="M6" s="336"/>
      <c r="N6" s="337"/>
    </row>
    <row r="7" spans="1:14" ht="9" customHeight="1" x14ac:dyDescent="0.25">
      <c r="A7" s="338"/>
      <c r="B7" s="339"/>
      <c r="C7" s="339"/>
      <c r="D7" s="339"/>
      <c r="E7" s="339"/>
      <c r="F7" s="339"/>
      <c r="G7" s="339"/>
      <c r="H7" s="339"/>
      <c r="I7" s="339"/>
      <c r="J7" s="339"/>
      <c r="K7" s="339"/>
      <c r="L7" s="339"/>
      <c r="M7" s="339"/>
      <c r="N7" s="340"/>
    </row>
    <row r="8" spans="1:14" x14ac:dyDescent="0.25">
      <c r="A8" s="332" t="s">
        <v>1156</v>
      </c>
      <c r="B8" s="333"/>
      <c r="C8" s="333"/>
      <c r="D8" s="333"/>
      <c r="E8" s="333"/>
      <c r="F8" s="333"/>
      <c r="G8" s="333"/>
      <c r="H8" s="333"/>
      <c r="I8" s="333"/>
      <c r="J8" s="333"/>
      <c r="K8" s="333"/>
      <c r="L8" s="333"/>
      <c r="M8" s="333"/>
      <c r="N8" s="334"/>
    </row>
    <row r="9" spans="1:14" x14ac:dyDescent="0.25">
      <c r="A9" s="335"/>
      <c r="B9" s="336"/>
      <c r="C9" s="336"/>
      <c r="D9" s="336"/>
      <c r="E9" s="336"/>
      <c r="F9" s="336"/>
      <c r="G9" s="336"/>
      <c r="H9" s="336"/>
      <c r="I9" s="336"/>
      <c r="J9" s="336"/>
      <c r="K9" s="336"/>
      <c r="L9" s="336"/>
      <c r="M9" s="336"/>
      <c r="N9" s="337"/>
    </row>
    <row r="10" spans="1:14" x14ac:dyDescent="0.25">
      <c r="A10" s="335"/>
      <c r="B10" s="336"/>
      <c r="C10" s="336"/>
      <c r="D10" s="336"/>
      <c r="E10" s="336"/>
      <c r="F10" s="336"/>
      <c r="G10" s="336"/>
      <c r="H10" s="336"/>
      <c r="I10" s="336"/>
      <c r="J10" s="336"/>
      <c r="K10" s="336"/>
      <c r="L10" s="336"/>
      <c r="M10" s="336"/>
      <c r="N10" s="337"/>
    </row>
    <row r="11" spans="1:14" x14ac:dyDescent="0.25">
      <c r="A11" s="335"/>
      <c r="B11" s="336"/>
      <c r="C11" s="336"/>
      <c r="D11" s="336"/>
      <c r="E11" s="336"/>
      <c r="F11" s="336"/>
      <c r="G11" s="336"/>
      <c r="H11" s="336"/>
      <c r="I11" s="336"/>
      <c r="J11" s="336"/>
      <c r="K11" s="336"/>
      <c r="L11" s="336"/>
      <c r="M11" s="336"/>
      <c r="N11" s="337"/>
    </row>
    <row r="12" spans="1:14" ht="35.25" customHeight="1" x14ac:dyDescent="0.25">
      <c r="A12" s="338"/>
      <c r="B12" s="339"/>
      <c r="C12" s="339"/>
      <c r="D12" s="339"/>
      <c r="E12" s="339"/>
      <c r="F12" s="339"/>
      <c r="G12" s="339"/>
      <c r="H12" s="339"/>
      <c r="I12" s="339"/>
      <c r="J12" s="339"/>
      <c r="K12" s="339"/>
      <c r="L12" s="339"/>
      <c r="M12" s="339"/>
      <c r="N12" s="340"/>
    </row>
    <row r="13" spans="1:14" x14ac:dyDescent="0.25">
      <c r="A13" s="332" t="s">
        <v>1153</v>
      </c>
      <c r="B13" s="333"/>
      <c r="C13" s="333"/>
      <c r="D13" s="333"/>
      <c r="E13" s="333"/>
      <c r="F13" s="333"/>
      <c r="G13" s="333"/>
      <c r="H13" s="333"/>
      <c r="I13" s="333"/>
      <c r="J13" s="333"/>
      <c r="K13" s="333"/>
      <c r="L13" s="333"/>
      <c r="M13" s="333"/>
      <c r="N13" s="334"/>
    </row>
    <row r="14" spans="1:14" x14ac:dyDescent="0.25">
      <c r="A14" s="335"/>
      <c r="B14" s="336"/>
      <c r="C14" s="336"/>
      <c r="D14" s="336"/>
      <c r="E14" s="336"/>
      <c r="F14" s="336"/>
      <c r="G14" s="336"/>
      <c r="H14" s="336"/>
      <c r="I14" s="336"/>
      <c r="J14" s="336"/>
      <c r="K14" s="336"/>
      <c r="L14" s="336"/>
      <c r="M14" s="336"/>
      <c r="N14" s="337"/>
    </row>
    <row r="15" spans="1:14" x14ac:dyDescent="0.25">
      <c r="A15" s="335"/>
      <c r="B15" s="336"/>
      <c r="C15" s="336"/>
      <c r="D15" s="336"/>
      <c r="E15" s="336"/>
      <c r="F15" s="336"/>
      <c r="G15" s="336"/>
      <c r="H15" s="336"/>
      <c r="I15" s="336"/>
      <c r="J15" s="336"/>
      <c r="K15" s="336"/>
      <c r="L15" s="336"/>
      <c r="M15" s="336"/>
      <c r="N15" s="337"/>
    </row>
    <row r="16" spans="1:14" x14ac:dyDescent="0.25">
      <c r="A16" s="335"/>
      <c r="B16" s="336"/>
      <c r="C16" s="336"/>
      <c r="D16" s="336"/>
      <c r="E16" s="336"/>
      <c r="F16" s="336"/>
      <c r="G16" s="336"/>
      <c r="H16" s="336"/>
      <c r="I16" s="336"/>
      <c r="J16" s="336"/>
      <c r="K16" s="336"/>
      <c r="L16" s="336"/>
      <c r="M16" s="336"/>
      <c r="N16" s="337"/>
    </row>
    <row r="17" spans="1:15" ht="19.5" customHeight="1" x14ac:dyDescent="0.25">
      <c r="A17" s="338"/>
      <c r="B17" s="339"/>
      <c r="C17" s="339"/>
      <c r="D17" s="339"/>
      <c r="E17" s="339"/>
      <c r="F17" s="339"/>
      <c r="G17" s="339"/>
      <c r="H17" s="339"/>
      <c r="I17" s="339"/>
      <c r="J17" s="339"/>
      <c r="K17" s="339"/>
      <c r="L17" s="339"/>
      <c r="M17" s="339"/>
      <c r="N17" s="340"/>
    </row>
    <row r="18" spans="1:15" x14ac:dyDescent="0.25">
      <c r="A18" s="332" t="s">
        <v>1165</v>
      </c>
      <c r="B18" s="333"/>
      <c r="C18" s="333"/>
      <c r="D18" s="333"/>
      <c r="E18" s="333"/>
      <c r="F18" s="333"/>
      <c r="G18" s="333"/>
      <c r="H18" s="333"/>
      <c r="I18" s="333"/>
      <c r="J18" s="333"/>
      <c r="K18" s="333"/>
      <c r="L18" s="333"/>
      <c r="M18" s="333"/>
      <c r="N18" s="334"/>
    </row>
    <row r="19" spans="1:15" x14ac:dyDescent="0.25">
      <c r="A19" s="335"/>
      <c r="B19" s="336"/>
      <c r="C19" s="336"/>
      <c r="D19" s="336"/>
      <c r="E19" s="336"/>
      <c r="F19" s="336"/>
      <c r="G19" s="336"/>
      <c r="H19" s="336"/>
      <c r="I19" s="336"/>
      <c r="J19" s="336"/>
      <c r="K19" s="336"/>
      <c r="L19" s="336"/>
      <c r="M19" s="336"/>
      <c r="N19" s="337"/>
      <c r="O19" s="59"/>
    </row>
    <row r="20" spans="1:15" x14ac:dyDescent="0.25">
      <c r="A20" s="335"/>
      <c r="B20" s="336"/>
      <c r="C20" s="336"/>
      <c r="D20" s="336"/>
      <c r="E20" s="336"/>
      <c r="F20" s="336"/>
      <c r="G20" s="336"/>
      <c r="H20" s="336"/>
      <c r="I20" s="336"/>
      <c r="J20" s="336"/>
      <c r="K20" s="336"/>
      <c r="L20" s="336"/>
      <c r="M20" s="336"/>
      <c r="N20" s="337"/>
    </row>
    <row r="21" spans="1:15" x14ac:dyDescent="0.25">
      <c r="A21" s="335"/>
      <c r="B21" s="336"/>
      <c r="C21" s="336"/>
      <c r="D21" s="336"/>
      <c r="E21" s="336"/>
      <c r="F21" s="336"/>
      <c r="G21" s="336"/>
      <c r="H21" s="336"/>
      <c r="I21" s="336"/>
      <c r="J21" s="336"/>
      <c r="K21" s="336"/>
      <c r="L21" s="336"/>
      <c r="M21" s="336"/>
      <c r="N21" s="337"/>
    </row>
    <row r="22" spans="1:15" ht="68.25" customHeight="1" x14ac:dyDescent="0.25">
      <c r="A22" s="338"/>
      <c r="B22" s="339"/>
      <c r="C22" s="339"/>
      <c r="D22" s="339"/>
      <c r="E22" s="339"/>
      <c r="F22" s="339"/>
      <c r="G22" s="339"/>
      <c r="H22" s="339"/>
      <c r="I22" s="339"/>
      <c r="J22" s="339"/>
      <c r="K22" s="339"/>
      <c r="L22" s="339"/>
      <c r="M22" s="339"/>
      <c r="N22" s="340"/>
    </row>
    <row r="23" spans="1:15" x14ac:dyDescent="0.25">
      <c r="A23" s="332" t="s">
        <v>1164</v>
      </c>
      <c r="B23" s="333"/>
      <c r="C23" s="333"/>
      <c r="D23" s="333"/>
      <c r="E23" s="333"/>
      <c r="F23" s="333"/>
      <c r="G23" s="333"/>
      <c r="H23" s="333"/>
      <c r="I23" s="333"/>
      <c r="J23" s="333"/>
      <c r="K23" s="333"/>
      <c r="L23" s="333"/>
      <c r="M23" s="333"/>
      <c r="N23" s="334"/>
    </row>
    <row r="24" spans="1:15" x14ac:dyDescent="0.25">
      <c r="A24" s="335"/>
      <c r="B24" s="336"/>
      <c r="C24" s="336"/>
      <c r="D24" s="336"/>
      <c r="E24" s="336"/>
      <c r="F24" s="336"/>
      <c r="G24" s="336"/>
      <c r="H24" s="336"/>
      <c r="I24" s="336"/>
      <c r="J24" s="336"/>
      <c r="K24" s="336"/>
      <c r="L24" s="336"/>
      <c r="M24" s="336"/>
      <c r="N24" s="337"/>
    </row>
    <row r="25" spans="1:15" x14ac:dyDescent="0.25">
      <c r="A25" s="335"/>
      <c r="B25" s="336"/>
      <c r="C25" s="336"/>
      <c r="D25" s="336"/>
      <c r="E25" s="336"/>
      <c r="F25" s="336"/>
      <c r="G25" s="336"/>
      <c r="H25" s="336"/>
      <c r="I25" s="336"/>
      <c r="J25" s="336"/>
      <c r="K25" s="336"/>
      <c r="L25" s="336"/>
      <c r="M25" s="336"/>
      <c r="N25" s="337"/>
    </row>
    <row r="26" spans="1:15" x14ac:dyDescent="0.25">
      <c r="A26" s="335"/>
      <c r="B26" s="336"/>
      <c r="C26" s="336"/>
      <c r="D26" s="336"/>
      <c r="E26" s="336"/>
      <c r="F26" s="336"/>
      <c r="G26" s="336"/>
      <c r="H26" s="336"/>
      <c r="I26" s="336"/>
      <c r="J26" s="336"/>
      <c r="K26" s="336"/>
      <c r="L26" s="336"/>
      <c r="M26" s="336"/>
      <c r="N26" s="337"/>
    </row>
    <row r="27" spans="1:15" ht="68.25" customHeight="1" x14ac:dyDescent="0.25">
      <c r="A27" s="338"/>
      <c r="B27" s="339"/>
      <c r="C27" s="339"/>
      <c r="D27" s="339"/>
      <c r="E27" s="339"/>
      <c r="F27" s="339"/>
      <c r="G27" s="339"/>
      <c r="H27" s="339"/>
      <c r="I27" s="339"/>
      <c r="J27" s="339"/>
      <c r="K27" s="339"/>
      <c r="L27" s="339"/>
      <c r="M27" s="339"/>
      <c r="N27" s="340"/>
    </row>
    <row r="28" spans="1:15" x14ac:dyDescent="0.25">
      <c r="A28" s="332" t="s">
        <v>1157</v>
      </c>
      <c r="B28" s="333"/>
      <c r="C28" s="333"/>
      <c r="D28" s="333"/>
      <c r="E28" s="333"/>
      <c r="F28" s="333"/>
      <c r="G28" s="333"/>
      <c r="H28" s="333"/>
      <c r="I28" s="333"/>
      <c r="J28" s="333"/>
      <c r="K28" s="333"/>
      <c r="L28" s="333"/>
      <c r="M28" s="333"/>
      <c r="N28" s="334"/>
    </row>
    <row r="29" spans="1:15" x14ac:dyDescent="0.25">
      <c r="A29" s="335"/>
      <c r="B29" s="336"/>
      <c r="C29" s="336"/>
      <c r="D29" s="336"/>
      <c r="E29" s="336"/>
      <c r="F29" s="336"/>
      <c r="G29" s="336"/>
      <c r="H29" s="336"/>
      <c r="I29" s="336"/>
      <c r="J29" s="336"/>
      <c r="K29" s="336"/>
      <c r="L29" s="336"/>
      <c r="M29" s="336"/>
      <c r="N29" s="337"/>
    </row>
    <row r="30" spans="1:15" x14ac:dyDescent="0.25">
      <c r="A30" s="335"/>
      <c r="B30" s="336"/>
      <c r="C30" s="336"/>
      <c r="D30" s="336"/>
      <c r="E30" s="336"/>
      <c r="F30" s="336"/>
      <c r="G30" s="336"/>
      <c r="H30" s="336"/>
      <c r="I30" s="336"/>
      <c r="J30" s="336"/>
      <c r="K30" s="336"/>
      <c r="L30" s="336"/>
      <c r="M30" s="336"/>
      <c r="N30" s="337"/>
    </row>
    <row r="31" spans="1:15" x14ac:dyDescent="0.25">
      <c r="A31" s="335"/>
      <c r="B31" s="336"/>
      <c r="C31" s="336"/>
      <c r="D31" s="336"/>
      <c r="E31" s="336"/>
      <c r="F31" s="336"/>
      <c r="G31" s="336"/>
      <c r="H31" s="336"/>
      <c r="I31" s="336"/>
      <c r="J31" s="336"/>
      <c r="K31" s="336"/>
      <c r="L31" s="336"/>
      <c r="M31" s="336"/>
      <c r="N31" s="337"/>
    </row>
    <row r="32" spans="1:15" ht="11.25" customHeight="1" x14ac:dyDescent="0.25">
      <c r="A32" s="338"/>
      <c r="B32" s="339"/>
      <c r="C32" s="339"/>
      <c r="D32" s="339"/>
      <c r="E32" s="339"/>
      <c r="F32" s="339"/>
      <c r="G32" s="339"/>
      <c r="H32" s="339"/>
      <c r="I32" s="339"/>
      <c r="J32" s="339"/>
      <c r="K32" s="339"/>
      <c r="L32" s="339"/>
      <c r="M32" s="339"/>
      <c r="N32" s="340"/>
    </row>
  </sheetData>
  <sheetProtection algorithmName="SHA-512" hashValue="YpylHTyjvTxhhwuOLxQw/KFBAsu1VGzG72xiqSxd6Q702tWkAek5xW8ZY6O2jZPexlh12IC3wCnJtwoIC396VQ==" saltValue="IkD8NOiKfiDfF7U3mNV+5w==" spinCount="100000" sheet="1" objects="1" scenarios="1"/>
  <mergeCells count="7">
    <mergeCell ref="A28:N32"/>
    <mergeCell ref="A23:N27"/>
    <mergeCell ref="A2:N2"/>
    <mergeCell ref="A3:N7"/>
    <mergeCell ref="A8:N12"/>
    <mergeCell ref="A13:N17"/>
    <mergeCell ref="A18:N22"/>
  </mergeCells>
  <pageMargins left="0.7" right="0.7" top="0.75" bottom="0.75" header="0.3" footer="0.3"/>
  <pageSetup scale="8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2454-B1F8-468F-AD1B-D1F8190CC0F9}">
  <sheetPr>
    <tabColor theme="8" tint="-0.249977111117893"/>
    <pageSetUpPr fitToPage="1"/>
  </sheetPr>
  <dimension ref="A1:I43"/>
  <sheetViews>
    <sheetView zoomScale="115" zoomScaleNormal="115" workbookViewId="0">
      <selection activeCell="A4" sqref="A4:I6"/>
    </sheetView>
  </sheetViews>
  <sheetFormatPr defaultRowHeight="15" x14ac:dyDescent="0.25"/>
  <cols>
    <col min="1" max="1" width="13.28515625" customWidth="1"/>
    <col min="9" max="9" width="11.140625" customWidth="1"/>
  </cols>
  <sheetData>
    <row r="1" spans="1:9" ht="18.75" x14ac:dyDescent="0.3">
      <c r="A1" s="461" t="s">
        <v>459</v>
      </c>
      <c r="B1" s="461"/>
      <c r="C1" s="461"/>
      <c r="D1" s="461"/>
      <c r="E1" s="461"/>
      <c r="F1" s="461"/>
      <c r="G1" s="461"/>
      <c r="H1" s="461"/>
      <c r="I1" s="461"/>
    </row>
    <row r="2" spans="1:9" x14ac:dyDescent="0.25">
      <c r="A2" s="125" t="s">
        <v>40</v>
      </c>
      <c r="B2" s="125">
        <f>Worksheet!B2</f>
        <v>0</v>
      </c>
    </row>
    <row r="3" spans="1:9" x14ac:dyDescent="0.25">
      <c r="A3" t="s">
        <v>460</v>
      </c>
    </row>
    <row r="4" spans="1:9" x14ac:dyDescent="0.25">
      <c r="A4" s="452"/>
      <c r="B4" s="453"/>
      <c r="C4" s="453"/>
      <c r="D4" s="453"/>
      <c r="E4" s="453"/>
      <c r="F4" s="453"/>
      <c r="G4" s="453"/>
      <c r="H4" s="453"/>
      <c r="I4" s="454"/>
    </row>
    <row r="5" spans="1:9" x14ac:dyDescent="0.25">
      <c r="A5" s="455"/>
      <c r="B5" s="456"/>
      <c r="C5" s="456"/>
      <c r="D5" s="456"/>
      <c r="E5" s="456"/>
      <c r="F5" s="456"/>
      <c r="G5" s="456"/>
      <c r="H5" s="456"/>
      <c r="I5" s="457"/>
    </row>
    <row r="6" spans="1:9" x14ac:dyDescent="0.25">
      <c r="A6" s="458"/>
      <c r="B6" s="459"/>
      <c r="C6" s="459"/>
      <c r="D6" s="459"/>
      <c r="E6" s="459"/>
      <c r="F6" s="459"/>
      <c r="G6" s="459"/>
      <c r="H6" s="459"/>
      <c r="I6" s="460"/>
    </row>
    <row r="7" spans="1:9" x14ac:dyDescent="0.25">
      <c r="A7" s="93"/>
      <c r="B7" s="93"/>
      <c r="C7" s="93"/>
      <c r="D7" s="93"/>
      <c r="E7" s="93"/>
      <c r="F7" s="93"/>
      <c r="G7" s="93"/>
      <c r="H7" s="93"/>
      <c r="I7" s="93"/>
    </row>
    <row r="8" spans="1:9" x14ac:dyDescent="0.25">
      <c r="A8" t="s">
        <v>461</v>
      </c>
    </row>
    <row r="9" spans="1:9" x14ac:dyDescent="0.25">
      <c r="A9" s="452"/>
      <c r="B9" s="453"/>
      <c r="C9" s="453"/>
      <c r="D9" s="453"/>
      <c r="E9" s="453"/>
      <c r="F9" s="453"/>
      <c r="G9" s="453"/>
      <c r="H9" s="453"/>
      <c r="I9" s="454"/>
    </row>
    <row r="10" spans="1:9" x14ac:dyDescent="0.25">
      <c r="A10" s="455"/>
      <c r="B10" s="456"/>
      <c r="C10" s="456"/>
      <c r="D10" s="456"/>
      <c r="E10" s="456"/>
      <c r="F10" s="456"/>
      <c r="G10" s="456"/>
      <c r="H10" s="456"/>
      <c r="I10" s="457"/>
    </row>
    <row r="11" spans="1:9" x14ac:dyDescent="0.25">
      <c r="A11" s="458"/>
      <c r="B11" s="459"/>
      <c r="C11" s="459"/>
      <c r="D11" s="459"/>
      <c r="E11" s="459"/>
      <c r="F11" s="459"/>
      <c r="G11" s="459"/>
      <c r="H11" s="459"/>
      <c r="I11" s="460"/>
    </row>
    <row r="13" spans="1:9" x14ac:dyDescent="0.25">
      <c r="A13" s="155" t="s">
        <v>462</v>
      </c>
      <c r="B13" s="155"/>
    </row>
    <row r="14" spans="1:9" x14ac:dyDescent="0.25">
      <c r="A14" t="s">
        <v>999</v>
      </c>
    </row>
    <row r="15" spans="1:9" x14ac:dyDescent="0.25">
      <c r="A15" s="452"/>
      <c r="B15" s="453"/>
      <c r="C15" s="453"/>
      <c r="D15" s="453"/>
      <c r="E15" s="453"/>
      <c r="F15" s="453"/>
      <c r="G15" s="453"/>
      <c r="H15" s="453"/>
      <c r="I15" s="454"/>
    </row>
    <row r="16" spans="1:9" x14ac:dyDescent="0.25">
      <c r="A16" s="455"/>
      <c r="B16" s="456"/>
      <c r="C16" s="456"/>
      <c r="D16" s="456"/>
      <c r="E16" s="456"/>
      <c r="F16" s="456"/>
      <c r="G16" s="456"/>
      <c r="H16" s="456"/>
      <c r="I16" s="457"/>
    </row>
    <row r="17" spans="1:9" x14ac:dyDescent="0.25">
      <c r="A17" s="458"/>
      <c r="B17" s="459"/>
      <c r="C17" s="459"/>
      <c r="D17" s="459"/>
      <c r="E17" s="459"/>
      <c r="F17" s="459"/>
      <c r="G17" s="459"/>
      <c r="H17" s="459"/>
      <c r="I17" s="460"/>
    </row>
    <row r="19" spans="1:9" x14ac:dyDescent="0.25">
      <c r="A19" t="s">
        <v>463</v>
      </c>
    </row>
    <row r="20" spans="1:9" x14ac:dyDescent="0.25">
      <c r="A20" s="452"/>
      <c r="B20" s="453"/>
      <c r="C20" s="453"/>
      <c r="D20" s="453"/>
      <c r="E20" s="453"/>
      <c r="F20" s="453"/>
      <c r="G20" s="453"/>
      <c r="H20" s="453"/>
      <c r="I20" s="454"/>
    </row>
    <row r="21" spans="1:9" x14ac:dyDescent="0.25">
      <c r="A21" s="455"/>
      <c r="B21" s="456"/>
      <c r="C21" s="456"/>
      <c r="D21" s="456"/>
      <c r="E21" s="456"/>
      <c r="F21" s="456"/>
      <c r="G21" s="456"/>
      <c r="H21" s="456"/>
      <c r="I21" s="457"/>
    </row>
    <row r="22" spans="1:9" x14ac:dyDescent="0.25">
      <c r="A22" s="458"/>
      <c r="B22" s="459"/>
      <c r="C22" s="459"/>
      <c r="D22" s="459"/>
      <c r="E22" s="459"/>
      <c r="F22" s="459"/>
      <c r="G22" s="459"/>
      <c r="H22" s="459"/>
      <c r="I22" s="460"/>
    </row>
    <row r="24" spans="1:9" x14ac:dyDescent="0.25">
      <c r="A24" t="s">
        <v>1195</v>
      </c>
    </row>
    <row r="25" spans="1:9" x14ac:dyDescent="0.25">
      <c r="A25" s="452"/>
      <c r="B25" s="453"/>
      <c r="C25" s="453"/>
      <c r="D25" s="453"/>
      <c r="E25" s="453"/>
      <c r="F25" s="453"/>
      <c r="G25" s="453"/>
      <c r="H25" s="453"/>
      <c r="I25" s="454"/>
    </row>
    <row r="26" spans="1:9" x14ac:dyDescent="0.25">
      <c r="A26" s="455"/>
      <c r="B26" s="456"/>
      <c r="C26" s="456"/>
      <c r="D26" s="456"/>
      <c r="E26" s="456"/>
      <c r="F26" s="456"/>
      <c r="G26" s="456"/>
      <c r="H26" s="456"/>
      <c r="I26" s="457"/>
    </row>
    <row r="27" spans="1:9" x14ac:dyDescent="0.25">
      <c r="A27" s="458"/>
      <c r="B27" s="459"/>
      <c r="C27" s="459"/>
      <c r="D27" s="459"/>
      <c r="E27" s="459"/>
      <c r="F27" s="459"/>
      <c r="G27" s="459"/>
      <c r="H27" s="459"/>
      <c r="I27" s="460"/>
    </row>
    <row r="29" spans="1:9" x14ac:dyDescent="0.25">
      <c r="A29" t="s">
        <v>998</v>
      </c>
    </row>
    <row r="30" spans="1:9" x14ac:dyDescent="0.25">
      <c r="A30" s="452"/>
      <c r="B30" s="453"/>
      <c r="C30" s="453"/>
      <c r="D30" s="453"/>
      <c r="E30" s="453"/>
      <c r="F30" s="453"/>
      <c r="G30" s="453"/>
      <c r="H30" s="453"/>
      <c r="I30" s="454"/>
    </row>
    <row r="31" spans="1:9" x14ac:dyDescent="0.25">
      <c r="A31" s="455"/>
      <c r="B31" s="456"/>
      <c r="C31" s="456"/>
      <c r="D31" s="456"/>
      <c r="E31" s="456"/>
      <c r="F31" s="456"/>
      <c r="G31" s="456"/>
      <c r="H31" s="456"/>
      <c r="I31" s="457"/>
    </row>
    <row r="32" spans="1:9" x14ac:dyDescent="0.25">
      <c r="A32" s="458"/>
      <c r="B32" s="459"/>
      <c r="C32" s="459"/>
      <c r="D32" s="459"/>
      <c r="E32" s="459"/>
      <c r="F32" s="459"/>
      <c r="G32" s="459"/>
      <c r="H32" s="459"/>
      <c r="I32" s="460"/>
    </row>
    <row r="34" spans="1:9" x14ac:dyDescent="0.25">
      <c r="A34" t="s">
        <v>464</v>
      </c>
    </row>
    <row r="35" spans="1:9" x14ac:dyDescent="0.25">
      <c r="A35" s="452"/>
      <c r="B35" s="453"/>
      <c r="C35" s="453"/>
      <c r="D35" s="453"/>
      <c r="E35" s="453"/>
      <c r="F35" s="453"/>
      <c r="G35" s="453"/>
      <c r="H35" s="453"/>
      <c r="I35" s="454"/>
    </row>
    <row r="36" spans="1:9" x14ac:dyDescent="0.25">
      <c r="A36" s="455"/>
      <c r="B36" s="456"/>
      <c r="C36" s="456"/>
      <c r="D36" s="456"/>
      <c r="E36" s="456"/>
      <c r="F36" s="456"/>
      <c r="G36" s="456"/>
      <c r="H36" s="456"/>
      <c r="I36" s="457"/>
    </row>
    <row r="37" spans="1:9" x14ac:dyDescent="0.25">
      <c r="A37" s="458"/>
      <c r="B37" s="459"/>
      <c r="C37" s="459"/>
      <c r="D37" s="459"/>
      <c r="E37" s="459"/>
      <c r="F37" s="459"/>
      <c r="G37" s="459"/>
      <c r="H37" s="459"/>
      <c r="I37" s="460"/>
    </row>
    <row r="39" spans="1:9" x14ac:dyDescent="0.25">
      <c r="A39" t="s">
        <v>465</v>
      </c>
    </row>
    <row r="40" spans="1:9" x14ac:dyDescent="0.25">
      <c r="A40" t="s">
        <v>466</v>
      </c>
    </row>
    <row r="41" spans="1:9" x14ac:dyDescent="0.25">
      <c r="A41" s="452"/>
      <c r="B41" s="453"/>
      <c r="C41" s="453"/>
      <c r="D41" s="453"/>
      <c r="E41" s="453"/>
      <c r="F41" s="453"/>
      <c r="G41" s="453"/>
      <c r="H41" s="453"/>
      <c r="I41" s="454"/>
    </row>
    <row r="42" spans="1:9" x14ac:dyDescent="0.25">
      <c r="A42" s="455"/>
      <c r="B42" s="456"/>
      <c r="C42" s="456"/>
      <c r="D42" s="456"/>
      <c r="E42" s="456"/>
      <c r="F42" s="456"/>
      <c r="G42" s="456"/>
      <c r="H42" s="456"/>
      <c r="I42" s="457"/>
    </row>
    <row r="43" spans="1:9" x14ac:dyDescent="0.25">
      <c r="A43" s="458"/>
      <c r="B43" s="459"/>
      <c r="C43" s="459"/>
      <c r="D43" s="459"/>
      <c r="E43" s="459"/>
      <c r="F43" s="459"/>
      <c r="G43" s="459"/>
      <c r="H43" s="459"/>
      <c r="I43" s="460"/>
    </row>
  </sheetData>
  <sheetProtection algorithmName="SHA-512" hashValue="a4szQ/XJcZkJysRab2DTOzFPdJDKfJl3tBqncHSBW7w8uuMcB3/MLOiM+xUduzBTxB8BFayLaa73Tx2I3rbPSQ==" saltValue="W06y+nR0BkPHbUaB6S6zVw==" spinCount="100000" sheet="1" objects="1" scenarios="1"/>
  <mergeCells count="9">
    <mergeCell ref="A41:I43"/>
    <mergeCell ref="A1:I1"/>
    <mergeCell ref="A4:I6"/>
    <mergeCell ref="A15:I17"/>
    <mergeCell ref="A25:I27"/>
    <mergeCell ref="A30:I32"/>
    <mergeCell ref="A35:I37"/>
    <mergeCell ref="A9:I11"/>
    <mergeCell ref="A20:I2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2"/>
  <sheetViews>
    <sheetView workbookViewId="0">
      <selection activeCell="A24" sqref="A24"/>
    </sheetView>
  </sheetViews>
  <sheetFormatPr defaultRowHeight="15" x14ac:dyDescent="0.25"/>
  <cols>
    <col min="8" max="8" width="28.85546875" customWidth="1"/>
    <col min="9" max="9" width="12.140625" customWidth="1"/>
    <col min="10" max="10" width="11.7109375" customWidth="1"/>
    <col min="11" max="11" width="11.140625" customWidth="1"/>
    <col min="12" max="12" width="13.28515625" customWidth="1"/>
    <col min="13" max="13" width="24.140625" customWidth="1"/>
  </cols>
  <sheetData>
    <row r="1" spans="1:13" x14ac:dyDescent="0.25">
      <c r="A1" t="s">
        <v>517</v>
      </c>
      <c r="H1" t="s">
        <v>1041</v>
      </c>
    </row>
    <row r="2" spans="1:13" x14ac:dyDescent="0.25">
      <c r="A2" t="s">
        <v>106</v>
      </c>
      <c r="I2" t="s">
        <v>1042</v>
      </c>
      <c r="K2" t="s">
        <v>1043</v>
      </c>
      <c r="M2" t="s">
        <v>1044</v>
      </c>
    </row>
    <row r="3" spans="1:13" x14ac:dyDescent="0.25">
      <c r="A3" t="s">
        <v>107</v>
      </c>
      <c r="H3" t="s">
        <v>1045</v>
      </c>
      <c r="I3" t="s">
        <v>1124</v>
      </c>
      <c r="J3" t="s">
        <v>1125</v>
      </c>
      <c r="K3" t="s">
        <v>1126</v>
      </c>
      <c r="L3" t="s">
        <v>1127</v>
      </c>
      <c r="M3" t="s">
        <v>1128</v>
      </c>
    </row>
    <row r="5" spans="1:13" x14ac:dyDescent="0.25">
      <c r="H5" t="s">
        <v>1046</v>
      </c>
      <c r="I5">
        <v>10</v>
      </c>
      <c r="J5">
        <v>0.18</v>
      </c>
      <c r="K5">
        <v>5</v>
      </c>
      <c r="L5">
        <v>0.9</v>
      </c>
      <c r="M5">
        <v>20</v>
      </c>
    </row>
    <row r="6" spans="1:13" x14ac:dyDescent="0.25">
      <c r="H6" t="s">
        <v>1047</v>
      </c>
      <c r="I6">
        <v>5</v>
      </c>
      <c r="J6">
        <v>0.06</v>
      </c>
      <c r="K6">
        <v>2.5</v>
      </c>
      <c r="L6">
        <v>0.3</v>
      </c>
      <c r="M6">
        <v>150</v>
      </c>
    </row>
    <row r="7" spans="1:13" x14ac:dyDescent="0.25">
      <c r="H7" t="s">
        <v>1048</v>
      </c>
      <c r="I7">
        <v>5</v>
      </c>
      <c r="J7">
        <v>0.06</v>
      </c>
      <c r="K7">
        <v>2.5</v>
      </c>
      <c r="L7">
        <v>0.3</v>
      </c>
      <c r="M7">
        <v>5</v>
      </c>
    </row>
    <row r="8" spans="1:13" x14ac:dyDescent="0.25">
      <c r="A8" s="99" t="s">
        <v>5</v>
      </c>
      <c r="H8" t="s">
        <v>1049</v>
      </c>
      <c r="I8">
        <v>7.5</v>
      </c>
      <c r="J8">
        <v>0.06</v>
      </c>
      <c r="K8">
        <v>3.8</v>
      </c>
      <c r="L8">
        <v>0.3</v>
      </c>
      <c r="M8">
        <v>15</v>
      </c>
    </row>
    <row r="9" spans="1:13" x14ac:dyDescent="0.25">
      <c r="A9" s="99" t="s">
        <v>30</v>
      </c>
      <c r="H9" t="s">
        <v>1050</v>
      </c>
      <c r="I9">
        <v>7.5</v>
      </c>
      <c r="J9">
        <v>0.06</v>
      </c>
      <c r="K9">
        <v>3.8</v>
      </c>
      <c r="L9">
        <v>0.3</v>
      </c>
      <c r="M9">
        <v>25</v>
      </c>
    </row>
    <row r="10" spans="1:13" x14ac:dyDescent="0.25">
      <c r="A10" s="99" t="s">
        <v>29</v>
      </c>
      <c r="H10" t="s">
        <v>1051</v>
      </c>
      <c r="I10">
        <v>5</v>
      </c>
      <c r="J10">
        <v>0.06</v>
      </c>
      <c r="K10">
        <v>2.5</v>
      </c>
      <c r="L10">
        <v>0.3</v>
      </c>
      <c r="M10">
        <v>20</v>
      </c>
    </row>
    <row r="11" spans="1:13" x14ac:dyDescent="0.25">
      <c r="A11" s="99" t="s">
        <v>7</v>
      </c>
      <c r="H11" t="s">
        <v>1052</v>
      </c>
      <c r="I11">
        <v>7.5</v>
      </c>
      <c r="J11">
        <v>0.18</v>
      </c>
      <c r="K11">
        <v>3.8</v>
      </c>
      <c r="L11">
        <v>0.9</v>
      </c>
      <c r="M11">
        <v>100</v>
      </c>
    </row>
    <row r="12" spans="1:13" x14ac:dyDescent="0.25">
      <c r="A12" s="99" t="s">
        <v>1025</v>
      </c>
      <c r="H12" t="s">
        <v>1053</v>
      </c>
      <c r="I12">
        <v>20</v>
      </c>
      <c r="J12">
        <v>0.12</v>
      </c>
      <c r="K12">
        <v>10</v>
      </c>
      <c r="L12">
        <v>0.6</v>
      </c>
      <c r="M12">
        <v>25</v>
      </c>
    </row>
    <row r="13" spans="1:13" x14ac:dyDescent="0.25">
      <c r="A13" s="99" t="s">
        <v>31</v>
      </c>
      <c r="H13" t="s">
        <v>1054</v>
      </c>
      <c r="I13">
        <v>5</v>
      </c>
      <c r="J13">
        <v>0.06</v>
      </c>
      <c r="K13">
        <v>2.5</v>
      </c>
      <c r="L13">
        <v>0.3</v>
      </c>
      <c r="M13">
        <v>10</v>
      </c>
    </row>
    <row r="14" spans="1:13" x14ac:dyDescent="0.25">
      <c r="H14" t="s">
        <v>1055</v>
      </c>
      <c r="I14">
        <v>7.5</v>
      </c>
      <c r="J14">
        <v>0.06</v>
      </c>
      <c r="K14">
        <v>3.8</v>
      </c>
      <c r="L14">
        <v>0.3</v>
      </c>
      <c r="M14">
        <v>50</v>
      </c>
    </row>
    <row r="15" spans="1:13" x14ac:dyDescent="0.25">
      <c r="H15" t="s">
        <v>1056</v>
      </c>
      <c r="I15">
        <v>10</v>
      </c>
      <c r="J15">
        <v>0.12</v>
      </c>
      <c r="K15">
        <v>5</v>
      </c>
      <c r="L15">
        <v>0.6</v>
      </c>
      <c r="M15">
        <v>40</v>
      </c>
    </row>
    <row r="16" spans="1:13" x14ac:dyDescent="0.25">
      <c r="A16" s="99" t="s">
        <v>4</v>
      </c>
      <c r="H16" t="s">
        <v>1057</v>
      </c>
      <c r="I16">
        <v>5</v>
      </c>
      <c r="J16">
        <v>0.06</v>
      </c>
      <c r="K16">
        <v>2.5</v>
      </c>
      <c r="L16">
        <v>0.3</v>
      </c>
      <c r="M16">
        <v>50</v>
      </c>
    </row>
    <row r="17" spans="1:13" x14ac:dyDescent="0.25">
      <c r="A17" s="99" t="s">
        <v>3</v>
      </c>
      <c r="H17" t="s">
        <v>1058</v>
      </c>
      <c r="I17">
        <v>5</v>
      </c>
      <c r="J17">
        <v>0.12</v>
      </c>
      <c r="K17">
        <v>2.5</v>
      </c>
      <c r="L17">
        <v>0.6</v>
      </c>
      <c r="M17">
        <v>50</v>
      </c>
    </row>
    <row r="18" spans="1:13" x14ac:dyDescent="0.25">
      <c r="H18" t="s">
        <v>1059</v>
      </c>
      <c r="I18">
        <v>7.5</v>
      </c>
      <c r="J18">
        <v>0.18</v>
      </c>
      <c r="K18">
        <v>3.8</v>
      </c>
      <c r="L18">
        <v>0.9</v>
      </c>
      <c r="M18">
        <v>100</v>
      </c>
    </row>
    <row r="19" spans="1:13" x14ac:dyDescent="0.25">
      <c r="H19" t="s">
        <v>1060</v>
      </c>
      <c r="I19">
        <v>5</v>
      </c>
      <c r="J19">
        <v>0.12</v>
      </c>
      <c r="K19">
        <v>2.5</v>
      </c>
      <c r="L19">
        <v>0.6</v>
      </c>
      <c r="M19">
        <v>25</v>
      </c>
    </row>
    <row r="20" spans="1:13" x14ac:dyDescent="0.25">
      <c r="A20" t="s">
        <v>521</v>
      </c>
      <c r="H20" t="s">
        <v>1061</v>
      </c>
      <c r="I20">
        <v>10</v>
      </c>
      <c r="J20">
        <v>0.12</v>
      </c>
      <c r="K20">
        <v>5</v>
      </c>
      <c r="L20">
        <v>0.6</v>
      </c>
      <c r="M20">
        <v>35</v>
      </c>
    </row>
    <row r="21" spans="1:13" x14ac:dyDescent="0.25">
      <c r="A21" t="s">
        <v>520</v>
      </c>
      <c r="H21" t="s">
        <v>1062</v>
      </c>
      <c r="I21">
        <v>10</v>
      </c>
      <c r="J21">
        <v>0.12</v>
      </c>
      <c r="K21">
        <v>5</v>
      </c>
      <c r="L21">
        <v>0.6</v>
      </c>
      <c r="M21">
        <v>25</v>
      </c>
    </row>
    <row r="22" spans="1:13" x14ac:dyDescent="0.25">
      <c r="H22" t="s">
        <v>1063</v>
      </c>
      <c r="I22">
        <v>5</v>
      </c>
      <c r="J22">
        <v>0.06</v>
      </c>
      <c r="K22">
        <v>2.5</v>
      </c>
      <c r="L22">
        <v>0.3</v>
      </c>
      <c r="M22">
        <v>20</v>
      </c>
    </row>
    <row r="23" spans="1:13" x14ac:dyDescent="0.25">
      <c r="A23" t="s">
        <v>1174</v>
      </c>
      <c r="H23" t="s">
        <v>1064</v>
      </c>
      <c r="I23">
        <v>7.5</v>
      </c>
      <c r="J23">
        <v>0.12</v>
      </c>
      <c r="K23">
        <v>3.8</v>
      </c>
      <c r="L23">
        <v>0.6</v>
      </c>
      <c r="M23">
        <v>20</v>
      </c>
    </row>
    <row r="24" spans="1:13" x14ac:dyDescent="0.25">
      <c r="A24" t="s">
        <v>507</v>
      </c>
      <c r="H24" t="s">
        <v>1065</v>
      </c>
      <c r="I24">
        <v>0</v>
      </c>
      <c r="J24">
        <v>0.06</v>
      </c>
      <c r="K24">
        <v>0</v>
      </c>
      <c r="L24">
        <v>0.3</v>
      </c>
    </row>
    <row r="25" spans="1:13" x14ac:dyDescent="0.25">
      <c r="A25" t="s">
        <v>523</v>
      </c>
      <c r="H25" t="s">
        <v>1066</v>
      </c>
      <c r="I25">
        <v>5</v>
      </c>
      <c r="J25">
        <v>0.06</v>
      </c>
      <c r="K25">
        <v>2.5</v>
      </c>
      <c r="L25">
        <v>0.3</v>
      </c>
      <c r="M25">
        <v>4</v>
      </c>
    </row>
    <row r="26" spans="1:13" x14ac:dyDescent="0.25">
      <c r="H26" t="s">
        <v>1067</v>
      </c>
      <c r="I26">
        <v>10</v>
      </c>
      <c r="J26">
        <v>0.12</v>
      </c>
      <c r="K26">
        <v>5</v>
      </c>
      <c r="L26">
        <v>0.6</v>
      </c>
      <c r="M26">
        <v>25</v>
      </c>
    </row>
    <row r="27" spans="1:13" x14ac:dyDescent="0.25">
      <c r="H27" t="s">
        <v>1068</v>
      </c>
      <c r="I27">
        <v>5</v>
      </c>
      <c r="J27">
        <v>0.06</v>
      </c>
      <c r="K27">
        <v>2.5</v>
      </c>
      <c r="L27">
        <v>0.3</v>
      </c>
      <c r="M27">
        <v>50</v>
      </c>
    </row>
    <row r="28" spans="1:13" x14ac:dyDescent="0.25">
      <c r="H28" t="s">
        <v>1069</v>
      </c>
      <c r="I28">
        <v>0</v>
      </c>
      <c r="J28">
        <v>0.06</v>
      </c>
      <c r="K28">
        <v>0</v>
      </c>
      <c r="L28">
        <v>0.3</v>
      </c>
      <c r="M28">
        <v>0</v>
      </c>
    </row>
    <row r="29" spans="1:13" x14ac:dyDescent="0.25">
      <c r="H29" t="s">
        <v>1070</v>
      </c>
      <c r="I29">
        <v>5</v>
      </c>
      <c r="J29">
        <v>0.06</v>
      </c>
      <c r="K29">
        <v>2.5</v>
      </c>
      <c r="L29">
        <v>0.3</v>
      </c>
      <c r="M29">
        <v>70</v>
      </c>
    </row>
    <row r="30" spans="1:13" x14ac:dyDescent="0.25">
      <c r="H30" t="s">
        <v>1071</v>
      </c>
      <c r="I30">
        <v>10</v>
      </c>
      <c r="J30">
        <v>0.18</v>
      </c>
      <c r="K30">
        <v>5</v>
      </c>
      <c r="L30">
        <v>0.9</v>
      </c>
      <c r="M30">
        <v>25</v>
      </c>
    </row>
    <row r="31" spans="1:13" x14ac:dyDescent="0.25">
      <c r="H31" t="s">
        <v>1072</v>
      </c>
      <c r="I31">
        <v>10</v>
      </c>
      <c r="J31">
        <v>0.18</v>
      </c>
      <c r="K31">
        <v>5</v>
      </c>
      <c r="L31">
        <v>0.9</v>
      </c>
      <c r="M31">
        <v>25</v>
      </c>
    </row>
    <row r="32" spans="1:13" x14ac:dyDescent="0.25">
      <c r="H32" t="s">
        <v>1073</v>
      </c>
      <c r="I32">
        <v>5</v>
      </c>
      <c r="J32">
        <v>0.06</v>
      </c>
      <c r="K32">
        <v>2.5</v>
      </c>
      <c r="L32">
        <v>0.3</v>
      </c>
      <c r="M32">
        <v>30</v>
      </c>
    </row>
    <row r="33" spans="8:13" x14ac:dyDescent="0.25">
      <c r="H33" t="s">
        <v>1074</v>
      </c>
      <c r="I33">
        <v>20</v>
      </c>
      <c r="J33">
        <v>0.06</v>
      </c>
      <c r="K33">
        <v>10</v>
      </c>
      <c r="L33">
        <v>0.3</v>
      </c>
      <c r="M33">
        <v>100</v>
      </c>
    </row>
    <row r="34" spans="8:13" x14ac:dyDescent="0.25">
      <c r="H34" t="s">
        <v>1075</v>
      </c>
      <c r="I34">
        <v>5</v>
      </c>
      <c r="J34">
        <v>0.06</v>
      </c>
      <c r="K34">
        <v>2.5</v>
      </c>
      <c r="L34">
        <v>0.3</v>
      </c>
      <c r="M34">
        <v>2</v>
      </c>
    </row>
    <row r="35" spans="8:13" x14ac:dyDescent="0.25">
      <c r="H35" t="s">
        <v>1076</v>
      </c>
      <c r="I35">
        <v>10</v>
      </c>
      <c r="J35">
        <v>0</v>
      </c>
      <c r="K35">
        <v>5</v>
      </c>
      <c r="L35">
        <v>0</v>
      </c>
      <c r="M35">
        <v>0</v>
      </c>
    </row>
    <row r="36" spans="8:13" x14ac:dyDescent="0.25">
      <c r="H36" t="s">
        <v>1077</v>
      </c>
      <c r="I36">
        <v>7.5</v>
      </c>
      <c r="J36">
        <v>0.18</v>
      </c>
      <c r="K36">
        <v>3.8</v>
      </c>
      <c r="L36">
        <v>0.9</v>
      </c>
      <c r="M36">
        <v>120</v>
      </c>
    </row>
    <row r="37" spans="8:13" x14ac:dyDescent="0.25">
      <c r="H37" t="s">
        <v>1078</v>
      </c>
      <c r="I37">
        <v>7.5</v>
      </c>
      <c r="J37">
        <v>0.18</v>
      </c>
      <c r="K37">
        <v>3.8</v>
      </c>
      <c r="L37">
        <v>0.9</v>
      </c>
      <c r="M37">
        <v>20</v>
      </c>
    </row>
    <row r="38" spans="8:13" x14ac:dyDescent="0.25">
      <c r="H38" t="s">
        <v>1079</v>
      </c>
      <c r="I38">
        <v>10</v>
      </c>
      <c r="J38">
        <v>0.18</v>
      </c>
      <c r="K38">
        <v>5</v>
      </c>
      <c r="L38">
        <v>0.9</v>
      </c>
      <c r="M38">
        <v>7</v>
      </c>
    </row>
    <row r="39" spans="8:13" x14ac:dyDescent="0.25">
      <c r="H39" t="s">
        <v>1080</v>
      </c>
      <c r="I39">
        <v>5</v>
      </c>
      <c r="J39">
        <v>0.06</v>
      </c>
      <c r="K39">
        <v>2.5</v>
      </c>
      <c r="L39">
        <v>0.3</v>
      </c>
      <c r="M39">
        <v>15</v>
      </c>
    </row>
    <row r="40" spans="8:13" x14ac:dyDescent="0.25">
      <c r="H40" t="s">
        <v>1081</v>
      </c>
      <c r="I40">
        <v>20</v>
      </c>
      <c r="J40">
        <v>0.18</v>
      </c>
      <c r="K40">
        <v>10</v>
      </c>
      <c r="L40">
        <v>0.9</v>
      </c>
      <c r="M40">
        <v>7</v>
      </c>
    </row>
    <row r="41" spans="8:13" x14ac:dyDescent="0.25">
      <c r="H41" t="s">
        <v>1082</v>
      </c>
      <c r="I41">
        <v>20</v>
      </c>
      <c r="J41">
        <v>0.06</v>
      </c>
      <c r="K41">
        <v>10</v>
      </c>
      <c r="L41">
        <v>0.3</v>
      </c>
      <c r="M41">
        <v>40</v>
      </c>
    </row>
    <row r="42" spans="8:13" x14ac:dyDescent="0.25">
      <c r="H42" t="s">
        <v>1083</v>
      </c>
      <c r="I42">
        <v>20</v>
      </c>
      <c r="J42">
        <v>0.06</v>
      </c>
      <c r="K42">
        <v>10</v>
      </c>
      <c r="L42">
        <v>0.3</v>
      </c>
      <c r="M42">
        <v>10</v>
      </c>
    </row>
    <row r="43" spans="8:13" x14ac:dyDescent="0.25">
      <c r="H43" t="s">
        <v>1084</v>
      </c>
      <c r="I43">
        <v>7.5</v>
      </c>
      <c r="J43">
        <v>0.12</v>
      </c>
      <c r="K43">
        <v>3.8</v>
      </c>
      <c r="L43">
        <v>0.6</v>
      </c>
      <c r="M43">
        <v>20</v>
      </c>
    </row>
    <row r="44" spans="8:13" x14ac:dyDescent="0.25">
      <c r="H44" t="s">
        <v>1085</v>
      </c>
      <c r="I44">
        <v>5</v>
      </c>
      <c r="J44">
        <v>0.12</v>
      </c>
      <c r="K44">
        <v>2.5</v>
      </c>
      <c r="L44">
        <v>0.6</v>
      </c>
      <c r="M44">
        <v>10</v>
      </c>
    </row>
    <row r="45" spans="8:13" x14ac:dyDescent="0.25">
      <c r="H45" t="s">
        <v>1086</v>
      </c>
      <c r="I45">
        <v>5</v>
      </c>
      <c r="J45">
        <v>0.12</v>
      </c>
      <c r="K45">
        <v>2.5</v>
      </c>
      <c r="L45">
        <v>0.6</v>
      </c>
      <c r="M45">
        <v>10</v>
      </c>
    </row>
    <row r="46" spans="8:13" x14ac:dyDescent="0.25">
      <c r="H46" t="s">
        <v>1087</v>
      </c>
      <c r="I46">
        <v>7.5</v>
      </c>
      <c r="J46">
        <v>0.06</v>
      </c>
      <c r="K46">
        <v>3.8</v>
      </c>
      <c r="L46">
        <v>0.3</v>
      </c>
      <c r="M46">
        <v>65</v>
      </c>
    </row>
    <row r="47" spans="8:13" x14ac:dyDescent="0.25">
      <c r="H47" t="s">
        <v>1088</v>
      </c>
      <c r="I47">
        <v>7.5</v>
      </c>
      <c r="J47">
        <v>0.06</v>
      </c>
      <c r="K47">
        <v>3.8</v>
      </c>
      <c r="L47">
        <v>0.3</v>
      </c>
      <c r="M47">
        <v>150</v>
      </c>
    </row>
    <row r="48" spans="8:13" x14ac:dyDescent="0.25">
      <c r="H48" t="s">
        <v>1089</v>
      </c>
      <c r="I48">
        <v>5</v>
      </c>
      <c r="J48">
        <v>0.06</v>
      </c>
      <c r="K48">
        <v>2.5</v>
      </c>
      <c r="L48">
        <v>0.3</v>
      </c>
      <c r="M48">
        <v>50</v>
      </c>
    </row>
    <row r="49" spans="8:13" x14ac:dyDescent="0.25">
      <c r="H49" t="s">
        <v>1090</v>
      </c>
      <c r="I49">
        <v>5</v>
      </c>
      <c r="J49">
        <v>0.12</v>
      </c>
      <c r="K49">
        <v>2.5</v>
      </c>
      <c r="L49">
        <v>0.6</v>
      </c>
      <c r="M49">
        <v>10</v>
      </c>
    </row>
    <row r="50" spans="8:13" x14ac:dyDescent="0.25">
      <c r="H50" t="s">
        <v>1091</v>
      </c>
      <c r="I50">
        <v>5</v>
      </c>
      <c r="J50">
        <v>0.06</v>
      </c>
      <c r="K50">
        <v>2.5</v>
      </c>
      <c r="L50">
        <v>0.3</v>
      </c>
      <c r="M50">
        <v>150</v>
      </c>
    </row>
    <row r="51" spans="8:13" x14ac:dyDescent="0.25">
      <c r="H51" t="s">
        <v>1092</v>
      </c>
      <c r="I51">
        <v>7.5</v>
      </c>
      <c r="J51">
        <v>0.06</v>
      </c>
      <c r="K51">
        <v>3.8</v>
      </c>
      <c r="L51">
        <v>0.3</v>
      </c>
      <c r="M51">
        <v>30</v>
      </c>
    </row>
    <row r="52" spans="8:13" x14ac:dyDescent="0.25">
      <c r="H52" t="s">
        <v>1093</v>
      </c>
      <c r="I52">
        <v>5</v>
      </c>
      <c r="J52">
        <v>0.06</v>
      </c>
      <c r="K52">
        <v>2.5</v>
      </c>
      <c r="L52">
        <v>0.3</v>
      </c>
      <c r="M52">
        <v>10</v>
      </c>
    </row>
    <row r="53" spans="8:13" x14ac:dyDescent="0.25">
      <c r="H53" t="s">
        <v>1094</v>
      </c>
      <c r="I53">
        <v>7.5</v>
      </c>
      <c r="J53">
        <v>0.06</v>
      </c>
      <c r="K53">
        <v>3.8</v>
      </c>
      <c r="L53">
        <v>0.3</v>
      </c>
      <c r="M53">
        <v>40</v>
      </c>
    </row>
    <row r="54" spans="8:13" x14ac:dyDescent="0.25">
      <c r="H54" t="s">
        <v>1095</v>
      </c>
      <c r="I54">
        <v>10</v>
      </c>
      <c r="J54">
        <v>0.12</v>
      </c>
      <c r="K54">
        <v>5</v>
      </c>
      <c r="L54">
        <v>0.6</v>
      </c>
      <c r="M54">
        <v>25</v>
      </c>
    </row>
    <row r="55" spans="8:13" x14ac:dyDescent="0.25">
      <c r="H55" t="s">
        <v>1096</v>
      </c>
      <c r="I55">
        <v>5</v>
      </c>
      <c r="J55">
        <v>0.06</v>
      </c>
      <c r="K55">
        <v>2.5</v>
      </c>
      <c r="L55">
        <v>0.3</v>
      </c>
      <c r="M55">
        <v>120</v>
      </c>
    </row>
    <row r="56" spans="8:13" x14ac:dyDescent="0.25">
      <c r="H56" t="s">
        <v>1097</v>
      </c>
      <c r="I56">
        <v>7.5</v>
      </c>
      <c r="J56">
        <v>0.06</v>
      </c>
      <c r="K56">
        <v>3.8</v>
      </c>
      <c r="L56">
        <v>0.3</v>
      </c>
      <c r="M56">
        <v>100</v>
      </c>
    </row>
    <row r="57" spans="8:13" x14ac:dyDescent="0.25">
      <c r="H57" t="s">
        <v>1098</v>
      </c>
      <c r="I57">
        <v>7.5</v>
      </c>
      <c r="J57">
        <v>0.12</v>
      </c>
      <c r="K57">
        <v>3.8</v>
      </c>
      <c r="L57">
        <v>0.6</v>
      </c>
      <c r="M57">
        <v>40</v>
      </c>
    </row>
    <row r="58" spans="8:13" x14ac:dyDescent="0.25">
      <c r="H58" t="s">
        <v>1099</v>
      </c>
      <c r="I58">
        <v>7.5</v>
      </c>
      <c r="J58">
        <v>0.06</v>
      </c>
      <c r="K58">
        <v>3.8</v>
      </c>
      <c r="L58">
        <v>0.3</v>
      </c>
      <c r="M58">
        <v>40</v>
      </c>
    </row>
    <row r="59" spans="8:13" x14ac:dyDescent="0.25">
      <c r="H59" t="s">
        <v>1100</v>
      </c>
      <c r="I59">
        <v>10</v>
      </c>
      <c r="J59">
        <v>0.06</v>
      </c>
      <c r="K59">
        <v>5</v>
      </c>
      <c r="L59">
        <v>0.3</v>
      </c>
      <c r="M59">
        <v>35</v>
      </c>
    </row>
    <row r="60" spans="8:13" x14ac:dyDescent="0.25">
      <c r="H60" t="s">
        <v>1101</v>
      </c>
      <c r="I60">
        <v>5</v>
      </c>
      <c r="J60">
        <v>0.12</v>
      </c>
      <c r="K60">
        <v>2.5</v>
      </c>
      <c r="L60">
        <v>0.6</v>
      </c>
      <c r="M60">
        <v>2</v>
      </c>
    </row>
    <row r="61" spans="8:13" x14ac:dyDescent="0.25">
      <c r="H61" t="s">
        <v>1102</v>
      </c>
      <c r="I61">
        <v>5</v>
      </c>
      <c r="J61">
        <v>0.06</v>
      </c>
      <c r="K61">
        <v>2.5</v>
      </c>
      <c r="L61">
        <v>0.3</v>
      </c>
      <c r="M61">
        <v>2</v>
      </c>
    </row>
    <row r="62" spans="8:13" x14ac:dyDescent="0.25">
      <c r="H62" t="s">
        <v>1103</v>
      </c>
      <c r="I62">
        <v>5</v>
      </c>
      <c r="J62">
        <v>0.06</v>
      </c>
      <c r="K62">
        <v>2.5</v>
      </c>
      <c r="L62">
        <v>0.3</v>
      </c>
      <c r="M62">
        <v>5</v>
      </c>
    </row>
    <row r="63" spans="8:13" x14ac:dyDescent="0.25">
      <c r="H63" t="s">
        <v>1104</v>
      </c>
      <c r="I63">
        <v>7.5</v>
      </c>
      <c r="J63">
        <v>0.18</v>
      </c>
      <c r="K63">
        <v>3.8</v>
      </c>
      <c r="L63">
        <v>0.9</v>
      </c>
      <c r="M63">
        <v>10</v>
      </c>
    </row>
    <row r="64" spans="8:13" x14ac:dyDescent="0.25">
      <c r="H64" t="s">
        <v>1105</v>
      </c>
      <c r="I64">
        <v>5</v>
      </c>
      <c r="J64">
        <v>0.18</v>
      </c>
      <c r="K64">
        <v>2.5</v>
      </c>
      <c r="L64">
        <v>0.9</v>
      </c>
      <c r="M64">
        <v>10</v>
      </c>
    </row>
    <row r="65" spans="8:13" x14ac:dyDescent="0.25">
      <c r="H65" t="s">
        <v>1106</v>
      </c>
      <c r="I65">
        <v>5</v>
      </c>
      <c r="J65">
        <v>0.12</v>
      </c>
      <c r="K65">
        <v>2.5</v>
      </c>
      <c r="L65">
        <v>0.6</v>
      </c>
      <c r="M65">
        <v>10</v>
      </c>
    </row>
    <row r="66" spans="8:13" x14ac:dyDescent="0.25">
      <c r="H66" t="s">
        <v>1107</v>
      </c>
      <c r="I66">
        <v>5</v>
      </c>
      <c r="J66">
        <v>0.06</v>
      </c>
      <c r="K66">
        <v>2.5</v>
      </c>
      <c r="L66">
        <v>0.3</v>
      </c>
      <c r="M66">
        <v>120</v>
      </c>
    </row>
    <row r="67" spans="8:13" x14ac:dyDescent="0.25">
      <c r="H67" t="s">
        <v>1108</v>
      </c>
      <c r="I67">
        <v>5</v>
      </c>
      <c r="J67">
        <v>0.06</v>
      </c>
      <c r="K67">
        <v>2.5</v>
      </c>
      <c r="L67">
        <v>0.3</v>
      </c>
      <c r="M67">
        <v>30</v>
      </c>
    </row>
    <row r="68" spans="8:13" x14ac:dyDescent="0.25">
      <c r="H68" t="s">
        <v>1109</v>
      </c>
      <c r="I68">
        <v>7.5</v>
      </c>
      <c r="J68">
        <v>0.18</v>
      </c>
      <c r="K68">
        <v>3.8</v>
      </c>
      <c r="L68">
        <v>0.9</v>
      </c>
      <c r="M68">
        <v>70</v>
      </c>
    </row>
    <row r="69" spans="8:13" x14ac:dyDescent="0.25">
      <c r="H69" t="s">
        <v>1110</v>
      </c>
      <c r="I69">
        <v>7.5</v>
      </c>
      <c r="J69">
        <v>0.12</v>
      </c>
      <c r="K69">
        <v>3.8</v>
      </c>
      <c r="L69">
        <v>0.6</v>
      </c>
      <c r="M69">
        <v>15</v>
      </c>
    </row>
    <row r="70" spans="8:13" x14ac:dyDescent="0.25">
      <c r="H70" t="s">
        <v>1111</v>
      </c>
      <c r="I70">
        <v>10</v>
      </c>
      <c r="J70">
        <v>0.18</v>
      </c>
      <c r="K70">
        <v>5</v>
      </c>
      <c r="L70">
        <v>0.9</v>
      </c>
      <c r="M70">
        <v>25</v>
      </c>
    </row>
    <row r="71" spans="8:13" x14ac:dyDescent="0.25">
      <c r="H71" t="s">
        <v>1112</v>
      </c>
      <c r="I71">
        <v>10</v>
      </c>
      <c r="J71">
        <v>0.12</v>
      </c>
      <c r="K71">
        <v>5</v>
      </c>
      <c r="L71">
        <v>0.6</v>
      </c>
      <c r="M71">
        <v>2</v>
      </c>
    </row>
    <row r="72" spans="8:13" x14ac:dyDescent="0.25">
      <c r="H72" t="s">
        <v>1113</v>
      </c>
      <c r="I72">
        <v>7.5</v>
      </c>
      <c r="J72">
        <v>0.12</v>
      </c>
      <c r="K72">
        <v>3.8</v>
      </c>
      <c r="L72">
        <v>0.6</v>
      </c>
      <c r="M72">
        <v>7</v>
      </c>
    </row>
    <row r="73" spans="8:13" x14ac:dyDescent="0.25">
      <c r="H73" t="s">
        <v>1114</v>
      </c>
      <c r="I73">
        <v>7.5</v>
      </c>
      <c r="J73">
        <v>0.06</v>
      </c>
      <c r="K73">
        <v>3.8</v>
      </c>
      <c r="L73">
        <v>0.3</v>
      </c>
      <c r="M73">
        <v>150</v>
      </c>
    </row>
    <row r="74" spans="8:13" x14ac:dyDescent="0.25">
      <c r="H74" t="s">
        <v>1115</v>
      </c>
      <c r="I74">
        <v>10</v>
      </c>
      <c r="J74">
        <v>0.06</v>
      </c>
      <c r="K74">
        <v>5</v>
      </c>
      <c r="L74">
        <v>0.3</v>
      </c>
      <c r="M74">
        <v>70</v>
      </c>
    </row>
    <row r="75" spans="8:13" x14ac:dyDescent="0.25">
      <c r="H75" t="s">
        <v>1116</v>
      </c>
      <c r="I75">
        <v>7.5</v>
      </c>
      <c r="J75">
        <v>0.06</v>
      </c>
      <c r="K75">
        <v>3.8</v>
      </c>
      <c r="L75">
        <v>0.3</v>
      </c>
      <c r="M75">
        <v>8</v>
      </c>
    </row>
    <row r="76" spans="8:13" x14ac:dyDescent="0.25">
      <c r="H76" t="s">
        <v>1117</v>
      </c>
      <c r="I76">
        <v>0</v>
      </c>
      <c r="J76">
        <v>0.48</v>
      </c>
      <c r="K76">
        <v>0</v>
      </c>
      <c r="L76">
        <v>2.4</v>
      </c>
      <c r="M76">
        <v>0</v>
      </c>
    </row>
    <row r="77" spans="8:13" x14ac:dyDescent="0.25">
      <c r="H77" t="s">
        <v>1118</v>
      </c>
      <c r="I77">
        <v>0</v>
      </c>
      <c r="J77">
        <v>0</v>
      </c>
      <c r="K77">
        <v>0</v>
      </c>
      <c r="L77">
        <v>0</v>
      </c>
      <c r="M77">
        <v>0</v>
      </c>
    </row>
    <row r="78" spans="8:13" x14ac:dyDescent="0.25">
      <c r="H78" t="s">
        <v>1119</v>
      </c>
      <c r="I78">
        <v>5</v>
      </c>
      <c r="J78">
        <v>0.06</v>
      </c>
      <c r="K78">
        <v>2.5</v>
      </c>
      <c r="L78">
        <v>0.3</v>
      </c>
      <c r="M78">
        <v>60</v>
      </c>
    </row>
    <row r="79" spans="8:13" x14ac:dyDescent="0.25">
      <c r="H79" t="s">
        <v>1120</v>
      </c>
      <c r="I79">
        <v>7.5</v>
      </c>
      <c r="J79">
        <v>0.06</v>
      </c>
      <c r="K79">
        <v>3.8</v>
      </c>
      <c r="L79">
        <v>0.3</v>
      </c>
      <c r="M79">
        <v>100</v>
      </c>
    </row>
    <row r="80" spans="8:13" x14ac:dyDescent="0.25">
      <c r="H80" t="s">
        <v>1121</v>
      </c>
      <c r="I80">
        <v>10</v>
      </c>
      <c r="J80">
        <v>0.18</v>
      </c>
      <c r="K80">
        <v>5</v>
      </c>
      <c r="L80">
        <v>0.9</v>
      </c>
      <c r="M80">
        <v>25</v>
      </c>
    </row>
    <row r="81" spans="8:13" x14ac:dyDescent="0.25">
      <c r="H81" t="s">
        <v>1122</v>
      </c>
      <c r="I81">
        <v>10</v>
      </c>
      <c r="J81">
        <v>0.06</v>
      </c>
      <c r="K81">
        <v>5</v>
      </c>
      <c r="L81">
        <v>0.3</v>
      </c>
      <c r="M81">
        <v>0</v>
      </c>
    </row>
    <row r="82" spans="8:13" x14ac:dyDescent="0.25">
      <c r="H82" t="s">
        <v>1123</v>
      </c>
      <c r="I82">
        <v>10</v>
      </c>
      <c r="J82">
        <v>0.18</v>
      </c>
      <c r="K82">
        <v>5</v>
      </c>
      <c r="L82">
        <v>0.9</v>
      </c>
      <c r="M82">
        <v>20</v>
      </c>
    </row>
  </sheetData>
  <sheetProtection algorithmName="SHA-512" hashValue="3rvHfgpZ6tl0Ga0F7PdK1FLWUzXSflcmW0c+qnTjfeW5xZn566R5l35tsM0Vm8naTE1yev6gaWZhcVLcKTxNkA==" saltValue="4YCNMna67p2f/fV6KJkvJg==" spinCount="100000"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3:J42"/>
  <sheetViews>
    <sheetView workbookViewId="0">
      <selection activeCell="F4" sqref="F4"/>
    </sheetView>
  </sheetViews>
  <sheetFormatPr defaultRowHeight="15" x14ac:dyDescent="0.25"/>
  <cols>
    <col min="2" max="2" width="10" bestFit="1" customWidth="1"/>
    <col min="8" max="8" width="12.85546875" customWidth="1"/>
    <col min="9" max="9" width="11.140625" customWidth="1"/>
  </cols>
  <sheetData>
    <row r="3" spans="1:10" x14ac:dyDescent="0.25">
      <c r="A3" t="s">
        <v>26</v>
      </c>
      <c r="D3" t="s">
        <v>3</v>
      </c>
      <c r="E3" t="s">
        <v>22</v>
      </c>
    </row>
    <row r="4" spans="1:10" x14ac:dyDescent="0.25">
      <c r="A4" t="s">
        <v>25</v>
      </c>
      <c r="D4" t="s">
        <v>4</v>
      </c>
      <c r="E4" t="s">
        <v>21</v>
      </c>
    </row>
    <row r="5" spans="1:10" x14ac:dyDescent="0.25">
      <c r="A5" t="s">
        <v>24</v>
      </c>
      <c r="E5" t="s">
        <v>20</v>
      </c>
    </row>
    <row r="7" spans="1:10" ht="15.75" thickBot="1" x14ac:dyDescent="0.3"/>
    <row r="8" spans="1:10" ht="16.5" thickBot="1" x14ac:dyDescent="0.3">
      <c r="A8" s="30"/>
      <c r="B8" s="507" t="s">
        <v>8</v>
      </c>
      <c r="C8" s="508"/>
      <c r="D8" s="509"/>
      <c r="E8" s="29"/>
      <c r="G8" s="510" t="s">
        <v>9</v>
      </c>
      <c r="H8" s="511"/>
      <c r="I8" s="512"/>
      <c r="J8" s="29"/>
    </row>
    <row r="9" spans="1:10" ht="39.75" thickBot="1" x14ac:dyDescent="0.3">
      <c r="A9" s="27" t="s">
        <v>10</v>
      </c>
      <c r="B9" s="26" t="s">
        <v>11</v>
      </c>
      <c r="C9" s="25" t="s">
        <v>12</v>
      </c>
      <c r="D9" s="24" t="s">
        <v>13</v>
      </c>
      <c r="E9" s="29"/>
      <c r="F9" s="23" t="s">
        <v>10</v>
      </c>
      <c r="G9" s="22" t="s">
        <v>14</v>
      </c>
      <c r="H9" s="21" t="s">
        <v>15</v>
      </c>
      <c r="I9" s="20" t="s">
        <v>16</v>
      </c>
      <c r="J9" s="29"/>
    </row>
    <row r="10" spans="1:10" ht="13.5" customHeight="1" thickBot="1" x14ac:dyDescent="0.3">
      <c r="A10" s="19" t="s">
        <v>17</v>
      </c>
      <c r="B10" s="18">
        <v>1</v>
      </c>
      <c r="C10" s="17">
        <v>3</v>
      </c>
      <c r="D10" s="16">
        <v>4</v>
      </c>
      <c r="E10" s="29"/>
      <c r="F10" s="15" t="s">
        <v>17</v>
      </c>
      <c r="G10" s="14">
        <v>1</v>
      </c>
      <c r="H10" s="13">
        <v>2</v>
      </c>
      <c r="I10" s="12">
        <v>3</v>
      </c>
      <c r="J10" s="29"/>
    </row>
    <row r="11" spans="1:10" hidden="1" x14ac:dyDescent="0.25">
      <c r="A11" s="31">
        <v>1</v>
      </c>
      <c r="B11" s="11">
        <v>19.005563625554753</v>
      </c>
      <c r="C11" s="10">
        <v>7.0070548400352815</v>
      </c>
      <c r="D11" s="9">
        <v>4.0880914464083444</v>
      </c>
      <c r="E11" s="29"/>
      <c r="F11" s="8">
        <v>1</v>
      </c>
      <c r="G11" s="36">
        <v>0.51068565327379623</v>
      </c>
      <c r="H11" s="37">
        <v>0.39888476506155046</v>
      </c>
      <c r="I11" s="38">
        <v>0.39797286307622698</v>
      </c>
      <c r="J11" s="29"/>
    </row>
    <row r="12" spans="1:10" hidden="1" x14ac:dyDescent="0.25">
      <c r="A12" s="32">
        <v>2</v>
      </c>
      <c r="B12" s="7">
        <v>36.755894178258288</v>
      </c>
      <c r="C12" s="28">
        <v>13.613842452675955</v>
      </c>
      <c r="D12" s="6">
        <v>7.8657997517979918</v>
      </c>
      <c r="E12" s="29"/>
      <c r="F12" s="8">
        <v>2</v>
      </c>
      <c r="G12" s="36">
        <v>1.0044407413472451</v>
      </c>
      <c r="H12" s="37">
        <v>0.78265189650437805</v>
      </c>
      <c r="I12" s="38">
        <v>0.78063037537334412</v>
      </c>
      <c r="J12" s="29"/>
    </row>
    <row r="13" spans="1:10" hidden="1" x14ac:dyDescent="0.25">
      <c r="A13" s="32">
        <v>3</v>
      </c>
      <c r="B13" s="7">
        <v>53.400927539467155</v>
      </c>
      <c r="C13" s="28">
        <v>19.88524262072659</v>
      </c>
      <c r="D13" s="6">
        <v>11.527961292374831</v>
      </c>
      <c r="E13" s="29"/>
      <c r="F13" s="8">
        <v>3</v>
      </c>
      <c r="G13" s="36">
        <v>1.6142346121838393</v>
      </c>
      <c r="H13" s="37">
        <v>1.1901407256113254</v>
      </c>
      <c r="I13" s="38">
        <v>1.151504481397821</v>
      </c>
      <c r="J13" s="29"/>
    </row>
    <row r="14" spans="1:10" x14ac:dyDescent="0.25">
      <c r="A14" s="32">
        <v>4</v>
      </c>
      <c r="B14" s="7">
        <v>69.40897865790474</v>
      </c>
      <c r="C14" s="28">
        <v>26.120187087216244</v>
      </c>
      <c r="D14" s="6">
        <v>15.367588999367001</v>
      </c>
      <c r="E14" s="29"/>
      <c r="F14" s="8">
        <v>4</v>
      </c>
      <c r="G14" s="36">
        <v>2.2170585825361417</v>
      </c>
      <c r="H14" s="37">
        <v>1.6102954702161181</v>
      </c>
      <c r="I14" s="38">
        <v>1.5377108321424373</v>
      </c>
      <c r="J14" s="29"/>
    </row>
    <row r="15" spans="1:10" x14ac:dyDescent="0.25">
      <c r="A15" s="32">
        <v>5</v>
      </c>
      <c r="B15" s="7">
        <v>84.739829883374625</v>
      </c>
      <c r="C15" s="28">
        <v>32.311475614435537</v>
      </c>
      <c r="D15" s="6">
        <v>19.353612258921221</v>
      </c>
      <c r="E15" s="29"/>
      <c r="F15" s="8">
        <v>5</v>
      </c>
      <c r="G15" s="36">
        <v>2.8165460081550515</v>
      </c>
      <c r="H15" s="37">
        <v>2.0406673831505868</v>
      </c>
      <c r="I15" s="38">
        <v>1.9350758859012001</v>
      </c>
      <c r="J15" s="29"/>
    </row>
    <row r="16" spans="1:10" ht="15.75" thickBot="1" x14ac:dyDescent="0.3">
      <c r="A16" s="32">
        <v>6</v>
      </c>
      <c r="B16" s="7">
        <v>99.387370012840734</v>
      </c>
      <c r="C16" s="5">
        <v>38.424350642809856</v>
      </c>
      <c r="D16" s="6">
        <v>23.418893415755804</v>
      </c>
      <c r="E16" s="29"/>
      <c r="F16" s="8">
        <v>6</v>
      </c>
      <c r="G16" s="42">
        <v>3.4046578460211014</v>
      </c>
      <c r="H16" s="37">
        <v>2.4762623174887755</v>
      </c>
      <c r="I16" s="38">
        <v>2.3400669081108303</v>
      </c>
      <c r="J16" s="29"/>
    </row>
    <row r="17" spans="1:10" ht="15.75" thickBot="1" x14ac:dyDescent="0.3">
      <c r="A17" s="32">
        <v>7</v>
      </c>
      <c r="B17" s="50">
        <v>113.0663971954985</v>
      </c>
      <c r="C17" s="51">
        <v>44.108287659484418</v>
      </c>
      <c r="D17" s="52">
        <v>27.125541039182522</v>
      </c>
      <c r="E17" s="29"/>
      <c r="F17" s="8">
        <v>7</v>
      </c>
      <c r="G17" s="47">
        <v>3.9784106831419281</v>
      </c>
      <c r="H17" s="48">
        <v>2.9006460404697152</v>
      </c>
      <c r="I17" s="49">
        <v>2.7361203340927984</v>
      </c>
      <c r="J17" s="29"/>
    </row>
    <row r="18" spans="1:10" x14ac:dyDescent="0.25">
      <c r="A18" s="32">
        <v>8</v>
      </c>
      <c r="B18" s="7">
        <v>125.86282916308704</v>
      </c>
      <c r="C18" s="4">
        <v>49.579908088341952</v>
      </c>
      <c r="D18" s="6">
        <v>30.782426604369999</v>
      </c>
      <c r="E18" s="29"/>
      <c r="F18" s="8">
        <v>8</v>
      </c>
      <c r="G18" s="43">
        <v>4.5271180043450032</v>
      </c>
      <c r="H18" s="37">
        <v>3.3092526728658371</v>
      </c>
      <c r="I18" s="38">
        <v>3.1183018282765458</v>
      </c>
      <c r="J18" s="29"/>
    </row>
    <row r="19" spans="1:10" x14ac:dyDescent="0.25">
      <c r="A19" s="32">
        <v>9</v>
      </c>
      <c r="B19" s="7">
        <v>137.94504070623512</v>
      </c>
      <c r="C19" s="28">
        <v>54.710108983075287</v>
      </c>
      <c r="D19" s="6">
        <v>34.214534805282561</v>
      </c>
      <c r="E19" s="29"/>
      <c r="F19" s="8">
        <v>9</v>
      </c>
      <c r="G19" s="36">
        <v>5.045559453307991</v>
      </c>
      <c r="H19" s="37">
        <v>3.6936130345519573</v>
      </c>
      <c r="I19" s="38">
        <v>3.4780301640643358</v>
      </c>
      <c r="J19" s="29"/>
    </row>
    <row r="20" spans="1:10" x14ac:dyDescent="0.25">
      <c r="A20" s="32">
        <v>10</v>
      </c>
      <c r="B20" s="7">
        <v>149.43082052426288</v>
      </c>
      <c r="C20" s="46">
        <v>59.626469554917037</v>
      </c>
      <c r="D20" s="6">
        <v>37.555926839555006</v>
      </c>
      <c r="E20" s="29"/>
      <c r="F20" s="8">
        <v>10</v>
      </c>
      <c r="G20" s="53">
        <v>5.5436473010834586</v>
      </c>
      <c r="H20" s="37">
        <v>4.0666937400716368</v>
      </c>
      <c r="I20" s="38">
        <v>3.8272684736683189</v>
      </c>
      <c r="J20" s="29"/>
    </row>
    <row r="21" spans="1:10" hidden="1" x14ac:dyDescent="0.25">
      <c r="A21" s="32">
        <v>11</v>
      </c>
      <c r="B21" s="7">
        <v>160.22262815107661</v>
      </c>
      <c r="C21" s="28">
        <v>64.278219949314206</v>
      </c>
      <c r="D21" s="6">
        <v>40.745873452297893</v>
      </c>
      <c r="E21" s="29"/>
      <c r="F21" s="8">
        <v>11</v>
      </c>
      <c r="G21" s="36">
        <v>6.0141363510650265</v>
      </c>
      <c r="H21" s="37">
        <v>4.4164803293858812</v>
      </c>
      <c r="I21" s="38">
        <v>4.1530951433127505</v>
      </c>
      <c r="J21" s="29"/>
    </row>
    <row r="22" spans="1:10" hidden="1" x14ac:dyDescent="0.25">
      <c r="A22" s="32">
        <v>12</v>
      </c>
      <c r="B22" s="7">
        <v>170.45875076973937</v>
      </c>
      <c r="C22" s="28">
        <v>68.689452612483365</v>
      </c>
      <c r="D22" s="6">
        <v>43.759829925565349</v>
      </c>
      <c r="E22" s="29"/>
      <c r="F22" s="8">
        <v>12</v>
      </c>
      <c r="G22" s="36">
        <v>6.4626373754491038</v>
      </c>
      <c r="H22" s="37">
        <v>4.7532609474752894</v>
      </c>
      <c r="I22" s="38">
        <v>4.4692461898187394</v>
      </c>
      <c r="J22" s="29"/>
    </row>
    <row r="23" spans="1:10" hidden="1" x14ac:dyDescent="0.25">
      <c r="A23" s="32">
        <v>13</v>
      </c>
      <c r="B23" s="7">
        <v>179.97043591439902</v>
      </c>
      <c r="C23" s="28">
        <v>72.882929394268842</v>
      </c>
      <c r="D23" s="6">
        <v>46.627368198313505</v>
      </c>
      <c r="E23" s="29"/>
      <c r="F23" s="8">
        <v>13</v>
      </c>
      <c r="G23" s="36">
        <v>6.8904448615549416</v>
      </c>
      <c r="H23" s="37">
        <v>5.0756614156053832</v>
      </c>
      <c r="I23" s="38">
        <v>4.7724261513642485</v>
      </c>
      <c r="J23" s="29"/>
    </row>
    <row r="24" spans="1:10" hidden="1" x14ac:dyDescent="0.25">
      <c r="A24" s="32">
        <v>14</v>
      </c>
      <c r="B24" s="7">
        <v>188.86977840207763</v>
      </c>
      <c r="C24" s="28">
        <v>76.841041452173116</v>
      </c>
      <c r="D24" s="6">
        <v>49.356308702065938</v>
      </c>
      <c r="E24" s="29"/>
      <c r="F24" s="8">
        <v>14</v>
      </c>
      <c r="G24" s="36">
        <v>7.2942793021838011</v>
      </c>
      <c r="H24" s="37">
        <v>5.37982596865122</v>
      </c>
      <c r="I24" s="38">
        <v>5.0586463069373648</v>
      </c>
      <c r="J24" s="29"/>
    </row>
    <row r="25" spans="1:10" hidden="1" x14ac:dyDescent="0.25">
      <c r="A25" s="32">
        <v>15</v>
      </c>
      <c r="B25" s="7">
        <v>197.3672942927285</v>
      </c>
      <c r="C25" s="28">
        <v>80.622042068839434</v>
      </c>
      <c r="D25" s="6">
        <v>51.991812016887707</v>
      </c>
      <c r="E25" s="29"/>
      <c r="F25" s="8">
        <v>15</v>
      </c>
      <c r="G25" s="36">
        <v>7.6814516796451526</v>
      </c>
      <c r="H25" s="37">
        <v>5.6713407124609843</v>
      </c>
      <c r="I25" s="38">
        <v>5.332754174285534</v>
      </c>
      <c r="J25" s="29"/>
    </row>
    <row r="26" spans="1:10" hidden="1" x14ac:dyDescent="0.25">
      <c r="A26" s="32">
        <v>16</v>
      </c>
      <c r="B26" s="7">
        <v>205.38119013862737</v>
      </c>
      <c r="C26" s="28">
        <v>84.20128152839257</v>
      </c>
      <c r="D26" s="6">
        <v>54.510083679783406</v>
      </c>
      <c r="E26" s="29"/>
      <c r="F26" s="8">
        <v>16</v>
      </c>
      <c r="G26" s="36">
        <v>8.0517647287143532</v>
      </c>
      <c r="H26" s="37">
        <v>5.9513696958713611</v>
      </c>
      <c r="I26" s="38">
        <v>5.5965475499677666</v>
      </c>
      <c r="J26" s="29"/>
    </row>
    <row r="27" spans="1:10" hidden="1" x14ac:dyDescent="0.25">
      <c r="A27" s="32">
        <v>17</v>
      </c>
      <c r="B27" s="7">
        <v>212.90476655985958</v>
      </c>
      <c r="C27" s="28">
        <v>87.589939888832745</v>
      </c>
      <c r="D27" s="6">
        <v>56.913520211854141</v>
      </c>
      <c r="E27" s="29"/>
      <c r="F27" s="8">
        <v>17</v>
      </c>
      <c r="G27" s="36">
        <v>8.4046083351922505</v>
      </c>
      <c r="H27" s="37">
        <v>6.2179293894439178</v>
      </c>
      <c r="I27" s="38">
        <v>5.8480156136927928</v>
      </c>
      <c r="J27" s="29"/>
    </row>
    <row r="28" spans="1:10" hidden="1" x14ac:dyDescent="0.25">
      <c r="A28" s="32">
        <v>18</v>
      </c>
      <c r="B28" s="7">
        <v>220.04822215173414</v>
      </c>
      <c r="C28" s="28">
        <v>90.818371150767078</v>
      </c>
      <c r="D28" s="6">
        <v>59.210598760027302</v>
      </c>
      <c r="E28" s="29"/>
      <c r="F28" s="8">
        <v>18</v>
      </c>
      <c r="G28" s="36">
        <v>8.744164177355465</v>
      </c>
      <c r="H28" s="37">
        <v>6.4760254286028971</v>
      </c>
      <c r="I28" s="38">
        <v>6.0920604186955094</v>
      </c>
      <c r="J28" s="29"/>
    </row>
    <row r="29" spans="1:10" hidden="1" x14ac:dyDescent="0.25">
      <c r="A29" s="32">
        <v>19</v>
      </c>
      <c r="B29" s="7">
        <v>226.63719157338531</v>
      </c>
      <c r="C29" s="28">
        <v>93.839470515987927</v>
      </c>
      <c r="D29" s="6">
        <v>61.354706320519739</v>
      </c>
      <c r="E29" s="29"/>
      <c r="F29" s="8">
        <v>19</v>
      </c>
      <c r="G29" s="36">
        <v>9.0658199202836531</v>
      </c>
      <c r="H29" s="37">
        <v>6.7211034415656599</v>
      </c>
      <c r="I29" s="38">
        <v>6.3240875900063482</v>
      </c>
      <c r="J29" s="29"/>
    </row>
    <row r="30" spans="1:10" hidden="1" x14ac:dyDescent="0.25">
      <c r="A30" s="32">
        <v>20</v>
      </c>
      <c r="B30" s="7">
        <v>232.85599247924739</v>
      </c>
      <c r="C30" s="28">
        <v>96.711564590266946</v>
      </c>
      <c r="D30" s="6">
        <v>63.411007897657832</v>
      </c>
      <c r="E30" s="29"/>
      <c r="F30" s="8">
        <v>20</v>
      </c>
      <c r="G30" s="36">
        <v>9.372744455497811</v>
      </c>
      <c r="H30" s="37">
        <v>6.9544015711999192</v>
      </c>
      <c r="I30" s="38">
        <v>6.5446893610359895</v>
      </c>
      <c r="J30" s="29"/>
    </row>
    <row r="31" spans="1:10" hidden="1" x14ac:dyDescent="0.25">
      <c r="A31" s="32">
        <v>21</v>
      </c>
      <c r="B31" s="7">
        <v>238.70290472559338</v>
      </c>
      <c r="C31" s="28">
        <v>99.425560528552921</v>
      </c>
      <c r="D31" s="6">
        <v>65.362076091399231</v>
      </c>
      <c r="E31" s="29"/>
      <c r="F31" s="8">
        <v>21</v>
      </c>
      <c r="G31" s="36">
        <v>9.6634903371930641</v>
      </c>
      <c r="H31" s="37">
        <v>7.1759333941482071</v>
      </c>
      <c r="I31" s="38">
        <v>6.7544287477546323</v>
      </c>
      <c r="J31" s="29"/>
    </row>
    <row r="32" spans="1:10" hidden="1" x14ac:dyDescent="0.25">
      <c r="A32" s="32">
        <v>22</v>
      </c>
      <c r="B32" s="7">
        <v>244.20099794402873</v>
      </c>
      <c r="C32" s="28">
        <v>101.99045343418227</v>
      </c>
      <c r="D32" s="33">
        <v>67.213383911626721</v>
      </c>
      <c r="E32" s="29"/>
      <c r="F32" s="8">
        <v>22</v>
      </c>
      <c r="G32" s="36">
        <v>9.938931762986849</v>
      </c>
      <c r="H32" s="37">
        <v>7.386298832472673</v>
      </c>
      <c r="I32" s="38">
        <v>6.9538409924220392</v>
      </c>
      <c r="J32" s="29"/>
    </row>
    <row r="33" spans="1:10" hidden="1" x14ac:dyDescent="0.25">
      <c r="A33" s="32">
        <v>23</v>
      </c>
      <c r="B33" s="7">
        <v>249.37186127118829</v>
      </c>
      <c r="C33" s="28">
        <v>104.4147077321508</v>
      </c>
      <c r="D33" s="33">
        <v>68.970113638204737</v>
      </c>
      <c r="E33" s="29"/>
      <c r="F33" s="8">
        <v>23</v>
      </c>
      <c r="G33" s="36">
        <v>10.199894250809505</v>
      </c>
      <c r="H33" s="37">
        <v>7.5860667623885805</v>
      </c>
      <c r="I33" s="38">
        <v>7.1434349358117659</v>
      </c>
      <c r="J33" s="29"/>
    </row>
    <row r="34" spans="1:10" hidden="1" x14ac:dyDescent="0.25">
      <c r="A34" s="32">
        <v>24</v>
      </c>
      <c r="B34" s="7">
        <v>254.23570119250786</v>
      </c>
      <c r="C34" s="28">
        <v>106.70628965865556</v>
      </c>
      <c r="D34" s="33">
        <v>70.637172681182932</v>
      </c>
      <c r="E34" s="29"/>
      <c r="F34" s="8">
        <v>24</v>
      </c>
      <c r="G34" s="36">
        <v>10.4471574446525</v>
      </c>
      <c r="H34" s="37">
        <v>7.7757766528331205</v>
      </c>
      <c r="I34" s="38">
        <v>7.3236943214831198</v>
      </c>
      <c r="J34" s="29"/>
    </row>
    <row r="35" spans="1:10" hidden="1" x14ac:dyDescent="0.25">
      <c r="A35" s="32">
        <v>25</v>
      </c>
      <c r="B35" s="7">
        <v>258.81143276260599</v>
      </c>
      <c r="C35" s="28">
        <v>108.87269769030026</v>
      </c>
      <c r="D35" s="33">
        <v>72.219208547890304</v>
      </c>
      <c r="E35" s="29"/>
      <c r="F35" s="8">
        <v>25</v>
      </c>
      <c r="G35" s="36">
        <v>10.683045680486394</v>
      </c>
      <c r="H35" s="37">
        <v>7.9563543574308841</v>
      </c>
      <c r="I35" s="38">
        <v>7.4950790354769579</v>
      </c>
      <c r="J35" s="29"/>
    </row>
    <row r="36" spans="1:10" hidden="1" x14ac:dyDescent="0.25">
      <c r="A36" s="32">
        <v>26</v>
      </c>
      <c r="B36" s="7">
        <v>263.1167646590896</v>
      </c>
      <c r="C36" s="28">
        <v>110.92099104776099</v>
      </c>
      <c r="D36" s="33">
        <v>73.720622969030472</v>
      </c>
      <c r="E36" s="29"/>
      <c r="F36" s="8">
        <v>26</v>
      </c>
      <c r="G36" s="36">
        <v>10.906551786525927</v>
      </c>
      <c r="H36" s="37">
        <v>8.1278408814386776</v>
      </c>
      <c r="I36" s="38">
        <v>7.6580262846428608</v>
      </c>
      <c r="J36" s="29"/>
    </row>
    <row r="37" spans="1:10" hidden="1" x14ac:dyDescent="0.25">
      <c r="A37" s="32">
        <v>27</v>
      </c>
      <c r="B37" s="7">
        <v>267.16827849464562</v>
      </c>
      <c r="C37" s="28">
        <v>112.85781639965732</v>
      </c>
      <c r="D37" s="33">
        <v>75.145585232733296</v>
      </c>
      <c r="E37" s="29"/>
      <c r="F37" s="8">
        <v>27</v>
      </c>
      <c r="G37" s="36">
        <v>11.11834130643091</v>
      </c>
      <c r="H37" s="37">
        <v>8.2906986097699402</v>
      </c>
      <c r="I37" s="38">
        <v>7.812951716645216</v>
      </c>
      <c r="J37" s="29"/>
    </row>
    <row r="38" spans="1:10" hidden="1" x14ac:dyDescent="0.25">
      <c r="A38" s="32">
        <v>28</v>
      </c>
      <c r="B38" s="7">
        <v>270.98150278258981</v>
      </c>
      <c r="C38" s="28">
        <v>114.6894328839432</v>
      </c>
      <c r="D38" s="33">
        <v>76.498044772561286</v>
      </c>
      <c r="E38" s="29"/>
      <c r="F38" s="8">
        <v>28</v>
      </c>
      <c r="G38" s="36">
        <v>11.319042954320437</v>
      </c>
      <c r="H38" s="37">
        <v>8.4453660786902081</v>
      </c>
      <c r="I38" s="38">
        <v>7.9602504845436552</v>
      </c>
      <c r="J38" s="29"/>
    </row>
    <row r="39" spans="1:10" hidden="1" x14ac:dyDescent="0.25">
      <c r="A39" s="32">
        <v>29</v>
      </c>
      <c r="B39" s="7">
        <v>274.57098192344603</v>
      </c>
      <c r="C39" s="28">
        <v>116.42173555627851</v>
      </c>
      <c r="D39" s="33">
        <v>77.781743052695958</v>
      </c>
      <c r="E39" s="29"/>
      <c r="F39" s="8">
        <v>29</v>
      </c>
      <c r="G39" s="36">
        <v>11.509250722741516</v>
      </c>
      <c r="H39" s="37">
        <v>8.592259229047631</v>
      </c>
      <c r="I39" s="38">
        <v>8.1002982586989525</v>
      </c>
      <c r="J39" s="29"/>
    </row>
    <row r="40" spans="1:10" ht="15.75" hidden="1" thickBot="1" x14ac:dyDescent="0.3">
      <c r="A40" s="34">
        <v>30</v>
      </c>
      <c r="B40" s="3">
        <v>277.95034055448247</v>
      </c>
      <c r="C40" s="2">
        <v>118.06027736752564</v>
      </c>
      <c r="D40" s="35">
        <v>79.000224790932094</v>
      </c>
      <c r="E40" s="29"/>
      <c r="F40" s="1">
        <v>30</v>
      </c>
      <c r="G40" s="39">
        <v>11.69067118402722</v>
      </c>
      <c r="H40" s="40">
        <v>8.7320713707967865</v>
      </c>
      <c r="I40" s="41">
        <v>8.2334521886183083</v>
      </c>
      <c r="J40" s="29"/>
    </row>
    <row r="41" spans="1:10" x14ac:dyDescent="0.25">
      <c r="A41" s="30"/>
      <c r="B41" s="30"/>
      <c r="C41" s="30"/>
      <c r="E41" s="29"/>
      <c r="J41" s="29"/>
    </row>
    <row r="42" spans="1:10" x14ac:dyDescent="0.25">
      <c r="A42" s="30" t="s">
        <v>18</v>
      </c>
      <c r="B42" s="30"/>
      <c r="C42" s="30"/>
      <c r="E42" s="29"/>
      <c r="F42" t="s">
        <v>19</v>
      </c>
      <c r="J42" s="29"/>
    </row>
  </sheetData>
  <sheetProtection password="CC11" sheet="1" objects="1" scenarios="1"/>
  <mergeCells count="2">
    <mergeCell ref="B8:D8"/>
    <mergeCell ref="G8:I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C3EB-D387-4BD2-98AC-092B4DAD372A}">
  <dimension ref="A1:A112"/>
  <sheetViews>
    <sheetView topLeftCell="A88" workbookViewId="0">
      <selection activeCell="A113" sqref="A113"/>
    </sheetView>
  </sheetViews>
  <sheetFormatPr defaultRowHeight="15" x14ac:dyDescent="0.25"/>
  <sheetData>
    <row r="1" spans="1:1" x14ac:dyDescent="0.25">
      <c r="A1" t="s">
        <v>1199</v>
      </c>
    </row>
    <row r="2" spans="1:1" x14ac:dyDescent="0.25">
      <c r="A2" s="100" t="s">
        <v>276</v>
      </c>
    </row>
    <row r="3" spans="1:1" x14ac:dyDescent="0.25">
      <c r="A3" s="102" t="s">
        <v>277</v>
      </c>
    </row>
    <row r="4" spans="1:1" x14ac:dyDescent="0.25">
      <c r="A4" s="99"/>
    </row>
    <row r="5" spans="1:1" x14ac:dyDescent="0.25">
      <c r="A5" s="99" t="s">
        <v>278</v>
      </c>
    </row>
    <row r="6" spans="1:1" x14ac:dyDescent="0.25">
      <c r="A6" s="99"/>
    </row>
    <row r="7" spans="1:1" x14ac:dyDescent="0.25">
      <c r="A7" s="225" t="s">
        <v>272</v>
      </c>
    </row>
    <row r="8" spans="1:1" x14ac:dyDescent="0.25">
      <c r="A8" s="225" t="s">
        <v>356</v>
      </c>
    </row>
    <row r="9" spans="1:1" x14ac:dyDescent="0.25">
      <c r="A9" s="227" t="s">
        <v>357</v>
      </c>
    </row>
    <row r="10" spans="1:1" x14ac:dyDescent="0.25">
      <c r="A10" s="228" t="s">
        <v>471</v>
      </c>
    </row>
    <row r="11" spans="1:1" x14ac:dyDescent="0.25">
      <c r="A11" s="101"/>
    </row>
    <row r="12" spans="1:1" x14ac:dyDescent="0.25">
      <c r="A12" s="228" t="s">
        <v>371</v>
      </c>
    </row>
    <row r="13" spans="1:1" x14ac:dyDescent="0.25">
      <c r="A13" s="228" t="s">
        <v>372</v>
      </c>
    </row>
    <row r="14" spans="1:1" x14ac:dyDescent="0.25">
      <c r="A14" s="228" t="s">
        <v>458</v>
      </c>
    </row>
    <row r="15" spans="1:1" x14ac:dyDescent="0.25">
      <c r="A15" s="101"/>
    </row>
    <row r="16" spans="1:1" x14ac:dyDescent="0.25">
      <c r="A16" s="101" t="s">
        <v>467</v>
      </c>
    </row>
    <row r="17" spans="1:1" x14ac:dyDescent="0.25">
      <c r="A17" s="101" t="s">
        <v>472</v>
      </c>
    </row>
    <row r="18" spans="1:1" x14ac:dyDescent="0.25">
      <c r="A18" s="101" t="s">
        <v>474</v>
      </c>
    </row>
    <row r="19" spans="1:1" x14ac:dyDescent="0.25">
      <c r="A19" s="101"/>
    </row>
    <row r="20" spans="1:1" x14ac:dyDescent="0.25">
      <c r="A20" s="101" t="s">
        <v>497</v>
      </c>
    </row>
    <row r="21" spans="1:1" x14ac:dyDescent="0.25">
      <c r="A21" s="99"/>
    </row>
    <row r="22" spans="1:1" x14ac:dyDescent="0.25">
      <c r="A22" s="99" t="s">
        <v>475</v>
      </c>
    </row>
    <row r="23" spans="1:1" x14ac:dyDescent="0.25">
      <c r="A23" s="99" t="s">
        <v>476</v>
      </c>
    </row>
    <row r="24" spans="1:1" x14ac:dyDescent="0.25">
      <c r="A24" s="99" t="s">
        <v>477</v>
      </c>
    </row>
    <row r="25" spans="1:1" x14ac:dyDescent="0.25">
      <c r="A25" s="99" t="s">
        <v>478</v>
      </c>
    </row>
    <row r="26" spans="1:1" x14ac:dyDescent="0.25">
      <c r="A26" s="99" t="s">
        <v>479</v>
      </c>
    </row>
    <row r="27" spans="1:1" x14ac:dyDescent="0.25">
      <c r="A27" s="99" t="s">
        <v>480</v>
      </c>
    </row>
    <row r="28" spans="1:1" x14ac:dyDescent="0.25">
      <c r="A28" s="99" t="s">
        <v>481</v>
      </c>
    </row>
    <row r="29" spans="1:1" x14ac:dyDescent="0.25">
      <c r="A29" s="248" t="s">
        <v>499</v>
      </c>
    </row>
    <row r="30" spans="1:1" x14ac:dyDescent="0.25">
      <c r="A30" s="248" t="s">
        <v>498</v>
      </c>
    </row>
    <row r="31" spans="1:1" x14ac:dyDescent="0.25">
      <c r="A31" s="99" t="s">
        <v>504</v>
      </c>
    </row>
    <row r="32" spans="1:1" x14ac:dyDescent="0.25">
      <c r="A32" s="99" t="s">
        <v>500</v>
      </c>
    </row>
    <row r="33" spans="1:1" x14ac:dyDescent="0.25">
      <c r="A33" s="99" t="s">
        <v>501</v>
      </c>
    </row>
    <row r="34" spans="1:1" x14ac:dyDescent="0.25">
      <c r="A34" s="99"/>
    </row>
    <row r="35" spans="1:1" x14ac:dyDescent="0.25">
      <c r="A35" s="99" t="s">
        <v>502</v>
      </c>
    </row>
    <row r="36" spans="1:1" x14ac:dyDescent="0.25">
      <c r="A36" s="249" t="s">
        <v>503</v>
      </c>
    </row>
    <row r="37" spans="1:1" x14ac:dyDescent="0.25">
      <c r="A37" s="103" t="s">
        <v>519</v>
      </c>
    </row>
    <row r="39" spans="1:1" x14ac:dyDescent="0.25">
      <c r="A39" s="258" t="s">
        <v>527</v>
      </c>
    </row>
    <row r="40" spans="1:1" x14ac:dyDescent="0.25">
      <c r="A40" s="59" t="s">
        <v>526</v>
      </c>
    </row>
    <row r="41" spans="1:1" x14ac:dyDescent="0.25">
      <c r="A41" s="59" t="s">
        <v>531</v>
      </c>
    </row>
    <row r="42" spans="1:1" x14ac:dyDescent="0.25">
      <c r="A42" s="59" t="s">
        <v>528</v>
      </c>
    </row>
    <row r="43" spans="1:1" x14ac:dyDescent="0.25">
      <c r="A43" s="59" t="s">
        <v>529</v>
      </c>
    </row>
    <row r="44" spans="1:1" x14ac:dyDescent="0.25">
      <c r="A44" s="59" t="s">
        <v>530</v>
      </c>
    </row>
    <row r="45" spans="1:1" x14ac:dyDescent="0.25">
      <c r="A45" s="59" t="s">
        <v>532</v>
      </c>
    </row>
    <row r="46" spans="1:1" x14ac:dyDescent="0.25">
      <c r="A46" s="59" t="s">
        <v>535</v>
      </c>
    </row>
    <row r="47" spans="1:1" x14ac:dyDescent="0.25">
      <c r="A47" s="225" t="s">
        <v>549</v>
      </c>
    </row>
    <row r="48" spans="1:1" x14ac:dyDescent="0.25">
      <c r="A48" s="99" t="s">
        <v>552</v>
      </c>
    </row>
    <row r="49" spans="1:1" x14ac:dyDescent="0.25">
      <c r="A49" s="100"/>
    </row>
    <row r="50" spans="1:1" x14ac:dyDescent="0.25">
      <c r="A50" s="102"/>
    </row>
    <row r="51" spans="1:1" x14ac:dyDescent="0.25">
      <c r="A51" s="99"/>
    </row>
    <row r="52" spans="1:1" x14ac:dyDescent="0.25">
      <c r="A52" s="99"/>
    </row>
    <row r="53" spans="1:1" x14ac:dyDescent="0.25">
      <c r="A53" s="99" t="s">
        <v>533</v>
      </c>
    </row>
    <row r="54" spans="1:1" x14ac:dyDescent="0.25">
      <c r="A54" s="225" t="s">
        <v>525</v>
      </c>
    </row>
    <row r="55" spans="1:1" x14ac:dyDescent="0.25">
      <c r="A55" s="225"/>
    </row>
    <row r="56" spans="1:1" x14ac:dyDescent="0.25">
      <c r="A56" s="103" t="s">
        <v>519</v>
      </c>
    </row>
    <row r="59" spans="1:1" x14ac:dyDescent="0.25">
      <c r="A59" s="59" t="s">
        <v>561</v>
      </c>
    </row>
    <row r="60" spans="1:1" x14ac:dyDescent="0.25">
      <c r="A60" s="59" t="s">
        <v>562</v>
      </c>
    </row>
    <row r="61" spans="1:1" x14ac:dyDescent="0.25">
      <c r="A61" s="59" t="s">
        <v>563</v>
      </c>
    </row>
    <row r="63" spans="1:1" x14ac:dyDescent="0.25">
      <c r="A63" s="59" t="s">
        <v>991</v>
      </c>
    </row>
    <row r="64" spans="1:1" x14ac:dyDescent="0.25">
      <c r="A64" s="59" t="s">
        <v>992</v>
      </c>
    </row>
    <row r="65" spans="1:1" x14ac:dyDescent="0.25">
      <c r="A65" s="59" t="s">
        <v>993</v>
      </c>
    </row>
    <row r="66" spans="1:1" x14ac:dyDescent="0.25">
      <c r="A66" s="59" t="s">
        <v>994</v>
      </c>
    </row>
    <row r="67" spans="1:1" x14ac:dyDescent="0.25">
      <c r="A67" s="59" t="s">
        <v>997</v>
      </c>
    </row>
    <row r="68" spans="1:1" x14ac:dyDescent="0.25">
      <c r="A68" s="59" t="s">
        <v>1004</v>
      </c>
    </row>
    <row r="69" spans="1:1" x14ac:dyDescent="0.25">
      <c r="A69" s="59" t="s">
        <v>1005</v>
      </c>
    </row>
    <row r="70" spans="1:1" x14ac:dyDescent="0.25">
      <c r="A70" s="59" t="s">
        <v>1008</v>
      </c>
    </row>
    <row r="71" spans="1:1" x14ac:dyDescent="0.25">
      <c r="A71" s="59" t="s">
        <v>1012</v>
      </c>
    </row>
    <row r="72" spans="1:1" x14ac:dyDescent="0.25">
      <c r="A72" s="59" t="s">
        <v>1014</v>
      </c>
    </row>
    <row r="74" spans="1:1" x14ac:dyDescent="0.25">
      <c r="A74" s="59" t="s">
        <v>1026</v>
      </c>
    </row>
    <row r="75" spans="1:1" x14ac:dyDescent="0.25">
      <c r="A75" s="59" t="s">
        <v>1027</v>
      </c>
    </row>
    <row r="76" spans="1:1" x14ac:dyDescent="0.25">
      <c r="A76" s="59" t="s">
        <v>1029</v>
      </c>
    </row>
    <row r="78" spans="1:1" x14ac:dyDescent="0.25">
      <c r="A78" s="59" t="s">
        <v>1030</v>
      </c>
    </row>
    <row r="79" spans="1:1" x14ac:dyDescent="0.25">
      <c r="A79" s="59" t="s">
        <v>1028</v>
      </c>
    </row>
    <row r="81" spans="1:1" x14ac:dyDescent="0.25">
      <c r="A81" s="59" t="s">
        <v>1132</v>
      </c>
    </row>
    <row r="82" spans="1:1" x14ac:dyDescent="0.25">
      <c r="A82" s="59" t="s">
        <v>1039</v>
      </c>
    </row>
    <row r="83" spans="1:1" x14ac:dyDescent="0.25">
      <c r="A83" s="59" t="s">
        <v>1130</v>
      </c>
    </row>
    <row r="84" spans="1:1" x14ac:dyDescent="0.25">
      <c r="A84" s="59" t="s">
        <v>1040</v>
      </c>
    </row>
    <row r="85" spans="1:1" x14ac:dyDescent="0.25">
      <c r="A85" s="59" t="s">
        <v>1129</v>
      </c>
    </row>
    <row r="86" spans="1:1" x14ac:dyDescent="0.25">
      <c r="A86" s="59" t="s">
        <v>1131</v>
      </c>
    </row>
    <row r="87" spans="1:1" x14ac:dyDescent="0.25">
      <c r="A87" s="59" t="s">
        <v>1133</v>
      </c>
    </row>
    <row r="88" spans="1:1" x14ac:dyDescent="0.25">
      <c r="A88" s="59" t="s">
        <v>1134</v>
      </c>
    </row>
    <row r="89" spans="1:1" x14ac:dyDescent="0.25">
      <c r="A89" s="59" t="s">
        <v>1141</v>
      </c>
    </row>
    <row r="90" spans="1:1" x14ac:dyDescent="0.25">
      <c r="A90" s="59" t="s">
        <v>1140</v>
      </c>
    </row>
    <row r="91" spans="1:1" x14ac:dyDescent="0.25">
      <c r="A91" s="59" t="s">
        <v>1144</v>
      </c>
    </row>
    <row r="92" spans="1:1" x14ac:dyDescent="0.25">
      <c r="A92" s="59" t="s">
        <v>1147</v>
      </c>
    </row>
    <row r="94" spans="1:1" x14ac:dyDescent="0.25">
      <c r="A94" s="59" t="s">
        <v>1149</v>
      </c>
    </row>
    <row r="95" spans="1:1" x14ac:dyDescent="0.25">
      <c r="A95" s="59" t="s">
        <v>1150</v>
      </c>
    </row>
    <row r="96" spans="1:1" x14ac:dyDescent="0.25">
      <c r="A96" s="59" t="s">
        <v>1152</v>
      </c>
    </row>
    <row r="97" spans="1:1" x14ac:dyDescent="0.25">
      <c r="A97" s="59" t="s">
        <v>1154</v>
      </c>
    </row>
    <row r="99" spans="1:1" x14ac:dyDescent="0.25">
      <c r="A99" s="59" t="s">
        <v>1161</v>
      </c>
    </row>
    <row r="100" spans="1:1" x14ac:dyDescent="0.25">
      <c r="A100" s="59" t="s">
        <v>1159</v>
      </c>
    </row>
    <row r="101" spans="1:1" x14ac:dyDescent="0.25">
      <c r="A101" s="59" t="s">
        <v>1160</v>
      </c>
    </row>
    <row r="103" spans="1:1" x14ac:dyDescent="0.25">
      <c r="A103" s="59" t="s">
        <v>1175</v>
      </c>
    </row>
    <row r="104" spans="1:1" x14ac:dyDescent="0.25">
      <c r="A104" s="59" t="s">
        <v>1176</v>
      </c>
    </row>
    <row r="105" spans="1:1" x14ac:dyDescent="0.25">
      <c r="A105" s="59" t="s">
        <v>1177</v>
      </c>
    </row>
    <row r="106" spans="1:1" x14ac:dyDescent="0.25">
      <c r="A106" s="59" t="s">
        <v>1178</v>
      </c>
    </row>
    <row r="107" spans="1:1" x14ac:dyDescent="0.25">
      <c r="A107" s="59" t="s">
        <v>1182</v>
      </c>
    </row>
    <row r="108" spans="1:1" x14ac:dyDescent="0.25">
      <c r="A108" s="59" t="s">
        <v>1186</v>
      </c>
    </row>
    <row r="110" spans="1:1" x14ac:dyDescent="0.25">
      <c r="A110" s="59" t="s">
        <v>1190</v>
      </c>
    </row>
    <row r="111" spans="1:1" x14ac:dyDescent="0.25">
      <c r="A111" s="59" t="s">
        <v>1191</v>
      </c>
    </row>
    <row r="112" spans="1:1" x14ac:dyDescent="0.25">
      <c r="A112" s="59" t="s">
        <v>1200</v>
      </c>
    </row>
  </sheetData>
  <sheetProtection algorithmName="SHA-512" hashValue="WSFv8eCF5ixgrnFgefzJs+yCMXy/tNelQB9Pq8DE02KK36tncozvGGnXaCC84zREsb6mYsSh8aSezK2h+LWbmg==" saltValue="MqdfmIutOWFMTbYUn64JCA==" spinCount="100000" sheet="1" objects="1" scenarios="1"/>
  <conditionalFormatting sqref="A4:A5">
    <cfRule type="containsText" dxfId="1" priority="2"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details.",A4)))</formula>
    </cfRule>
  </conditionalFormatting>
  <conditionalFormatting sqref="A47:A48 A51:A52">
    <cfRule type="containsText" dxfId="0" priority="1"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details.",A47)))</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BD95F-7E09-4349-A9FF-BF330BA51CFE}">
  <dimension ref="A1:B52"/>
  <sheetViews>
    <sheetView topLeftCell="A14" workbookViewId="0">
      <selection activeCell="A8" sqref="A8"/>
    </sheetView>
  </sheetViews>
  <sheetFormatPr defaultRowHeight="15" x14ac:dyDescent="0.25"/>
  <cols>
    <col min="1" max="1" width="32.28515625" customWidth="1"/>
    <col min="2" max="2" width="28.85546875" customWidth="1"/>
  </cols>
  <sheetData>
    <row r="1" spans="1:2" ht="30.75" customHeight="1" x14ac:dyDescent="0.25">
      <c r="A1" s="121" t="s">
        <v>48</v>
      </c>
      <c r="B1" s="122" t="s">
        <v>49</v>
      </c>
    </row>
    <row r="2" spans="1:2" ht="17.25" customHeight="1" x14ac:dyDescent="0.25">
      <c r="A2" s="65" t="s">
        <v>76</v>
      </c>
      <c r="B2" s="93">
        <v>63</v>
      </c>
    </row>
    <row r="3" spans="1:2" x14ac:dyDescent="0.25">
      <c r="A3" s="65" t="s">
        <v>77</v>
      </c>
      <c r="B3" s="93">
        <v>69</v>
      </c>
    </row>
    <row r="4" spans="1:2" x14ac:dyDescent="0.25">
      <c r="A4" s="65" t="s">
        <v>82</v>
      </c>
      <c r="B4" s="93">
        <v>90</v>
      </c>
    </row>
    <row r="5" spans="1:2" x14ac:dyDescent="0.25">
      <c r="A5" s="65" t="s">
        <v>55</v>
      </c>
      <c r="B5" s="93">
        <v>102</v>
      </c>
    </row>
    <row r="6" spans="1:2" x14ac:dyDescent="0.25">
      <c r="A6" s="65" t="s">
        <v>85</v>
      </c>
      <c r="B6" s="93">
        <v>244</v>
      </c>
    </row>
    <row r="7" spans="1:2" x14ac:dyDescent="0.25">
      <c r="A7" s="65" t="s">
        <v>64</v>
      </c>
      <c r="B7" s="93">
        <v>101</v>
      </c>
    </row>
    <row r="8" spans="1:2" x14ac:dyDescent="0.25">
      <c r="A8" s="65" t="s">
        <v>98</v>
      </c>
      <c r="B8" s="93">
        <v>36</v>
      </c>
    </row>
    <row r="9" spans="1:2" x14ac:dyDescent="0.25">
      <c r="A9" s="65" t="s">
        <v>69</v>
      </c>
      <c r="B9" s="93">
        <v>88</v>
      </c>
    </row>
    <row r="10" spans="1:2" x14ac:dyDescent="0.25">
      <c r="A10" s="65" t="s">
        <v>56</v>
      </c>
      <c r="B10" s="93">
        <v>49</v>
      </c>
    </row>
    <row r="11" spans="1:2" x14ac:dyDescent="0.25">
      <c r="A11" s="65" t="s">
        <v>88</v>
      </c>
      <c r="B11" s="93">
        <v>58</v>
      </c>
    </row>
    <row r="12" spans="1:2" x14ac:dyDescent="0.25">
      <c r="A12" s="65" t="s">
        <v>50</v>
      </c>
      <c r="B12" s="93">
        <v>67</v>
      </c>
    </row>
    <row r="13" spans="1:2" x14ac:dyDescent="0.25">
      <c r="A13" s="65" t="s">
        <v>86</v>
      </c>
      <c r="B13" s="93">
        <v>427</v>
      </c>
    </row>
    <row r="14" spans="1:2" x14ac:dyDescent="0.25">
      <c r="A14" s="65" t="s">
        <v>78</v>
      </c>
      <c r="B14" s="93">
        <v>66</v>
      </c>
    </row>
    <row r="15" spans="1:2" x14ac:dyDescent="0.25">
      <c r="A15" s="65" t="s">
        <v>61</v>
      </c>
      <c r="B15" s="93">
        <v>191</v>
      </c>
    </row>
    <row r="16" spans="1:2" x14ac:dyDescent="0.25">
      <c r="A16" s="65" t="s">
        <v>57</v>
      </c>
      <c r="B16" s="93">
        <v>48</v>
      </c>
    </row>
    <row r="17" spans="1:2" x14ac:dyDescent="0.25">
      <c r="A17" s="65" t="s">
        <v>62</v>
      </c>
      <c r="B17" s="93">
        <v>196</v>
      </c>
    </row>
    <row r="18" spans="1:2" x14ac:dyDescent="0.25">
      <c r="A18" s="65" t="s">
        <v>70</v>
      </c>
      <c r="B18" s="93">
        <v>68</v>
      </c>
    </row>
    <row r="19" spans="1:2" x14ac:dyDescent="0.25">
      <c r="A19" s="65" t="s">
        <v>81</v>
      </c>
      <c r="B19" s="93">
        <v>237</v>
      </c>
    </row>
    <row r="20" spans="1:2" x14ac:dyDescent="0.25">
      <c r="A20" s="65" t="s">
        <v>66</v>
      </c>
      <c r="B20" s="93">
        <v>56</v>
      </c>
    </row>
    <row r="21" spans="1:2" x14ac:dyDescent="0.25">
      <c r="A21" s="65" t="s">
        <v>83</v>
      </c>
      <c r="B21" s="93">
        <v>60</v>
      </c>
    </row>
    <row r="22" spans="1:2" x14ac:dyDescent="0.25">
      <c r="A22" s="65" t="s">
        <v>84</v>
      </c>
      <c r="B22" s="93">
        <v>90</v>
      </c>
    </row>
    <row r="23" spans="1:2" x14ac:dyDescent="0.25">
      <c r="A23" s="65" t="s">
        <v>71</v>
      </c>
      <c r="B23" s="93">
        <v>74</v>
      </c>
    </row>
    <row r="24" spans="1:2" x14ac:dyDescent="0.25">
      <c r="A24" s="65" t="s">
        <v>72</v>
      </c>
      <c r="B24" s="93">
        <v>32</v>
      </c>
    </row>
    <row r="25" spans="1:2" x14ac:dyDescent="0.25">
      <c r="A25" s="65" t="s">
        <v>99</v>
      </c>
      <c r="B25" s="93">
        <v>36</v>
      </c>
    </row>
    <row r="26" spans="1:2" x14ac:dyDescent="0.25">
      <c r="A26" s="65" t="s">
        <v>73</v>
      </c>
      <c r="B26" s="93">
        <v>78</v>
      </c>
    </row>
    <row r="27" spans="1:2" x14ac:dyDescent="0.25">
      <c r="A27" s="65" t="s">
        <v>58</v>
      </c>
      <c r="B27" s="93">
        <v>49</v>
      </c>
    </row>
    <row r="28" spans="1:2" x14ac:dyDescent="0.25">
      <c r="A28" s="65" t="s">
        <v>75</v>
      </c>
      <c r="B28" s="93">
        <v>71</v>
      </c>
    </row>
    <row r="29" spans="1:2" x14ac:dyDescent="0.25">
      <c r="A29" s="65" t="s">
        <v>80</v>
      </c>
      <c r="B29" s="93">
        <v>66</v>
      </c>
    </row>
    <row r="30" spans="1:2" x14ac:dyDescent="0.25">
      <c r="A30" s="65" t="s">
        <v>51</v>
      </c>
      <c r="B30" s="93">
        <v>55</v>
      </c>
    </row>
    <row r="31" spans="1:2" x14ac:dyDescent="0.25">
      <c r="A31" s="65" t="s">
        <v>67</v>
      </c>
      <c r="B31" s="93">
        <v>66</v>
      </c>
    </row>
    <row r="32" spans="1:2" x14ac:dyDescent="0.25">
      <c r="A32" s="65" t="s">
        <v>89</v>
      </c>
      <c r="B32" s="93">
        <v>55</v>
      </c>
    </row>
    <row r="33" spans="1:2" x14ac:dyDescent="0.25">
      <c r="A33" s="65" t="s">
        <v>90</v>
      </c>
      <c r="B33" s="93">
        <v>66</v>
      </c>
    </row>
    <row r="34" spans="1:2" x14ac:dyDescent="0.25">
      <c r="A34" s="65" t="s">
        <v>63</v>
      </c>
      <c r="B34" s="93">
        <v>65</v>
      </c>
    </row>
    <row r="35" spans="1:2" x14ac:dyDescent="0.25">
      <c r="A35" s="65" t="s">
        <v>68</v>
      </c>
      <c r="B35" s="93">
        <v>51</v>
      </c>
    </row>
    <row r="36" spans="1:2" x14ac:dyDescent="0.25">
      <c r="A36" s="65" t="s">
        <v>59</v>
      </c>
      <c r="B36" s="93">
        <v>59</v>
      </c>
    </row>
    <row r="37" spans="1:2" x14ac:dyDescent="0.25">
      <c r="A37" s="65" t="s">
        <v>74</v>
      </c>
      <c r="B37" s="93">
        <v>101</v>
      </c>
    </row>
    <row r="38" spans="1:2" x14ac:dyDescent="0.25">
      <c r="A38" s="65" t="s">
        <v>52</v>
      </c>
      <c r="B38" s="93">
        <v>73</v>
      </c>
    </row>
    <row r="39" spans="1:2" x14ac:dyDescent="0.25">
      <c r="A39" s="65" t="s">
        <v>100</v>
      </c>
      <c r="B39" s="93">
        <v>121</v>
      </c>
    </row>
    <row r="40" spans="1:2" x14ac:dyDescent="0.25">
      <c r="A40" s="65" t="s">
        <v>53</v>
      </c>
      <c r="B40" s="93">
        <v>39</v>
      </c>
    </row>
    <row r="41" spans="1:2" x14ac:dyDescent="0.25">
      <c r="A41" s="65" t="s">
        <v>91</v>
      </c>
      <c r="B41" s="93">
        <v>36</v>
      </c>
    </row>
    <row r="42" spans="1:2" x14ac:dyDescent="0.25">
      <c r="A42" s="65" t="s">
        <v>87</v>
      </c>
      <c r="B42" s="93">
        <v>360.99999999999994</v>
      </c>
    </row>
    <row r="43" spans="1:2" x14ac:dyDescent="0.25">
      <c r="A43" s="65" t="s">
        <v>92</v>
      </c>
      <c r="B43" s="93">
        <v>68</v>
      </c>
    </row>
    <row r="44" spans="1:2" x14ac:dyDescent="0.25">
      <c r="A44" s="65" t="s">
        <v>54</v>
      </c>
      <c r="B44" s="93">
        <v>50</v>
      </c>
    </row>
    <row r="45" spans="1:2" x14ac:dyDescent="0.25">
      <c r="A45" s="65" t="s">
        <v>93</v>
      </c>
      <c r="B45" s="93">
        <v>55</v>
      </c>
    </row>
    <row r="46" spans="1:2" x14ac:dyDescent="0.25">
      <c r="A46" s="65" t="s">
        <v>96</v>
      </c>
      <c r="B46" s="93">
        <v>66</v>
      </c>
    </row>
    <row r="47" spans="1:2" x14ac:dyDescent="0.25">
      <c r="A47" s="65" t="s">
        <v>65</v>
      </c>
      <c r="B47" s="93">
        <v>55</v>
      </c>
    </row>
    <row r="48" spans="1:2" x14ac:dyDescent="0.25">
      <c r="A48" s="65" t="s">
        <v>94</v>
      </c>
      <c r="B48" s="93">
        <v>59</v>
      </c>
    </row>
    <row r="49" spans="1:2" x14ac:dyDescent="0.25">
      <c r="A49" s="65" t="s">
        <v>95</v>
      </c>
      <c r="B49" s="93">
        <v>60</v>
      </c>
    </row>
    <row r="50" spans="1:2" x14ac:dyDescent="0.25">
      <c r="A50" s="65" t="s">
        <v>97</v>
      </c>
      <c r="B50" s="93">
        <v>41</v>
      </c>
    </row>
    <row r="51" spans="1:2" x14ac:dyDescent="0.25">
      <c r="A51" s="65" t="s">
        <v>79</v>
      </c>
      <c r="B51" s="93">
        <v>90</v>
      </c>
    </row>
    <row r="52" spans="1:2" x14ac:dyDescent="0.25">
      <c r="A52" s="65" t="s">
        <v>60</v>
      </c>
      <c r="B52" s="93">
        <v>68</v>
      </c>
    </row>
  </sheetData>
  <sheetProtection algorithmName="SHA-512" hashValue="VuJ0Cn2hLIoLTH8/vSmX1urgAaJ/GUw9S7UBYlQLFEBNYmtLxRqqcqdQblYPtNQwsPX6T8qN7WI7debaNwkHcQ==" saltValue="Tu9zkDKojYRx7IH4rwyM9A==" spinCount="100000" sheet="1" objects="1" scenarios="1"/>
  <sortState xmlns:xlrd2="http://schemas.microsoft.com/office/spreadsheetml/2017/richdata2" ref="A2:B52">
    <sortCondition ref="A2:A5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8AB19-58C9-4FE6-A9F3-95B4B2B5ADF9}">
  <sheetPr>
    <tabColor theme="0"/>
    <pageSetUpPr fitToPage="1"/>
  </sheetPr>
  <dimension ref="A1:AA26"/>
  <sheetViews>
    <sheetView zoomScaleNormal="100" workbookViewId="0">
      <selection sqref="A1:M1"/>
    </sheetView>
  </sheetViews>
  <sheetFormatPr defaultRowHeight="15" x14ac:dyDescent="0.25"/>
  <cols>
    <col min="13" max="13" width="19.5703125" customWidth="1"/>
    <col min="27" max="27" width="16.42578125" customWidth="1"/>
  </cols>
  <sheetData>
    <row r="1" spans="1:27" ht="23.25" x14ac:dyDescent="0.35">
      <c r="A1" s="345" t="s">
        <v>1187</v>
      </c>
      <c r="B1" s="345"/>
      <c r="C1" s="345"/>
      <c r="D1" s="345"/>
      <c r="E1" s="345"/>
      <c r="F1" s="345"/>
      <c r="G1" s="345"/>
      <c r="H1" s="345"/>
      <c r="I1" s="345"/>
      <c r="J1" s="345"/>
      <c r="K1" s="345"/>
      <c r="L1" s="345"/>
      <c r="M1" s="345"/>
      <c r="O1" s="349" t="s">
        <v>541</v>
      </c>
      <c r="P1" s="349"/>
      <c r="Q1" s="349"/>
      <c r="R1" s="349"/>
      <c r="S1" s="349"/>
      <c r="T1" s="349"/>
      <c r="U1" s="349"/>
      <c r="V1" s="349"/>
      <c r="W1" s="349"/>
      <c r="X1" s="349"/>
      <c r="Y1" s="349"/>
      <c r="Z1" s="349"/>
      <c r="AA1" s="349"/>
    </row>
    <row r="2" spans="1:27" ht="18.75" x14ac:dyDescent="0.3">
      <c r="A2" s="278" t="s">
        <v>536</v>
      </c>
      <c r="B2" s="277"/>
      <c r="C2" s="277"/>
      <c r="D2" s="277"/>
      <c r="E2" s="277"/>
      <c r="F2" s="277"/>
      <c r="G2" s="277"/>
      <c r="H2" s="277"/>
      <c r="I2" s="277"/>
      <c r="J2" s="277"/>
      <c r="K2" s="277"/>
      <c r="L2" s="277"/>
      <c r="M2" s="277"/>
      <c r="O2" s="283" t="s">
        <v>536</v>
      </c>
      <c r="P2" s="282"/>
      <c r="Q2" s="282"/>
      <c r="R2" s="282"/>
      <c r="S2" s="282"/>
      <c r="T2" s="282"/>
      <c r="U2" s="282"/>
      <c r="V2" s="282"/>
      <c r="W2" s="282"/>
      <c r="X2" s="282"/>
      <c r="Y2" s="282"/>
      <c r="Z2" s="282"/>
      <c r="AA2" s="282"/>
    </row>
    <row r="3" spans="1:27" x14ac:dyDescent="0.25">
      <c r="A3" s="346" t="s">
        <v>1179</v>
      </c>
      <c r="B3" s="346"/>
      <c r="C3" s="346"/>
      <c r="D3" s="346"/>
      <c r="E3" s="346"/>
      <c r="F3" s="346"/>
      <c r="G3" s="346"/>
      <c r="H3" s="346"/>
      <c r="I3" s="346"/>
      <c r="J3" s="346"/>
      <c r="K3" s="346"/>
      <c r="L3" s="346"/>
      <c r="M3" s="346"/>
      <c r="O3" s="343" t="s">
        <v>1036</v>
      </c>
      <c r="P3" s="343"/>
      <c r="Q3" s="343"/>
      <c r="R3" s="343"/>
      <c r="S3" s="343"/>
      <c r="T3" s="343"/>
      <c r="U3" s="343"/>
      <c r="V3" s="343"/>
      <c r="W3" s="343"/>
      <c r="X3" s="343"/>
      <c r="Y3" s="343"/>
      <c r="Z3" s="343"/>
      <c r="AA3" s="343"/>
    </row>
    <row r="4" spans="1:27" x14ac:dyDescent="0.25">
      <c r="A4" s="346" t="s">
        <v>1166</v>
      </c>
      <c r="B4" s="346"/>
      <c r="C4" s="346"/>
      <c r="D4" s="346"/>
      <c r="E4" s="346"/>
      <c r="F4" s="346"/>
      <c r="G4" s="346"/>
      <c r="H4" s="346"/>
      <c r="I4" s="346"/>
      <c r="J4" s="346"/>
      <c r="K4" s="346"/>
      <c r="L4" s="346"/>
      <c r="M4" s="346"/>
      <c r="O4" s="342" t="s">
        <v>1148</v>
      </c>
      <c r="P4" s="342"/>
      <c r="Q4" s="342"/>
      <c r="R4" s="342"/>
      <c r="S4" s="342"/>
      <c r="T4" s="342"/>
      <c r="U4" s="342"/>
      <c r="V4" s="342"/>
      <c r="W4" s="342"/>
      <c r="X4" s="342"/>
      <c r="Y4" s="342"/>
      <c r="Z4" s="342"/>
      <c r="AA4" s="342"/>
    </row>
    <row r="5" spans="1:27" x14ac:dyDescent="0.25">
      <c r="A5" s="347" t="s">
        <v>1167</v>
      </c>
      <c r="B5" s="347"/>
      <c r="C5" s="347"/>
      <c r="D5" s="347"/>
      <c r="E5" s="347"/>
      <c r="F5" s="347"/>
      <c r="G5" s="347"/>
      <c r="H5" s="347"/>
      <c r="I5" s="347"/>
      <c r="J5" s="347"/>
      <c r="K5" s="347"/>
      <c r="L5" s="347"/>
      <c r="M5" s="347"/>
      <c r="O5" s="343" t="s">
        <v>1198</v>
      </c>
      <c r="P5" s="343"/>
      <c r="Q5" s="343"/>
      <c r="R5" s="343"/>
      <c r="S5" s="343"/>
      <c r="T5" s="343"/>
      <c r="U5" s="343"/>
      <c r="V5" s="343"/>
      <c r="W5" s="343"/>
      <c r="X5" s="343"/>
      <c r="Y5" s="343"/>
      <c r="Z5" s="343"/>
      <c r="AA5" s="343"/>
    </row>
    <row r="6" spans="1:27" x14ac:dyDescent="0.25">
      <c r="A6" s="347" t="s">
        <v>1168</v>
      </c>
      <c r="B6" s="347"/>
      <c r="C6" s="347"/>
      <c r="D6" s="347"/>
      <c r="E6" s="347"/>
      <c r="F6" s="347"/>
      <c r="G6" s="347"/>
      <c r="H6" s="347"/>
      <c r="I6" s="347"/>
      <c r="J6" s="347"/>
      <c r="K6" s="347"/>
      <c r="L6" s="347"/>
      <c r="M6" s="347"/>
      <c r="O6" s="342" t="s">
        <v>1146</v>
      </c>
      <c r="P6" s="342"/>
      <c r="Q6" s="342"/>
      <c r="R6" s="342"/>
      <c r="S6" s="342"/>
      <c r="T6" s="342"/>
      <c r="U6" s="342"/>
      <c r="V6" s="342"/>
      <c r="W6" s="342"/>
      <c r="X6" s="342"/>
      <c r="Y6" s="342"/>
      <c r="Z6" s="342"/>
      <c r="AA6" s="342"/>
    </row>
    <row r="7" spans="1:27" x14ac:dyDescent="0.25">
      <c r="A7" s="347" t="s">
        <v>1180</v>
      </c>
      <c r="B7" s="347"/>
      <c r="C7" s="347"/>
      <c r="D7" s="347"/>
      <c r="E7" s="347"/>
      <c r="F7" s="347"/>
      <c r="G7" s="347"/>
      <c r="H7" s="347"/>
      <c r="I7" s="347"/>
      <c r="J7" s="347"/>
      <c r="K7" s="347"/>
      <c r="L7" s="347"/>
      <c r="M7" s="347"/>
      <c r="O7" s="344" t="s">
        <v>1037</v>
      </c>
      <c r="P7" s="344"/>
      <c r="Q7" s="344"/>
      <c r="R7" s="344"/>
      <c r="S7" s="344"/>
      <c r="T7" s="344"/>
      <c r="U7" s="344"/>
      <c r="V7" s="344"/>
      <c r="W7" s="344"/>
      <c r="X7" s="344"/>
      <c r="Y7" s="344"/>
      <c r="Z7" s="344"/>
      <c r="AA7" s="344"/>
    </row>
    <row r="8" spans="1:27" x14ac:dyDescent="0.25">
      <c r="A8" s="347" t="s">
        <v>1169</v>
      </c>
      <c r="B8" s="347"/>
      <c r="C8" s="347"/>
      <c r="D8" s="347"/>
      <c r="E8" s="347"/>
      <c r="F8" s="347"/>
      <c r="G8" s="347"/>
      <c r="H8" s="347"/>
      <c r="I8" s="347"/>
      <c r="J8" s="347"/>
      <c r="K8" s="347"/>
      <c r="L8" s="347"/>
      <c r="M8" s="347"/>
      <c r="O8" s="284"/>
      <c r="P8" s="284"/>
      <c r="Q8" s="284"/>
      <c r="R8" s="284"/>
      <c r="S8" s="284"/>
      <c r="T8" s="284"/>
      <c r="U8" s="284"/>
      <c r="V8" s="284"/>
      <c r="W8" s="284"/>
      <c r="X8" s="284"/>
      <c r="Y8" s="284"/>
      <c r="Z8" s="284"/>
      <c r="AA8" s="284"/>
    </row>
    <row r="9" spans="1:27" ht="18.75" x14ac:dyDescent="0.3">
      <c r="A9" s="347" t="s">
        <v>1170</v>
      </c>
      <c r="B9" s="347"/>
      <c r="C9" s="347"/>
      <c r="D9" s="347"/>
      <c r="E9" s="347"/>
      <c r="F9" s="347"/>
      <c r="G9" s="347"/>
      <c r="H9" s="347"/>
      <c r="I9" s="347"/>
      <c r="J9" s="347"/>
      <c r="K9" s="347"/>
      <c r="L9" s="347"/>
      <c r="M9" s="347"/>
      <c r="O9" s="285" t="s">
        <v>544</v>
      </c>
      <c r="P9" s="284"/>
      <c r="Q9" s="284"/>
      <c r="R9" s="284"/>
      <c r="S9" s="284"/>
      <c r="T9" s="284"/>
      <c r="U9" s="284"/>
      <c r="V9" s="284"/>
      <c r="W9" s="284"/>
      <c r="X9" s="284"/>
      <c r="Y9" s="284"/>
      <c r="Z9" s="284"/>
      <c r="AA9" s="284"/>
    </row>
    <row r="10" spans="1:27" x14ac:dyDescent="0.25">
      <c r="A10" s="346" t="s">
        <v>1171</v>
      </c>
      <c r="B10" s="346"/>
      <c r="C10" s="346"/>
      <c r="D10" s="346"/>
      <c r="E10" s="346"/>
      <c r="F10" s="346"/>
      <c r="G10" s="346"/>
      <c r="H10" s="346"/>
      <c r="I10" s="346"/>
      <c r="J10" s="346"/>
      <c r="K10" s="346"/>
      <c r="L10" s="346"/>
      <c r="M10" s="346"/>
      <c r="O10" s="342" t="s">
        <v>1019</v>
      </c>
      <c r="P10" s="342"/>
      <c r="Q10" s="342"/>
      <c r="R10" s="342"/>
      <c r="S10" s="342"/>
      <c r="T10" s="342"/>
      <c r="U10" s="342"/>
      <c r="V10" s="342"/>
      <c r="W10" s="342"/>
      <c r="X10" s="342"/>
      <c r="Y10" s="342"/>
      <c r="Z10" s="342"/>
      <c r="AA10" s="342"/>
    </row>
    <row r="11" spans="1:27" x14ac:dyDescent="0.25">
      <c r="A11" s="352" t="s">
        <v>1172</v>
      </c>
      <c r="B11" s="352"/>
      <c r="C11" s="352"/>
      <c r="D11" s="352"/>
      <c r="E11" s="352"/>
      <c r="F11" s="352"/>
      <c r="G11" s="352"/>
      <c r="H11" s="352"/>
      <c r="I11" s="352"/>
      <c r="J11" s="352"/>
      <c r="K11" s="352"/>
      <c r="L11" s="352"/>
      <c r="M11" s="352"/>
      <c r="O11" s="342" t="s">
        <v>1020</v>
      </c>
      <c r="P11" s="342"/>
      <c r="Q11" s="342"/>
      <c r="R11" s="342"/>
      <c r="S11" s="342"/>
      <c r="T11" s="342"/>
      <c r="U11" s="342"/>
      <c r="V11" s="342"/>
      <c r="W11" s="342"/>
      <c r="X11" s="342"/>
      <c r="Y11" s="342"/>
      <c r="Z11" s="342"/>
      <c r="AA11" s="342"/>
    </row>
    <row r="12" spans="1:27" x14ac:dyDescent="0.25">
      <c r="A12" s="346"/>
      <c r="B12" s="346"/>
      <c r="C12" s="346"/>
      <c r="D12" s="346"/>
      <c r="E12" s="346"/>
      <c r="F12" s="346"/>
      <c r="G12" s="346"/>
      <c r="H12" s="346"/>
      <c r="I12" s="346"/>
      <c r="J12" s="346"/>
      <c r="K12" s="346"/>
      <c r="L12" s="346"/>
      <c r="M12" s="346"/>
      <c r="O12" s="342" t="s">
        <v>1021</v>
      </c>
      <c r="P12" s="342"/>
      <c r="Q12" s="342"/>
      <c r="R12" s="342"/>
      <c r="S12" s="342"/>
      <c r="T12" s="342"/>
      <c r="U12" s="342"/>
      <c r="V12" s="342"/>
      <c r="W12" s="342"/>
      <c r="X12" s="342"/>
      <c r="Y12" s="342"/>
      <c r="Z12" s="342"/>
      <c r="AA12" s="342"/>
    </row>
    <row r="13" spans="1:27" ht="18.75" x14ac:dyDescent="0.3">
      <c r="A13" s="280" t="s">
        <v>537</v>
      </c>
      <c r="B13" s="279"/>
      <c r="C13" s="279"/>
      <c r="D13" s="279"/>
      <c r="E13" s="279"/>
      <c r="F13" s="279"/>
      <c r="G13" s="279"/>
      <c r="H13" s="279"/>
      <c r="I13" s="279"/>
      <c r="J13" s="279"/>
      <c r="K13" s="279"/>
      <c r="L13" s="279"/>
      <c r="M13" s="279"/>
      <c r="O13" s="342" t="s">
        <v>1033</v>
      </c>
      <c r="P13" s="342"/>
      <c r="Q13" s="342"/>
      <c r="R13" s="342"/>
      <c r="S13" s="342"/>
      <c r="T13" s="342"/>
      <c r="U13" s="342"/>
      <c r="V13" s="342"/>
      <c r="W13" s="342"/>
      <c r="X13" s="342"/>
      <c r="Y13" s="342"/>
      <c r="Z13" s="342"/>
      <c r="AA13" s="342"/>
    </row>
    <row r="14" spans="1:27" ht="15.75" x14ac:dyDescent="0.25">
      <c r="A14" s="281" t="s">
        <v>542</v>
      </c>
      <c r="B14" s="279"/>
      <c r="C14" s="279"/>
      <c r="D14" s="279"/>
      <c r="E14" s="279"/>
      <c r="F14" s="279"/>
      <c r="G14" s="279"/>
      <c r="H14" s="279"/>
      <c r="I14" s="279"/>
      <c r="J14" s="279"/>
      <c r="K14" s="279"/>
      <c r="L14" s="279"/>
      <c r="M14" s="279"/>
      <c r="O14" s="284" t="s">
        <v>1034</v>
      </c>
      <c r="P14" s="284"/>
      <c r="Q14" s="284"/>
      <c r="R14" s="284"/>
      <c r="S14" s="284"/>
      <c r="T14" s="284"/>
      <c r="U14" s="284"/>
      <c r="V14" s="284"/>
      <c r="W14" s="284"/>
      <c r="X14" s="284"/>
      <c r="Y14" s="284"/>
      <c r="Z14" s="284"/>
      <c r="AA14" s="284"/>
    </row>
    <row r="15" spans="1:27" x14ac:dyDescent="0.25">
      <c r="A15" s="346" t="s">
        <v>1035</v>
      </c>
      <c r="B15" s="346"/>
      <c r="C15" s="346"/>
      <c r="D15" s="346"/>
      <c r="E15" s="346"/>
      <c r="F15" s="346"/>
      <c r="G15" s="346"/>
      <c r="H15" s="346"/>
      <c r="I15" s="346"/>
      <c r="J15" s="346"/>
      <c r="K15" s="346"/>
      <c r="L15" s="346"/>
      <c r="M15" s="346"/>
      <c r="O15" s="284"/>
      <c r="P15" s="284"/>
      <c r="Q15" s="284"/>
      <c r="R15" s="284"/>
      <c r="S15" s="284"/>
      <c r="T15" s="284"/>
      <c r="U15" s="284"/>
      <c r="V15" s="284"/>
      <c r="W15" s="284"/>
      <c r="X15" s="284"/>
      <c r="Y15" s="284"/>
      <c r="Z15" s="284"/>
      <c r="AA15" s="284"/>
    </row>
    <row r="16" spans="1:27" ht="18.75" x14ac:dyDescent="0.3">
      <c r="A16" s="347" t="s">
        <v>543</v>
      </c>
      <c r="B16" s="347"/>
      <c r="C16" s="347"/>
      <c r="D16" s="347"/>
      <c r="E16" s="347"/>
      <c r="F16" s="347"/>
      <c r="G16" s="347"/>
      <c r="H16" s="347"/>
      <c r="I16" s="347"/>
      <c r="J16" s="347"/>
      <c r="K16" s="347"/>
      <c r="L16" s="347"/>
      <c r="M16" s="347"/>
      <c r="O16" s="285" t="s">
        <v>545</v>
      </c>
      <c r="P16" s="284"/>
      <c r="Q16" s="284"/>
      <c r="R16" s="284"/>
      <c r="S16" s="284"/>
      <c r="T16" s="284"/>
      <c r="U16" s="284"/>
      <c r="V16" s="284"/>
      <c r="W16" s="284"/>
      <c r="X16" s="284"/>
      <c r="Y16" s="284"/>
      <c r="Z16" s="284"/>
      <c r="AA16" s="284"/>
    </row>
    <row r="17" spans="1:27" x14ac:dyDescent="0.25">
      <c r="A17" s="350"/>
      <c r="B17" s="350"/>
      <c r="C17" s="350"/>
      <c r="D17" s="350"/>
      <c r="E17" s="350"/>
      <c r="F17" s="350"/>
      <c r="G17" s="350"/>
      <c r="H17" s="350"/>
      <c r="I17" s="350"/>
      <c r="J17" s="350"/>
      <c r="K17" s="350"/>
      <c r="L17" s="350"/>
      <c r="M17" s="350"/>
      <c r="O17" s="342" t="s">
        <v>1022</v>
      </c>
      <c r="P17" s="342"/>
      <c r="Q17" s="342"/>
      <c r="R17" s="342"/>
      <c r="S17" s="342"/>
      <c r="T17" s="342"/>
      <c r="U17" s="342"/>
      <c r="V17" s="342"/>
      <c r="W17" s="342"/>
      <c r="X17" s="342"/>
      <c r="Y17" s="342"/>
      <c r="Z17" s="342"/>
      <c r="AA17" s="342"/>
    </row>
    <row r="18" spans="1:27" ht="18.75" x14ac:dyDescent="0.3">
      <c r="A18" s="351" t="s">
        <v>538</v>
      </c>
      <c r="B18" s="351"/>
      <c r="C18" s="351"/>
      <c r="D18" s="351"/>
      <c r="E18" s="351"/>
      <c r="F18" s="351"/>
      <c r="G18" s="351"/>
      <c r="H18" s="351"/>
      <c r="I18" s="351"/>
      <c r="J18" s="351"/>
      <c r="K18" s="351"/>
      <c r="L18" s="351"/>
      <c r="M18" s="351"/>
      <c r="O18" s="343" t="s">
        <v>1023</v>
      </c>
      <c r="P18" s="343"/>
      <c r="Q18" s="343"/>
      <c r="R18" s="343"/>
      <c r="S18" s="343"/>
      <c r="T18" s="343"/>
      <c r="U18" s="343"/>
      <c r="V18" s="343"/>
      <c r="W18" s="343"/>
      <c r="X18" s="343"/>
      <c r="Y18" s="343"/>
      <c r="Z18" s="343"/>
      <c r="AA18" s="343"/>
    </row>
    <row r="19" spans="1:27" x14ac:dyDescent="0.25">
      <c r="A19" s="346" t="s">
        <v>1015</v>
      </c>
      <c r="B19" s="346"/>
      <c r="C19" s="346"/>
      <c r="D19" s="346"/>
      <c r="E19" s="346"/>
      <c r="F19" s="346"/>
      <c r="G19" s="346"/>
      <c r="H19" s="346"/>
      <c r="I19" s="346"/>
      <c r="J19" s="346"/>
      <c r="K19" s="346"/>
      <c r="L19" s="346"/>
      <c r="M19" s="346"/>
      <c r="O19" s="342" t="s">
        <v>1024</v>
      </c>
      <c r="P19" s="342"/>
      <c r="Q19" s="342"/>
      <c r="R19" s="342"/>
      <c r="S19" s="342"/>
      <c r="T19" s="342"/>
      <c r="U19" s="342"/>
      <c r="V19" s="342"/>
      <c r="W19" s="342"/>
      <c r="X19" s="342"/>
      <c r="Y19" s="342"/>
      <c r="Z19" s="342"/>
      <c r="AA19" s="342"/>
    </row>
    <row r="20" spans="1:27" x14ac:dyDescent="0.25">
      <c r="A20" s="347" t="s">
        <v>1016</v>
      </c>
      <c r="B20" s="347"/>
      <c r="C20" s="347"/>
      <c r="D20" s="347"/>
      <c r="E20" s="347"/>
      <c r="F20" s="347"/>
      <c r="G20" s="347"/>
      <c r="H20" s="347"/>
      <c r="I20" s="347"/>
      <c r="J20" s="347"/>
      <c r="K20" s="347"/>
      <c r="L20" s="347"/>
      <c r="M20" s="347"/>
      <c r="O20" s="342" t="s">
        <v>546</v>
      </c>
      <c r="P20" s="342"/>
      <c r="Q20" s="342"/>
      <c r="R20" s="342"/>
      <c r="S20" s="342"/>
      <c r="T20" s="342"/>
      <c r="U20" s="342"/>
      <c r="V20" s="342"/>
      <c r="W20" s="342"/>
      <c r="X20" s="342"/>
      <c r="Y20" s="342"/>
      <c r="Z20" s="342"/>
      <c r="AA20" s="342"/>
    </row>
    <row r="21" spans="1:27" x14ac:dyDescent="0.25">
      <c r="A21" s="346" t="s">
        <v>1017</v>
      </c>
      <c r="B21" s="346"/>
      <c r="C21" s="346"/>
      <c r="D21" s="346"/>
      <c r="E21" s="346"/>
      <c r="F21" s="346"/>
      <c r="G21" s="346"/>
      <c r="H21" s="346"/>
      <c r="I21" s="346"/>
      <c r="J21" s="346"/>
      <c r="K21" s="346"/>
      <c r="L21" s="346"/>
      <c r="M21" s="346"/>
      <c r="O21" s="342" t="s">
        <v>547</v>
      </c>
      <c r="P21" s="342"/>
      <c r="Q21" s="342"/>
      <c r="R21" s="342"/>
      <c r="S21" s="342"/>
      <c r="T21" s="342"/>
      <c r="U21" s="342"/>
      <c r="V21" s="342"/>
      <c r="W21" s="342"/>
      <c r="X21" s="342"/>
      <c r="Y21" s="342"/>
      <c r="Z21" s="342"/>
      <c r="AA21" s="342"/>
    </row>
    <row r="22" spans="1:27" x14ac:dyDescent="0.25">
      <c r="A22" s="346" t="s">
        <v>1018</v>
      </c>
      <c r="B22" s="346"/>
      <c r="C22" s="346"/>
      <c r="D22" s="346"/>
      <c r="E22" s="346"/>
      <c r="F22" s="346"/>
      <c r="G22" s="346"/>
      <c r="H22" s="346"/>
      <c r="I22" s="346"/>
      <c r="J22" s="346"/>
      <c r="K22" s="346"/>
      <c r="L22" s="346"/>
      <c r="M22" s="346"/>
      <c r="O22" s="342" t="s">
        <v>551</v>
      </c>
      <c r="P22" s="342"/>
      <c r="Q22" s="342"/>
      <c r="R22" s="342"/>
      <c r="S22" s="342"/>
      <c r="T22" s="342"/>
      <c r="U22" s="342"/>
      <c r="V22" s="342"/>
      <c r="W22" s="342"/>
      <c r="X22" s="342"/>
      <c r="Y22" s="342"/>
      <c r="Z22" s="342"/>
      <c r="AA22" s="342"/>
    </row>
    <row r="23" spans="1:27" x14ac:dyDescent="0.25">
      <c r="A23" s="348"/>
      <c r="B23" s="348"/>
      <c r="C23" s="348"/>
      <c r="D23" s="348"/>
      <c r="E23" s="348"/>
      <c r="F23" s="348"/>
      <c r="G23" s="348"/>
      <c r="H23" s="348"/>
      <c r="I23" s="348"/>
      <c r="J23" s="348"/>
      <c r="K23" s="348"/>
      <c r="L23" s="348"/>
      <c r="M23" s="348"/>
      <c r="O23" s="269"/>
      <c r="P23" s="269"/>
      <c r="Q23" s="269"/>
      <c r="R23" s="269"/>
      <c r="S23" s="269"/>
      <c r="T23" s="269"/>
      <c r="U23" s="269"/>
      <c r="V23" s="269"/>
      <c r="W23" s="269"/>
      <c r="X23" s="269"/>
      <c r="Y23" s="269"/>
      <c r="Z23" s="269"/>
      <c r="AA23" s="269"/>
    </row>
    <row r="25" spans="1:27" x14ac:dyDescent="0.25">
      <c r="A25" t="s">
        <v>1002</v>
      </c>
      <c r="N25" s="293"/>
      <c r="O25" s="293"/>
      <c r="P25" s="293"/>
      <c r="Q25" s="293"/>
    </row>
    <row r="26" spans="1:27" x14ac:dyDescent="0.25">
      <c r="A26" s="293" t="s">
        <v>1001</v>
      </c>
      <c r="B26" s="293"/>
      <c r="C26" s="293"/>
      <c r="D26" s="293"/>
      <c r="E26" s="293"/>
      <c r="F26" s="293"/>
      <c r="G26" s="293"/>
      <c r="H26" s="293"/>
      <c r="I26" s="293"/>
      <c r="J26" s="293"/>
      <c r="K26" s="293"/>
      <c r="L26" s="293"/>
      <c r="M26" s="293"/>
      <c r="N26" s="293"/>
      <c r="O26" s="293"/>
      <c r="P26" s="293"/>
      <c r="Q26" s="293"/>
    </row>
  </sheetData>
  <sheetProtection algorithmName="SHA-512" hashValue="YIQCAh+hylW6mioAUSnUJ+++wjwHL/6fYEhURikzGMeyjrU1J1+74QI7CSU2Y3qIRy/Lj3jqXo1Byps3kn03xw==" saltValue="On8QLq+L5jbtCppUW8tx2Q==" spinCount="100000" sheet="1" objects="1" scenarios="1"/>
  <mergeCells count="36">
    <mergeCell ref="A23:M23"/>
    <mergeCell ref="A12:M12"/>
    <mergeCell ref="A3:M3"/>
    <mergeCell ref="O1:AA1"/>
    <mergeCell ref="A17:M17"/>
    <mergeCell ref="A18:M18"/>
    <mergeCell ref="A22:M22"/>
    <mergeCell ref="A15:M15"/>
    <mergeCell ref="A16:M16"/>
    <mergeCell ref="A19:M19"/>
    <mergeCell ref="A20:M20"/>
    <mergeCell ref="A21:M21"/>
    <mergeCell ref="A11:M11"/>
    <mergeCell ref="O3:AA3"/>
    <mergeCell ref="O4:AA4"/>
    <mergeCell ref="O5:AA5"/>
    <mergeCell ref="A1:M1"/>
    <mergeCell ref="A10:M10"/>
    <mergeCell ref="A5:M5"/>
    <mergeCell ref="A8:M8"/>
    <mergeCell ref="O10:AA10"/>
    <mergeCell ref="O6:AA6"/>
    <mergeCell ref="A4:M4"/>
    <mergeCell ref="A6:M6"/>
    <mergeCell ref="A7:M7"/>
    <mergeCell ref="A9:M9"/>
    <mergeCell ref="O11:AA11"/>
    <mergeCell ref="O7:AA7"/>
    <mergeCell ref="O19:AA19"/>
    <mergeCell ref="O20:AA20"/>
    <mergeCell ref="O21:AA21"/>
    <mergeCell ref="O22:AA22"/>
    <mergeCell ref="O12:AA12"/>
    <mergeCell ref="O13:AA13"/>
    <mergeCell ref="O17:AA17"/>
    <mergeCell ref="O18:AA18"/>
  </mergeCells>
  <hyperlinks>
    <hyperlink ref="A6:M6" location="Worksheet!A1" display="2. Fill out the Worksheet tab, inputting information into all green cells and explaining any added or improved sequences" xr:uid="{A415BADC-EF1F-4B68-BFCE-7B354802B7B9}"/>
    <hyperlink ref="A7:M7" location="'PSE Only - Scope Review'!A1" display="3. Schedule Scope Review meeting with PSE to go over the project and determine the most likely incentive pathway (Holly.Lloyd@pse.com)" xr:uid="{F4206ACB-F4D6-4DFB-981C-BFA63390C5F6}"/>
    <hyperlink ref="A9:M9" location="'OA Calibration'!A1" display="4. If moving forward, document existing conditions on the OA Calibration tab (or use your own document)" xr:uid="{1D8CB5F8-344F-4791-ACEC-FA37A22AD93A}"/>
    <hyperlink ref="A16:M16" location="'Facility Guide'!A1" display="2. Assemble the Facility Guide Document for the customer with all associated requirements complete" xr:uid="{174644A9-EB17-4E7A-83D7-1A5268A178AC}"/>
    <hyperlink ref="O3:AA3" location="'PSE Only - Scope Review'!A1" display="1. Conduct Scope Review meeting with the contractor and review the submitted Worksheet page if one has been submitted." xr:uid="{4095B35D-8E01-45BD-BB90-C42DAE8F20A3}"/>
    <hyperlink ref="O5:AA5" location="Worksheet!A40" display="3. Email the customer and contractor the Base + Performance Incentive table from the Worksheet tab for the grant estimate. " xr:uid="{EF736097-3577-43FB-A02E-89746A76FA75}"/>
    <hyperlink ref="A5:M5" r:id="rId1" display="2. Ensure that you are using the most recent version of the Worksheet by downloading it from the PSE webpage." xr:uid="{769DBB0F-9D5F-4CB2-AF66-6764BE17CADB}"/>
    <hyperlink ref="A8:M8" r:id="rId2" display="5. If moving forward, submit a PSE Grant Application." xr:uid="{2E2FA610-BA02-4438-A2E5-466485CC149D}"/>
    <hyperlink ref="A20:M20" location="'PSE Only - Bldg Changes'!A1" display="2. Notify PSE of any changes to the building you are aware of (occupancy, space use type, major equipment changes, etc)." xr:uid="{687A03E7-FD87-4BB0-942A-907BAB8771A6}"/>
    <hyperlink ref="O18:AA18" location="'PSE Only - Bldg Changes'!A1" display="2. When one year since the project was fully commissioned has passed, determine any building changes that occurred." xr:uid="{89E9825B-9114-4307-B53B-03717D86357F}"/>
    <hyperlink ref="A26:Q26" r:id="rId3" display="For the most recent version, please contact PSE or visit https://www.pse.com/en/business-incentives/hvac-incentive-and-rebate-programs/major-hvac-controls-upgrade-rebates" xr:uid="{84A67AA0-585A-4B98-B185-D0E01E7B0EBD}"/>
  </hyperlinks>
  <pageMargins left="0.7" right="0.7" top="0.75" bottom="0.75" header="0.3" footer="0.3"/>
  <pageSetup scale="95" orientation="landscape"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FFCC"/>
    <pageSetUpPr fitToPage="1"/>
  </sheetPr>
  <dimension ref="A1:AT97"/>
  <sheetViews>
    <sheetView tabSelected="1" zoomScale="85" zoomScaleNormal="85" workbookViewId="0">
      <selection activeCell="B2" sqref="B2:D2"/>
    </sheetView>
  </sheetViews>
  <sheetFormatPr defaultRowHeight="15" x14ac:dyDescent="0.25"/>
  <cols>
    <col min="1" max="1" width="19.42578125" customWidth="1"/>
    <col min="2" max="2" width="20.42578125" customWidth="1"/>
    <col min="3" max="3" width="16.7109375" bestFit="1" customWidth="1"/>
    <col min="4" max="4" width="16.85546875" customWidth="1"/>
    <col min="5" max="5" width="21.5703125" customWidth="1"/>
    <col min="6" max="6" width="2.7109375" customWidth="1"/>
    <col min="7" max="7" width="26.42578125" customWidth="1"/>
    <col min="8" max="8" width="19.28515625" customWidth="1"/>
    <col min="9" max="9" width="17.7109375" customWidth="1"/>
    <col min="10" max="10" width="9.5703125" customWidth="1"/>
    <col min="11" max="11" width="12.140625" style="45" customWidth="1"/>
    <col min="12" max="12" width="12.5703125" style="45" bestFit="1" customWidth="1"/>
    <col min="13" max="13" width="15.140625" style="45" customWidth="1"/>
    <col min="14" max="14" width="12.5703125" style="45" bestFit="1" customWidth="1"/>
    <col min="15" max="15" width="15.28515625" style="45" customWidth="1"/>
    <col min="16" max="16" width="12.5703125" style="45" bestFit="1" customWidth="1"/>
    <col min="17" max="17" width="13.42578125" style="45" customWidth="1"/>
    <col min="18" max="18" width="15" style="45" customWidth="1"/>
    <col min="19" max="19" width="11.5703125" style="45" bestFit="1" customWidth="1"/>
    <col min="20" max="20" width="15.5703125" style="45" customWidth="1"/>
    <col min="21" max="21" width="15.85546875" style="45" customWidth="1"/>
    <col min="22" max="22" width="14.5703125" style="45" customWidth="1"/>
    <col min="23" max="23" width="12.85546875" style="45" customWidth="1"/>
    <col min="24" max="36" width="9.140625" style="45"/>
    <col min="44" max="44" width="12.5703125" bestFit="1" customWidth="1"/>
  </cols>
  <sheetData>
    <row r="1" spans="1:46" ht="23.25" x14ac:dyDescent="0.35">
      <c r="A1" s="380" t="s">
        <v>1188</v>
      </c>
      <c r="B1" s="381"/>
      <c r="C1" s="381"/>
      <c r="D1" s="381"/>
      <c r="E1" s="381"/>
      <c r="F1" s="381"/>
      <c r="G1" s="381"/>
      <c r="H1" s="381"/>
      <c r="I1" s="381"/>
      <c r="J1" s="381"/>
      <c r="K1" s="381"/>
      <c r="L1" s="381"/>
      <c r="M1" s="381"/>
      <c r="N1" s="382"/>
      <c r="O1" s="99"/>
      <c r="V1" s="59"/>
      <c r="W1" s="59"/>
      <c r="X1" s="59"/>
      <c r="Y1" s="59"/>
      <c r="Z1" s="59"/>
      <c r="AA1" s="59"/>
      <c r="AB1" s="59"/>
      <c r="AC1" s="59"/>
      <c r="AD1" s="59"/>
      <c r="AE1" s="59"/>
      <c r="AF1" s="59"/>
      <c r="AG1" s="59"/>
      <c r="AK1" s="59"/>
      <c r="AL1" s="59"/>
      <c r="AM1" s="59"/>
      <c r="AN1" s="59"/>
      <c r="AO1" s="59"/>
      <c r="AP1" s="59"/>
      <c r="AQ1" s="59"/>
      <c r="AR1" s="59"/>
      <c r="AS1" s="59"/>
    </row>
    <row r="2" spans="1:46" x14ac:dyDescent="0.25">
      <c r="A2" s="211" t="s">
        <v>40</v>
      </c>
      <c r="B2" s="398"/>
      <c r="C2" s="398"/>
      <c r="D2" s="399"/>
      <c r="E2" s="250" t="s">
        <v>105</v>
      </c>
      <c r="F2" s="260"/>
      <c r="G2" s="270" t="s">
        <v>565</v>
      </c>
      <c r="H2" s="400" t="s">
        <v>1162</v>
      </c>
      <c r="I2" s="400"/>
      <c r="J2" s="400"/>
      <c r="K2" s="63" t="s">
        <v>1135</v>
      </c>
      <c r="L2" s="212"/>
      <c r="M2" s="59"/>
      <c r="N2" s="222"/>
      <c r="O2" s="99"/>
      <c r="V2" s="59"/>
      <c r="W2" s="59"/>
      <c r="X2" s="59"/>
      <c r="Y2" s="59"/>
      <c r="Z2" s="59"/>
      <c r="AA2" s="59"/>
      <c r="AB2" s="59"/>
      <c r="AC2" s="59"/>
      <c r="AD2" s="59"/>
      <c r="AE2" s="59"/>
      <c r="AF2" s="59"/>
      <c r="AG2" s="59"/>
      <c r="AK2" s="59"/>
      <c r="AL2" s="59"/>
      <c r="AM2" s="59"/>
      <c r="AN2" s="59"/>
      <c r="AO2" s="59"/>
      <c r="AP2" s="59"/>
      <c r="AQ2" s="59"/>
      <c r="AR2" s="59"/>
      <c r="AS2" s="59"/>
    </row>
    <row r="3" spans="1:46" ht="15" customHeight="1" x14ac:dyDescent="0.25">
      <c r="A3" s="211" t="s">
        <v>41</v>
      </c>
      <c r="B3" s="398"/>
      <c r="C3" s="398"/>
      <c r="D3" s="399"/>
      <c r="E3" s="303" t="s">
        <v>517</v>
      </c>
      <c r="F3" s="261"/>
      <c r="G3" s="356" t="s">
        <v>842</v>
      </c>
      <c r="H3" s="356"/>
      <c r="I3" s="356"/>
      <c r="J3" s="356"/>
      <c r="K3" s="392" t="s">
        <v>1003</v>
      </c>
      <c r="L3" s="392"/>
      <c r="M3" s="392"/>
      <c r="N3" s="393"/>
      <c r="O3" s="273"/>
      <c r="V3" s="59"/>
      <c r="W3" s="59"/>
      <c r="X3" s="59"/>
      <c r="Y3" s="59"/>
      <c r="Z3" s="59"/>
      <c r="AA3" s="59"/>
      <c r="AB3" s="59"/>
      <c r="AC3" s="59"/>
      <c r="AD3" s="59"/>
      <c r="AE3" s="59"/>
      <c r="AF3" s="59"/>
      <c r="AG3" s="59"/>
      <c r="AK3" s="59"/>
      <c r="AL3" s="59"/>
      <c r="AM3" s="59"/>
      <c r="AN3" s="59"/>
      <c r="AO3" s="59"/>
      <c r="AP3" s="59"/>
      <c r="AQ3" s="59"/>
      <c r="AR3" s="59"/>
      <c r="AS3" s="59"/>
    </row>
    <row r="4" spans="1:46" ht="16.5" customHeight="1" x14ac:dyDescent="0.25">
      <c r="A4" s="255" t="s">
        <v>511</v>
      </c>
      <c r="B4" s="398" t="s">
        <v>521</v>
      </c>
      <c r="C4" s="398"/>
      <c r="D4" s="399"/>
      <c r="E4" s="303" t="s">
        <v>517</v>
      </c>
      <c r="F4" s="261"/>
      <c r="G4" s="356" t="s">
        <v>572</v>
      </c>
      <c r="H4" s="356"/>
      <c r="I4" s="356"/>
      <c r="J4" s="356"/>
      <c r="K4" s="392"/>
      <c r="L4" s="392"/>
      <c r="M4" s="392"/>
      <c r="N4" s="393"/>
      <c r="O4" s="268"/>
      <c r="V4" s="59"/>
      <c r="W4" s="59"/>
      <c r="X4" s="59"/>
      <c r="Y4" s="59"/>
      <c r="Z4" s="59"/>
      <c r="AA4" s="59"/>
      <c r="AB4" s="59"/>
      <c r="AC4" s="59"/>
      <c r="AD4" s="59"/>
      <c r="AE4" s="59"/>
      <c r="AF4" s="59"/>
      <c r="AG4" s="59"/>
      <c r="AK4" s="59"/>
      <c r="AL4" s="59"/>
      <c r="AM4" s="59"/>
      <c r="AN4" s="59"/>
      <c r="AO4" s="59"/>
      <c r="AP4" s="59"/>
      <c r="AQ4" s="59"/>
      <c r="AR4" s="59"/>
      <c r="AS4" s="59"/>
    </row>
    <row r="5" spans="1:46" ht="15.75" customHeight="1" x14ac:dyDescent="0.25">
      <c r="A5" s="213" t="s">
        <v>39</v>
      </c>
      <c r="B5" s="92"/>
      <c r="C5" s="198" t="s">
        <v>1194</v>
      </c>
      <c r="D5" s="105"/>
      <c r="E5" s="303" t="s">
        <v>517</v>
      </c>
      <c r="F5" s="261"/>
      <c r="G5" s="356" t="s">
        <v>582</v>
      </c>
      <c r="H5" s="356"/>
      <c r="I5" s="356"/>
      <c r="J5" s="356"/>
      <c r="K5" s="392"/>
      <c r="L5" s="392"/>
      <c r="M5" s="392"/>
      <c r="N5" s="393"/>
      <c r="O5" s="268"/>
      <c r="V5" s="59"/>
      <c r="W5" s="59"/>
      <c r="X5" s="59"/>
      <c r="Y5" s="59"/>
      <c r="Z5" s="59"/>
      <c r="AA5" s="59"/>
      <c r="AB5" s="59"/>
      <c r="AC5" s="59"/>
      <c r="AD5" s="59"/>
      <c r="AE5" s="59"/>
      <c r="AF5" s="59"/>
      <c r="AG5" s="59"/>
      <c r="AK5" s="59"/>
      <c r="AL5" s="59"/>
      <c r="AM5" s="59"/>
      <c r="AN5" s="59"/>
      <c r="AO5" s="59"/>
      <c r="AP5" s="59"/>
      <c r="AQ5" s="59"/>
      <c r="AR5" s="59"/>
      <c r="AS5" s="59"/>
    </row>
    <row r="6" spans="1:46" ht="15.75" customHeight="1" x14ac:dyDescent="0.25">
      <c r="A6" s="213" t="s">
        <v>0</v>
      </c>
      <c r="B6" s="89"/>
      <c r="C6" s="401" t="s">
        <v>1173</v>
      </c>
      <c r="D6" s="403" t="s">
        <v>1174</v>
      </c>
      <c r="E6" s="303" t="s">
        <v>517</v>
      </c>
      <c r="F6" s="261"/>
      <c r="G6" s="356" t="s">
        <v>586</v>
      </c>
      <c r="H6" s="356"/>
      <c r="I6" s="356"/>
      <c r="J6" s="356"/>
      <c r="K6" s="392" t="s">
        <v>1158</v>
      </c>
      <c r="L6" s="392"/>
      <c r="M6" s="392"/>
      <c r="N6" s="393"/>
      <c r="O6" s="272"/>
      <c r="V6" s="59"/>
      <c r="W6" s="59"/>
      <c r="X6" s="59"/>
      <c r="Y6" s="59"/>
      <c r="Z6" s="59"/>
      <c r="AA6" s="59"/>
      <c r="AB6" s="59"/>
      <c r="AC6" s="59"/>
      <c r="AD6" s="59"/>
      <c r="AE6" s="59"/>
      <c r="AF6" s="59"/>
      <c r="AG6" s="59"/>
      <c r="AK6" s="59"/>
      <c r="AL6" s="59"/>
      <c r="AM6" s="59"/>
      <c r="AN6" s="59"/>
      <c r="AO6" s="59"/>
      <c r="AP6" s="59"/>
      <c r="AQ6" s="59"/>
      <c r="AR6" s="59"/>
      <c r="AS6" s="59"/>
    </row>
    <row r="7" spans="1:46" ht="15" customHeight="1" x14ac:dyDescent="0.25">
      <c r="A7" s="213" t="s">
        <v>42</v>
      </c>
      <c r="B7" s="98"/>
      <c r="C7" s="402"/>
      <c r="D7" s="404"/>
      <c r="E7" s="303" t="s">
        <v>517</v>
      </c>
      <c r="F7" s="261"/>
      <c r="G7" s="356" t="s">
        <v>553</v>
      </c>
      <c r="H7" s="356"/>
      <c r="I7" s="356"/>
      <c r="J7" s="356"/>
      <c r="K7" s="392"/>
      <c r="L7" s="392"/>
      <c r="M7" s="392"/>
      <c r="N7" s="393"/>
      <c r="O7" s="272"/>
      <c r="V7" s="59"/>
      <c r="W7" s="59"/>
      <c r="X7" s="59"/>
      <c r="Y7" s="59"/>
      <c r="Z7" s="59"/>
      <c r="AA7" s="59"/>
      <c r="AB7" s="59"/>
      <c r="AC7" s="59"/>
      <c r="AD7" s="59"/>
      <c r="AE7" s="59"/>
      <c r="AF7" s="59"/>
      <c r="AG7" s="59"/>
      <c r="AK7" s="59"/>
      <c r="AL7" s="59"/>
      <c r="AM7" s="59"/>
      <c r="AN7" s="59"/>
      <c r="AO7" s="59"/>
      <c r="AP7" s="59"/>
      <c r="AQ7" s="59"/>
      <c r="AR7" s="59"/>
      <c r="AS7" s="59"/>
    </row>
    <row r="8" spans="1:46" ht="15" customHeight="1" x14ac:dyDescent="0.25">
      <c r="A8" s="214" t="s">
        <v>27</v>
      </c>
      <c r="B8" s="115"/>
      <c r="C8" s="405" t="str">
        <f>IF(D6="No","Do not use this worksheet. Schedule scope review mtg. w/PSE.","")</f>
        <v/>
      </c>
      <c r="D8" s="406"/>
      <c r="E8" s="303" t="s">
        <v>517</v>
      </c>
      <c r="F8" s="261"/>
      <c r="G8" s="356" t="s">
        <v>554</v>
      </c>
      <c r="H8" s="356"/>
      <c r="I8" s="356"/>
      <c r="J8" s="356"/>
      <c r="K8" s="392"/>
      <c r="L8" s="392"/>
      <c r="M8" s="392"/>
      <c r="N8" s="393"/>
      <c r="O8" s="268"/>
      <c r="V8" s="59"/>
      <c r="W8" s="59"/>
      <c r="X8" s="59"/>
      <c r="Y8" s="59"/>
      <c r="Z8" s="59"/>
      <c r="AA8" s="59"/>
      <c r="AB8" s="59"/>
      <c r="AC8" s="59"/>
      <c r="AD8" s="59"/>
      <c r="AE8" s="59"/>
      <c r="AF8" s="59"/>
      <c r="AG8" s="59"/>
      <c r="AK8" s="59"/>
      <c r="AL8" s="59"/>
      <c r="AM8" s="59"/>
      <c r="AN8" s="59"/>
      <c r="AT8" s="45"/>
    </row>
    <row r="9" spans="1:46" ht="15.75" thickBot="1" x14ac:dyDescent="0.3">
      <c r="A9" s="223" t="s">
        <v>47</v>
      </c>
      <c r="B9" s="220">
        <f>+IF(B6="pse gas",B8*0.25,B8*0.5)</f>
        <v>0</v>
      </c>
      <c r="C9" s="407"/>
      <c r="D9" s="408"/>
      <c r="E9" s="303" t="s">
        <v>517</v>
      </c>
      <c r="F9" s="261"/>
      <c r="G9" s="356" t="s">
        <v>1010</v>
      </c>
      <c r="H9" s="356"/>
      <c r="I9" s="356"/>
      <c r="J9" s="356"/>
      <c r="K9" s="392"/>
      <c r="L9" s="392"/>
      <c r="M9" s="392"/>
      <c r="N9" s="393"/>
      <c r="O9" s="268"/>
      <c r="V9" s="70"/>
      <c r="W9" s="70"/>
      <c r="X9" s="59"/>
      <c r="Y9" s="59"/>
      <c r="Z9" s="59"/>
      <c r="AA9" s="59"/>
      <c r="AB9" s="59"/>
      <c r="AC9" s="59"/>
      <c r="AD9" s="59"/>
      <c r="AE9" s="59"/>
      <c r="AF9" s="59"/>
      <c r="AG9" s="59"/>
      <c r="AK9" s="59"/>
      <c r="AL9" s="59"/>
      <c r="AM9" s="59"/>
      <c r="AN9" s="59"/>
      <c r="AT9" s="45"/>
    </row>
    <row r="10" spans="1:46" ht="15.75" customHeight="1" thickBot="1" x14ac:dyDescent="0.3">
      <c r="A10" s="409" t="s">
        <v>1011</v>
      </c>
      <c r="B10" s="410"/>
      <c r="C10" s="410"/>
      <c r="D10" s="411"/>
      <c r="E10" s="303" t="s">
        <v>517</v>
      </c>
      <c r="F10" s="261"/>
      <c r="G10" s="356" t="s">
        <v>968</v>
      </c>
      <c r="H10" s="356"/>
      <c r="I10" s="356"/>
      <c r="J10" s="356"/>
      <c r="K10" s="392"/>
      <c r="L10" s="392"/>
      <c r="M10" s="392"/>
      <c r="N10" s="393"/>
      <c r="O10" s="268"/>
      <c r="V10" s="59"/>
      <c r="W10" s="59"/>
      <c r="X10" s="59"/>
      <c r="Y10" s="59"/>
      <c r="Z10" s="59"/>
      <c r="AA10" s="59"/>
      <c r="AB10" s="59"/>
      <c r="AC10" s="59"/>
      <c r="AD10" s="59"/>
      <c r="AE10" s="59"/>
      <c r="AF10" s="59"/>
      <c r="AG10" s="59"/>
      <c r="AK10" s="59"/>
      <c r="AL10" s="59"/>
      <c r="AM10" s="59"/>
      <c r="AN10" s="59"/>
      <c r="AT10" s="45"/>
    </row>
    <row r="11" spans="1:46" x14ac:dyDescent="0.25">
      <c r="A11" s="54"/>
      <c r="B11" s="221"/>
      <c r="C11" s="361"/>
      <c r="D11" s="414"/>
      <c r="E11" s="303" t="s">
        <v>517</v>
      </c>
      <c r="F11" s="261"/>
      <c r="G11" s="356" t="s">
        <v>969</v>
      </c>
      <c r="H11" s="356"/>
      <c r="I11" s="356"/>
      <c r="J11" s="356"/>
      <c r="K11" s="392"/>
      <c r="L11" s="392"/>
      <c r="M11" s="392"/>
      <c r="N11" s="393"/>
      <c r="O11" s="268"/>
      <c r="V11" s="59"/>
      <c r="W11" s="59"/>
      <c r="X11" s="59"/>
      <c r="Y11" s="59"/>
      <c r="Z11" s="59"/>
      <c r="AA11" s="59"/>
      <c r="AB11" s="59"/>
      <c r="AC11" s="59"/>
      <c r="AD11" s="59"/>
      <c r="AE11" s="59"/>
      <c r="AF11" s="59"/>
      <c r="AG11" s="59"/>
      <c r="AK11" s="59"/>
      <c r="AL11" s="59"/>
      <c r="AM11" s="59"/>
      <c r="AN11" s="59"/>
      <c r="AT11" s="45"/>
    </row>
    <row r="12" spans="1:46" x14ac:dyDescent="0.25">
      <c r="A12" s="90" t="s">
        <v>46</v>
      </c>
      <c r="B12" s="88"/>
      <c r="C12" s="86" t="s">
        <v>36</v>
      </c>
      <c r="D12" s="287" t="str">
        <f>IFERROR(IF(AnnualTherms=0,"",ROUND((AnnualTherms*100000/1000/sqft)/C17*100,1)&amp;"% of EUI"),"")</f>
        <v/>
      </c>
      <c r="E12" s="303" t="s">
        <v>517</v>
      </c>
      <c r="F12" s="261"/>
      <c r="G12" s="356" t="s">
        <v>555</v>
      </c>
      <c r="H12" s="356"/>
      <c r="I12" s="356"/>
      <c r="J12" s="356"/>
      <c r="K12" s="390"/>
      <c r="L12" s="390"/>
      <c r="M12" s="390"/>
      <c r="N12" s="391"/>
      <c r="O12" s="268"/>
      <c r="R12" s="66"/>
      <c r="S12" s="64"/>
      <c r="T12" s="64"/>
      <c r="U12" s="64"/>
      <c r="V12" s="71"/>
      <c r="W12" s="71"/>
      <c r="X12" s="59"/>
      <c r="Y12" s="59"/>
      <c r="Z12" s="59"/>
      <c r="AA12" s="59"/>
      <c r="AB12" s="59"/>
      <c r="AC12" s="59"/>
      <c r="AD12" s="59"/>
      <c r="AE12" s="59"/>
      <c r="AF12" s="59"/>
      <c r="AG12" s="59"/>
      <c r="AK12" s="59"/>
      <c r="AL12" s="59"/>
      <c r="AM12" s="59"/>
      <c r="AN12" s="59"/>
      <c r="AT12" s="45"/>
    </row>
    <row r="13" spans="1:46" x14ac:dyDescent="0.25">
      <c r="A13" s="54"/>
      <c r="B13" s="28"/>
      <c r="C13" s="415"/>
      <c r="D13" s="416"/>
      <c r="E13" s="303" t="s">
        <v>517</v>
      </c>
      <c r="F13" s="261"/>
      <c r="G13" s="356" t="s">
        <v>725</v>
      </c>
      <c r="H13" s="356"/>
      <c r="I13" s="356"/>
      <c r="J13" s="356"/>
      <c r="K13" s="390"/>
      <c r="L13" s="390"/>
      <c r="M13" s="390"/>
      <c r="N13" s="391"/>
      <c r="O13" s="268"/>
      <c r="R13" s="66"/>
      <c r="S13" s="64"/>
      <c r="T13" s="64"/>
      <c r="U13" s="64"/>
      <c r="V13" s="71"/>
      <c r="W13" s="71"/>
      <c r="X13" s="59"/>
      <c r="Y13" s="59"/>
      <c r="Z13" s="59"/>
      <c r="AA13" s="59"/>
      <c r="AB13" s="59"/>
      <c r="AC13" s="59"/>
      <c r="AD13" s="59"/>
      <c r="AE13" s="59"/>
      <c r="AF13" s="59"/>
      <c r="AG13" s="59"/>
      <c r="AK13" s="59"/>
      <c r="AL13" s="59"/>
      <c r="AM13" s="59"/>
      <c r="AN13" s="59"/>
      <c r="AT13" s="61"/>
    </row>
    <row r="14" spans="1:46" ht="15.75" customHeight="1" x14ac:dyDescent="0.25">
      <c r="A14" s="91" t="s">
        <v>45</v>
      </c>
      <c r="B14" s="88"/>
      <c r="C14" s="87" t="s">
        <v>37</v>
      </c>
      <c r="D14" s="286" t="str">
        <f>IFERROR(IF(AnnualkWhs=0,"",ROUND((AnnualkWhs*3.412/sqft)/C17*100,1)&amp;"% of EUI"),"")</f>
        <v/>
      </c>
      <c r="E14" s="303" t="s">
        <v>517</v>
      </c>
      <c r="F14" s="261"/>
      <c r="G14" s="356" t="s">
        <v>757</v>
      </c>
      <c r="H14" s="356"/>
      <c r="I14" s="356"/>
      <c r="J14" s="356"/>
      <c r="K14" s="390"/>
      <c r="L14" s="390"/>
      <c r="M14" s="390"/>
      <c r="N14" s="391"/>
      <c r="O14" s="268"/>
      <c r="R14" s="66"/>
      <c r="S14" s="64"/>
      <c r="T14" s="64"/>
      <c r="U14" s="64"/>
      <c r="V14" s="71"/>
      <c r="W14" s="71"/>
      <c r="X14" s="59"/>
      <c r="Y14" s="59"/>
      <c r="Z14" s="59"/>
      <c r="AA14" s="59"/>
      <c r="AB14" s="59"/>
      <c r="AC14" s="59"/>
      <c r="AD14" s="59"/>
      <c r="AE14" s="59"/>
      <c r="AF14" s="59"/>
      <c r="AG14" s="59"/>
      <c r="AK14" s="59"/>
      <c r="AL14" s="59"/>
      <c r="AM14" s="59"/>
      <c r="AN14" s="59"/>
      <c r="AT14" s="61"/>
    </row>
    <row r="15" spans="1:46" x14ac:dyDescent="0.25">
      <c r="A15" s="417"/>
      <c r="B15" s="418"/>
      <c r="C15" s="418"/>
      <c r="D15" s="416"/>
      <c r="E15" s="117"/>
      <c r="F15" s="261"/>
      <c r="G15" s="96"/>
      <c r="H15" s="97"/>
      <c r="I15" s="97"/>
      <c r="J15" s="97"/>
      <c r="K15" s="392"/>
      <c r="L15" s="392"/>
      <c r="M15" s="392"/>
      <c r="N15" s="393"/>
      <c r="O15" s="272"/>
      <c r="R15" s="66"/>
      <c r="S15" s="64"/>
      <c r="T15" s="64"/>
      <c r="U15" s="64"/>
      <c r="V15" s="71"/>
      <c r="W15" s="71"/>
      <c r="X15" s="59"/>
      <c r="Y15" s="59"/>
      <c r="Z15" s="59"/>
      <c r="AA15" s="59"/>
      <c r="AB15" s="59"/>
      <c r="AC15" s="59"/>
      <c r="AD15" s="59"/>
      <c r="AE15" s="59"/>
      <c r="AF15" s="59"/>
      <c r="AG15" s="59"/>
      <c r="AK15" s="59"/>
      <c r="AL15" s="59"/>
      <c r="AM15" s="59"/>
      <c r="AN15" s="59"/>
      <c r="AT15" s="61"/>
    </row>
    <row r="16" spans="1:46" x14ac:dyDescent="0.25">
      <c r="A16" s="396" t="s">
        <v>44</v>
      </c>
      <c r="B16" s="397"/>
      <c r="C16" s="304" t="str">
        <f>IFERROR(VLOOKUP(B5,'DoC EUI Existing Bldg'!A2:B52,2,FALSE),"")</f>
        <v/>
      </c>
      <c r="D16" s="106" t="s">
        <v>43</v>
      </c>
      <c r="E16" s="118"/>
      <c r="F16" s="261"/>
      <c r="G16" s="379" t="s">
        <v>508</v>
      </c>
      <c r="H16" s="379"/>
      <c r="I16" s="379"/>
      <c r="J16" s="379"/>
      <c r="K16" s="392"/>
      <c r="L16" s="392"/>
      <c r="M16" s="392"/>
      <c r="N16" s="393"/>
      <c r="O16" s="272"/>
      <c r="R16" s="66"/>
      <c r="S16" s="64"/>
      <c r="T16" s="64"/>
      <c r="U16" s="64"/>
      <c r="V16" s="71"/>
      <c r="W16" s="71"/>
      <c r="X16" s="59"/>
      <c r="Y16" s="59"/>
      <c r="Z16" s="59"/>
      <c r="AA16" s="59"/>
      <c r="AB16" s="59"/>
      <c r="AC16" s="59"/>
      <c r="AD16" s="59"/>
      <c r="AE16" s="59"/>
      <c r="AF16" s="59"/>
      <c r="AG16" s="59"/>
      <c r="AK16" s="59"/>
      <c r="AL16" s="59"/>
      <c r="AM16" s="59"/>
      <c r="AN16" s="59"/>
      <c r="AT16" s="61"/>
    </row>
    <row r="17" spans="1:46" ht="15.75" thickBot="1" x14ac:dyDescent="0.3">
      <c r="A17" s="412" t="s">
        <v>38</v>
      </c>
      <c r="B17" s="413"/>
      <c r="C17" s="95" t="str">
        <f>+IFERROR((B14*3412+B12*100000)/1000/sqft,"")</f>
        <v/>
      </c>
      <c r="D17" s="107" t="s">
        <v>43</v>
      </c>
      <c r="E17" s="303" t="s">
        <v>517</v>
      </c>
      <c r="F17" s="261"/>
      <c r="G17" s="356" t="s">
        <v>767</v>
      </c>
      <c r="H17" s="356"/>
      <c r="I17" s="356"/>
      <c r="J17" s="356"/>
      <c r="K17" s="392"/>
      <c r="L17" s="392"/>
      <c r="M17" s="392"/>
      <c r="N17" s="393"/>
      <c r="O17" s="272"/>
      <c r="R17" s="66"/>
      <c r="S17" s="64"/>
      <c r="T17" s="64"/>
      <c r="U17" s="64"/>
      <c r="V17" s="71"/>
      <c r="W17" s="71"/>
      <c r="X17" s="59"/>
      <c r="Y17" s="59"/>
      <c r="Z17" s="59"/>
      <c r="AA17" s="59"/>
      <c r="AB17" s="59"/>
      <c r="AC17" s="59"/>
      <c r="AD17" s="59"/>
      <c r="AE17" s="59"/>
      <c r="AF17" s="59"/>
      <c r="AG17" s="59"/>
      <c r="AK17" s="59"/>
      <c r="AL17" s="59"/>
      <c r="AM17" s="59"/>
      <c r="AN17" s="59"/>
      <c r="AT17" s="61"/>
    </row>
    <row r="18" spans="1:46" ht="16.5" thickBot="1" x14ac:dyDescent="0.3">
      <c r="A18" s="193" t="str">
        <f>IFERROR(IF(C17/C16&gt;1.1,"High savings potential",IF(C17/C16&gt;0.7,"Moderate savings potential","Low savings potential - further substantiation needed")),"")</f>
        <v/>
      </c>
      <c r="B18" s="104"/>
      <c r="C18" s="120"/>
      <c r="D18" s="108"/>
      <c r="E18" s="303" t="s">
        <v>517</v>
      </c>
      <c r="F18" s="261"/>
      <c r="G18" s="356" t="s">
        <v>970</v>
      </c>
      <c r="H18" s="356"/>
      <c r="I18" s="356"/>
      <c r="J18" s="356"/>
      <c r="K18" s="392"/>
      <c r="L18" s="392"/>
      <c r="M18" s="392"/>
      <c r="N18" s="393"/>
      <c r="O18" s="268"/>
      <c r="R18" s="66"/>
      <c r="S18" s="64"/>
      <c r="T18" s="64"/>
      <c r="U18" s="64"/>
      <c r="V18" s="71"/>
      <c r="W18" s="71"/>
      <c r="X18" s="59"/>
      <c r="Y18" s="59"/>
      <c r="Z18" s="59"/>
      <c r="AA18" s="59"/>
      <c r="AB18" s="59"/>
      <c r="AC18" s="59"/>
      <c r="AD18" s="59"/>
      <c r="AE18" s="59"/>
      <c r="AF18" s="59"/>
      <c r="AG18" s="59"/>
      <c r="AK18" s="59"/>
      <c r="AL18" s="59"/>
      <c r="AM18" s="59"/>
      <c r="AN18" s="59"/>
      <c r="AT18" s="61"/>
    </row>
    <row r="19" spans="1:46" ht="16.5" thickBot="1" x14ac:dyDescent="0.3">
      <c r="A19" s="383" t="s">
        <v>101</v>
      </c>
      <c r="B19" s="420"/>
      <c r="C19" s="420"/>
      <c r="D19" s="421"/>
      <c r="E19" s="303" t="s">
        <v>517</v>
      </c>
      <c r="F19" s="261"/>
      <c r="G19" s="356" t="s">
        <v>794</v>
      </c>
      <c r="H19" s="356"/>
      <c r="I19" s="356"/>
      <c r="J19" s="356"/>
      <c r="K19" s="392"/>
      <c r="L19" s="392"/>
      <c r="M19" s="392"/>
      <c r="N19" s="393"/>
      <c r="O19" s="268"/>
      <c r="R19" s="66"/>
      <c r="S19" s="64"/>
      <c r="T19" s="64"/>
      <c r="U19" s="64"/>
      <c r="V19" s="71"/>
      <c r="W19" s="71"/>
      <c r="X19" s="59"/>
      <c r="Y19" s="59"/>
      <c r="Z19" s="59"/>
      <c r="AA19" s="59"/>
      <c r="AB19" s="59"/>
      <c r="AC19" s="59"/>
      <c r="AD19" s="59"/>
      <c r="AE19" s="59"/>
      <c r="AF19" s="59"/>
      <c r="AG19" s="59"/>
      <c r="AK19" s="59"/>
      <c r="AL19" s="59"/>
      <c r="AM19" s="59"/>
      <c r="AN19" s="59"/>
      <c r="AT19" s="61"/>
    </row>
    <row r="20" spans="1:46" ht="15.75" x14ac:dyDescent="0.25">
      <c r="A20" s="215" t="s">
        <v>102</v>
      </c>
      <c r="B20" s="81" t="s">
        <v>103</v>
      </c>
      <c r="C20" s="109" t="s">
        <v>2</v>
      </c>
      <c r="D20" s="110" t="s">
        <v>6</v>
      </c>
      <c r="E20" s="303" t="s">
        <v>517</v>
      </c>
      <c r="F20" s="261"/>
      <c r="G20" s="356" t="s">
        <v>35</v>
      </c>
      <c r="H20" s="356"/>
      <c r="I20" s="356"/>
      <c r="J20" s="356"/>
      <c r="K20" s="392"/>
      <c r="L20" s="392"/>
      <c r="M20" s="392"/>
      <c r="N20" s="393"/>
      <c r="O20" s="268"/>
      <c r="R20" s="66"/>
      <c r="S20" s="64"/>
      <c r="T20" s="64"/>
      <c r="U20" s="64"/>
      <c r="V20" s="71"/>
      <c r="W20" s="71"/>
      <c r="X20" s="59"/>
      <c r="Y20" s="59"/>
      <c r="Z20" s="59"/>
      <c r="AA20" s="59"/>
      <c r="AB20" s="59"/>
      <c r="AC20" s="59"/>
      <c r="AD20" s="59"/>
      <c r="AE20" s="59"/>
      <c r="AF20" s="59"/>
      <c r="AG20" s="59"/>
      <c r="AK20" s="59"/>
      <c r="AL20" s="59"/>
      <c r="AM20" s="59"/>
      <c r="AN20" s="59"/>
      <c r="AT20" s="61"/>
    </row>
    <row r="21" spans="1:46" ht="15.75" x14ac:dyDescent="0.25">
      <c r="A21" s="310" t="s">
        <v>5</v>
      </c>
      <c r="B21" s="305"/>
      <c r="C21" s="306"/>
      <c r="D21" s="307"/>
      <c r="E21" s="303" t="s">
        <v>517</v>
      </c>
      <c r="F21" s="261"/>
      <c r="G21" s="356" t="s">
        <v>795</v>
      </c>
      <c r="H21" s="356"/>
      <c r="I21" s="356"/>
      <c r="J21" s="356"/>
      <c r="K21" s="392"/>
      <c r="L21" s="392"/>
      <c r="M21" s="392"/>
      <c r="N21" s="393"/>
      <c r="O21" s="268"/>
      <c r="R21" s="66"/>
      <c r="S21" s="64"/>
      <c r="T21" s="64"/>
      <c r="U21" s="64"/>
      <c r="V21" s="71"/>
      <c r="W21" s="71"/>
      <c r="X21" s="59"/>
      <c r="Y21" s="59"/>
      <c r="Z21" s="59"/>
      <c r="AA21" s="59"/>
      <c r="AB21" s="59"/>
      <c r="AC21" s="59"/>
      <c r="AD21" s="59"/>
      <c r="AE21" s="59"/>
      <c r="AF21" s="59"/>
      <c r="AG21" s="59"/>
      <c r="AK21" s="59"/>
      <c r="AL21" s="59"/>
      <c r="AM21" s="59"/>
      <c r="AN21" s="59"/>
      <c r="AT21" s="61"/>
    </row>
    <row r="22" spans="1:46" ht="15.75" x14ac:dyDescent="0.25">
      <c r="A22" s="310" t="s">
        <v>30</v>
      </c>
      <c r="B22" s="305"/>
      <c r="C22" s="306"/>
      <c r="D22" s="308"/>
      <c r="E22" s="303" t="s">
        <v>517</v>
      </c>
      <c r="F22" s="261"/>
      <c r="G22" s="356" t="s">
        <v>556</v>
      </c>
      <c r="H22" s="356"/>
      <c r="I22" s="356"/>
      <c r="J22" s="356"/>
      <c r="K22" s="392"/>
      <c r="L22" s="392"/>
      <c r="M22" s="392"/>
      <c r="N22" s="393"/>
      <c r="O22" s="268"/>
      <c r="R22" s="66"/>
      <c r="S22" s="64"/>
      <c r="T22" s="64"/>
      <c r="U22" s="64"/>
      <c r="V22" s="71"/>
      <c r="W22" s="71"/>
      <c r="X22" s="59"/>
      <c r="Y22" s="59"/>
      <c r="Z22" s="59"/>
      <c r="AA22" s="59"/>
      <c r="AB22" s="59"/>
      <c r="AC22" s="59"/>
      <c r="AD22" s="59"/>
      <c r="AE22" s="59"/>
      <c r="AF22" s="59"/>
      <c r="AG22" s="59"/>
      <c r="AK22" s="59"/>
      <c r="AL22" s="59"/>
      <c r="AM22" s="59"/>
      <c r="AN22" s="59"/>
      <c r="AT22" s="61"/>
    </row>
    <row r="23" spans="1:46" ht="15.75" x14ac:dyDescent="0.25">
      <c r="A23" s="310" t="s">
        <v>29</v>
      </c>
      <c r="B23" s="305"/>
      <c r="C23" s="306"/>
      <c r="D23" s="309"/>
      <c r="E23" s="303" t="s">
        <v>517</v>
      </c>
      <c r="F23" s="261"/>
      <c r="G23" s="356" t="s">
        <v>833</v>
      </c>
      <c r="H23" s="356"/>
      <c r="I23" s="356"/>
      <c r="J23" s="356"/>
      <c r="K23" s="392"/>
      <c r="L23" s="392"/>
      <c r="M23" s="392"/>
      <c r="N23" s="393"/>
      <c r="O23" s="268"/>
      <c r="R23" s="66"/>
      <c r="S23" s="64"/>
      <c r="T23" s="64"/>
      <c r="U23" s="64"/>
      <c r="V23" s="71"/>
      <c r="W23" s="71"/>
      <c r="X23" s="59"/>
      <c r="Y23" s="59"/>
      <c r="Z23" s="59"/>
      <c r="AA23" s="59"/>
      <c r="AB23" s="59"/>
      <c r="AC23" s="59"/>
      <c r="AD23" s="59"/>
      <c r="AE23" s="59"/>
      <c r="AF23" s="59"/>
      <c r="AG23" s="59"/>
      <c r="AK23" s="59"/>
      <c r="AL23" s="59"/>
      <c r="AM23" s="59"/>
      <c r="AN23" s="59"/>
      <c r="AT23" s="61"/>
    </row>
    <row r="24" spans="1:46" ht="15.75" x14ac:dyDescent="0.25">
      <c r="A24" s="310" t="s">
        <v>7</v>
      </c>
      <c r="B24" s="305"/>
      <c r="C24" s="306"/>
      <c r="D24" s="308"/>
      <c r="E24" s="302" t="s">
        <v>517</v>
      </c>
      <c r="F24" s="261"/>
      <c r="G24" s="356" t="s">
        <v>557</v>
      </c>
      <c r="H24" s="356"/>
      <c r="I24" s="356"/>
      <c r="J24" s="356"/>
      <c r="K24" s="394" t="str">
        <f>IF(SUM(H25:I25)&gt;0,E25,"")</f>
        <v/>
      </c>
      <c r="L24" s="394"/>
      <c r="M24" s="394"/>
      <c r="N24" s="395"/>
      <c r="O24" s="268"/>
      <c r="R24" s="66"/>
      <c r="S24" s="64"/>
      <c r="T24" s="64"/>
      <c r="U24" s="64"/>
      <c r="V24" s="71"/>
      <c r="W24" s="71"/>
      <c r="X24" s="59"/>
      <c r="Y24" s="59"/>
      <c r="Z24" s="59"/>
      <c r="AA24" s="59"/>
      <c r="AB24" s="59"/>
      <c r="AC24" s="59"/>
      <c r="AD24" s="59"/>
      <c r="AE24" s="59"/>
      <c r="AF24" s="59"/>
      <c r="AG24" s="59"/>
      <c r="AK24" s="59"/>
      <c r="AL24" s="59"/>
      <c r="AM24" s="59"/>
      <c r="AN24" s="59"/>
      <c r="AT24" s="61"/>
    </row>
    <row r="25" spans="1:46" ht="16.5" thickBot="1" x14ac:dyDescent="0.3">
      <c r="A25" s="215"/>
      <c r="B25" s="81"/>
      <c r="C25" s="82"/>
      <c r="D25" s="110"/>
      <c r="E25" s="117"/>
      <c r="F25" s="261"/>
      <c r="G25" s="79"/>
      <c r="H25" s="80"/>
      <c r="I25" s="80"/>
      <c r="J25" s="80"/>
      <c r="K25" s="394"/>
      <c r="L25" s="394"/>
      <c r="M25" s="394"/>
      <c r="N25" s="395"/>
      <c r="O25" s="268"/>
      <c r="V25" s="59"/>
      <c r="W25" s="59"/>
      <c r="X25" s="59"/>
      <c r="Y25" s="59"/>
      <c r="Z25" s="59"/>
      <c r="AA25" s="59"/>
      <c r="AB25" s="59"/>
      <c r="AC25" s="59"/>
      <c r="AD25" s="59"/>
      <c r="AE25" s="59"/>
      <c r="AF25" s="59"/>
      <c r="AG25" s="59"/>
      <c r="AK25" s="59"/>
      <c r="AL25" s="59"/>
      <c r="AM25" s="59"/>
      <c r="AN25" s="59"/>
      <c r="AT25" s="45"/>
    </row>
    <row r="26" spans="1:46" ht="16.5" thickBot="1" x14ac:dyDescent="0.3">
      <c r="A26" s="383" t="s">
        <v>28</v>
      </c>
      <c r="B26" s="420"/>
      <c r="C26" s="420"/>
      <c r="D26" s="421"/>
      <c r="E26" s="119"/>
      <c r="F26" s="261"/>
      <c r="G26" s="379" t="s">
        <v>506</v>
      </c>
      <c r="H26" s="379"/>
      <c r="I26" s="379"/>
      <c r="J26" s="422"/>
      <c r="K26" s="394"/>
      <c r="L26" s="394"/>
      <c r="M26" s="394"/>
      <c r="N26" s="395"/>
      <c r="O26" s="268"/>
      <c r="V26" s="59"/>
      <c r="W26" s="59"/>
      <c r="X26" s="59"/>
      <c r="Y26" s="59"/>
      <c r="Z26" s="59"/>
      <c r="AA26" s="59"/>
      <c r="AB26" s="59"/>
      <c r="AC26" s="59"/>
      <c r="AD26" s="59"/>
      <c r="AE26" s="59"/>
      <c r="AF26" s="59"/>
      <c r="AG26" s="59"/>
      <c r="AK26" s="59"/>
      <c r="AL26" s="59"/>
      <c r="AM26" s="59"/>
      <c r="AN26" s="59"/>
      <c r="AT26" s="45"/>
    </row>
    <row r="27" spans="1:46" ht="15.75" x14ac:dyDescent="0.25">
      <c r="A27" s="215"/>
      <c r="B27" s="199" t="s">
        <v>214</v>
      </c>
      <c r="C27" s="82" t="s">
        <v>509</v>
      </c>
      <c r="D27" s="110" t="s">
        <v>28</v>
      </c>
      <c r="E27" s="302" t="s">
        <v>517</v>
      </c>
      <c r="F27" s="261"/>
      <c r="G27" s="356" t="s">
        <v>1013</v>
      </c>
      <c r="H27" s="356"/>
      <c r="I27" s="356"/>
      <c r="J27" s="356"/>
      <c r="K27" s="59" t="s">
        <v>367</v>
      </c>
      <c r="L27" s="242"/>
      <c r="M27" s="243"/>
      <c r="N27" s="244"/>
      <c r="O27" s="268"/>
      <c r="V27" s="59"/>
      <c r="W27" s="59"/>
      <c r="X27" s="59"/>
      <c r="Y27" s="59"/>
      <c r="Z27" s="59"/>
      <c r="AA27" s="59"/>
      <c r="AB27" s="59"/>
      <c r="AC27" s="59"/>
      <c r="AD27" s="59"/>
      <c r="AE27" s="59"/>
      <c r="AF27" s="59"/>
      <c r="AG27" s="59"/>
      <c r="AK27" s="59"/>
      <c r="AL27" s="59"/>
      <c r="AM27" s="59"/>
      <c r="AN27" s="59"/>
      <c r="AT27" s="45"/>
    </row>
    <row r="28" spans="1:46" ht="15.75" x14ac:dyDescent="0.25">
      <c r="A28" s="215" t="s">
        <v>21</v>
      </c>
      <c r="B28" s="200">
        <f>D28</f>
        <v>0</v>
      </c>
      <c r="C28" s="111">
        <f>IF(B6="PSE Gas",0,IF(AnnualkWhs=0,0,'PSE Only - DSMc Inputs'!B8))</f>
        <v>0</v>
      </c>
      <c r="D28" s="201">
        <f>MIN(AdjCost*0.7,C28*0.45)</f>
        <v>0</v>
      </c>
      <c r="E28" s="302" t="s">
        <v>517</v>
      </c>
      <c r="F28" s="261"/>
      <c r="G28" s="356" t="s">
        <v>558</v>
      </c>
      <c r="H28" s="356"/>
      <c r="I28" s="356"/>
      <c r="J28" s="356"/>
      <c r="K28" s="241"/>
      <c r="L28" s="241"/>
      <c r="M28" s="241"/>
      <c r="N28" s="244"/>
      <c r="O28" s="268"/>
      <c r="V28" s="59"/>
      <c r="W28" s="59"/>
      <c r="X28" s="59"/>
      <c r="Y28" s="59"/>
      <c r="Z28" s="59"/>
      <c r="AA28" s="59"/>
      <c r="AB28" s="59"/>
      <c r="AC28" s="59"/>
      <c r="AD28" s="59"/>
      <c r="AE28" s="59"/>
      <c r="AF28" s="59"/>
      <c r="AG28" s="59"/>
      <c r="AK28" s="59"/>
      <c r="AL28" s="59"/>
      <c r="AM28" s="59"/>
      <c r="AN28" s="59"/>
      <c r="AT28" s="45"/>
    </row>
    <row r="29" spans="1:46" ht="15.75" x14ac:dyDescent="0.25">
      <c r="A29" s="215" t="s">
        <v>20</v>
      </c>
      <c r="B29" s="200">
        <f>D29</f>
        <v>0</v>
      </c>
      <c r="C29" s="111">
        <f>IF(B6="PSE Electric",0,IF(AnnualTherms=0,0,'PSE Only - DSMc Inputs'!B14))</f>
        <v>0</v>
      </c>
      <c r="D29" s="201">
        <f>MIN(AdjCost*0.7-D28,C29*8,TotCost*0.15)</f>
        <v>0</v>
      </c>
      <c r="E29" s="302" t="s">
        <v>517</v>
      </c>
      <c r="F29" s="261"/>
      <c r="G29" s="356" t="s">
        <v>559</v>
      </c>
      <c r="H29" s="356"/>
      <c r="I29" s="356"/>
      <c r="J29" s="356"/>
      <c r="K29" s="377" t="s">
        <v>473</v>
      </c>
      <c r="L29" s="377"/>
      <c r="M29" s="377"/>
      <c r="N29" s="378"/>
      <c r="O29" s="268"/>
      <c r="V29" s="59"/>
      <c r="W29" s="59"/>
      <c r="X29" s="59"/>
      <c r="Y29" s="59"/>
      <c r="Z29" s="59"/>
      <c r="AA29" s="59"/>
      <c r="AB29" s="59"/>
      <c r="AC29" s="59"/>
      <c r="AD29" s="59"/>
      <c r="AE29" s="59"/>
      <c r="AF29" s="59"/>
      <c r="AG29" s="59"/>
      <c r="AK29" s="59"/>
      <c r="AL29" s="59"/>
      <c r="AM29" s="59"/>
      <c r="AN29" s="59"/>
      <c r="AT29" s="45"/>
    </row>
    <row r="30" spans="1:46" ht="15.75" x14ac:dyDescent="0.25">
      <c r="A30" s="215" t="s">
        <v>1</v>
      </c>
      <c r="B30" s="202">
        <f>SUM(B28:B29)</f>
        <v>0</v>
      </c>
      <c r="C30" s="203"/>
      <c r="D30" s="204">
        <f>MIN(AdjCost*0.7,SUM(D28:D29))</f>
        <v>0</v>
      </c>
      <c r="E30" s="302" t="s">
        <v>517</v>
      </c>
      <c r="F30" s="261"/>
      <c r="G30" s="356" t="s">
        <v>564</v>
      </c>
      <c r="H30" s="356"/>
      <c r="I30" s="356"/>
      <c r="J30" s="356"/>
      <c r="K30" s="368"/>
      <c r="L30" s="369"/>
      <c r="M30" s="369"/>
      <c r="N30" s="370"/>
      <c r="O30" s="274"/>
      <c r="V30" s="59"/>
      <c r="W30" s="59"/>
      <c r="X30" s="59"/>
      <c r="Y30" s="59"/>
      <c r="Z30" s="59"/>
      <c r="AA30" s="59"/>
      <c r="AB30" s="59"/>
      <c r="AC30" s="59"/>
      <c r="AD30" s="59"/>
      <c r="AE30" s="59"/>
      <c r="AF30" s="59"/>
      <c r="AG30" s="59"/>
      <c r="AK30" s="59"/>
      <c r="AL30" s="59"/>
      <c r="AM30" s="59"/>
      <c r="AN30" s="59"/>
      <c r="AT30" s="45"/>
    </row>
    <row r="31" spans="1:46" ht="16.5" thickBot="1" x14ac:dyDescent="0.3">
      <c r="A31" s="215"/>
      <c r="B31" s="81"/>
      <c r="C31" s="82"/>
      <c r="D31" s="110"/>
      <c r="E31" s="302" t="s">
        <v>517</v>
      </c>
      <c r="F31" s="261"/>
      <c r="G31" s="356" t="s">
        <v>560</v>
      </c>
      <c r="H31" s="356"/>
      <c r="I31" s="356"/>
      <c r="J31" s="356"/>
      <c r="K31" s="371"/>
      <c r="L31" s="372"/>
      <c r="M31" s="372"/>
      <c r="N31" s="373"/>
      <c r="O31" s="268"/>
      <c r="V31" s="59"/>
      <c r="W31" s="59"/>
      <c r="X31" s="59"/>
      <c r="Y31" s="59"/>
      <c r="Z31" s="59"/>
      <c r="AA31" s="59"/>
      <c r="AB31" s="59"/>
      <c r="AC31" s="59"/>
      <c r="AD31" s="59"/>
      <c r="AE31" s="59"/>
      <c r="AF31" s="59"/>
      <c r="AG31" s="59"/>
      <c r="AK31" s="59"/>
      <c r="AL31" s="59"/>
      <c r="AM31" s="59"/>
      <c r="AN31" s="59"/>
      <c r="AT31" s="45"/>
    </row>
    <row r="32" spans="1:46" ht="16.5" thickBot="1" x14ac:dyDescent="0.3">
      <c r="A32" s="383" t="s">
        <v>280</v>
      </c>
      <c r="B32" s="420"/>
      <c r="C32" s="420"/>
      <c r="D32" s="421"/>
      <c r="E32" s="302" t="s">
        <v>517</v>
      </c>
      <c r="F32" s="261"/>
      <c r="G32" s="356" t="s">
        <v>1009</v>
      </c>
      <c r="H32" s="356"/>
      <c r="I32" s="356"/>
      <c r="J32" s="356"/>
      <c r="K32" s="371"/>
      <c r="L32" s="372"/>
      <c r="M32" s="372"/>
      <c r="N32" s="373"/>
      <c r="O32" s="274"/>
      <c r="V32" s="59"/>
      <c r="W32" s="59"/>
      <c r="X32" s="59"/>
      <c r="Y32" s="59"/>
      <c r="Z32" s="59"/>
      <c r="AA32" s="59"/>
      <c r="AB32" s="59"/>
      <c r="AC32" s="59"/>
      <c r="AD32" s="59"/>
      <c r="AE32" s="59"/>
      <c r="AF32" s="59"/>
      <c r="AG32" s="59"/>
      <c r="AK32" s="59"/>
      <c r="AL32" s="59"/>
      <c r="AM32" s="59"/>
      <c r="AN32" s="59"/>
      <c r="AT32" s="45"/>
    </row>
    <row r="33" spans="1:46" ht="15.75" x14ac:dyDescent="0.25">
      <c r="A33" s="215"/>
      <c r="B33" s="199" t="s">
        <v>252</v>
      </c>
      <c r="C33" s="82" t="s">
        <v>251</v>
      </c>
      <c r="D33" s="110" t="s">
        <v>539</v>
      </c>
      <c r="E33" s="302" t="s">
        <v>517</v>
      </c>
      <c r="F33" s="261"/>
      <c r="G33" s="356" t="s">
        <v>904</v>
      </c>
      <c r="H33" s="356"/>
      <c r="I33" s="356"/>
      <c r="J33" s="356"/>
      <c r="K33" s="371"/>
      <c r="L33" s="372"/>
      <c r="M33" s="372"/>
      <c r="N33" s="373"/>
      <c r="O33" s="274"/>
      <c r="V33" s="59"/>
      <c r="W33" s="59"/>
      <c r="X33" s="59"/>
      <c r="Y33" s="59"/>
      <c r="Z33" s="59"/>
      <c r="AA33" s="59"/>
      <c r="AB33" s="59"/>
      <c r="AC33" s="59"/>
      <c r="AD33" s="59"/>
      <c r="AE33" s="59"/>
      <c r="AF33" s="59"/>
      <c r="AG33" s="59"/>
      <c r="AK33" s="59"/>
      <c r="AL33" s="59"/>
      <c r="AM33" s="59"/>
      <c r="AN33" s="59"/>
      <c r="AT33" s="45"/>
    </row>
    <row r="34" spans="1:46" ht="15.75" x14ac:dyDescent="0.25">
      <c r="A34" s="216" t="s">
        <v>21</v>
      </c>
      <c r="B34" s="311">
        <f>0.25*'PSE Only - DSMc Inputs'!D26</f>
        <v>0</v>
      </c>
      <c r="C34" s="116">
        <f>IF(B6="PSE Gas",0,IF((B34-C28)&lt;0,0,(B34-C28)))</f>
        <v>0</v>
      </c>
      <c r="D34" s="201" t="str">
        <f>IF(E39=0,"Unqualified",IF(B36&gt;E39,'PSE Only - DSMc Inputs'!B26,0))</f>
        <v>Unqualified</v>
      </c>
      <c r="E34" s="302" t="s">
        <v>517</v>
      </c>
      <c r="F34" s="261"/>
      <c r="G34" s="356" t="s">
        <v>949</v>
      </c>
      <c r="H34" s="356"/>
      <c r="I34" s="356"/>
      <c r="J34" s="356"/>
      <c r="K34" s="371"/>
      <c r="L34" s="372"/>
      <c r="M34" s="372"/>
      <c r="N34" s="373"/>
      <c r="O34" s="268"/>
      <c r="V34" s="59"/>
      <c r="W34" s="59"/>
      <c r="X34" s="59"/>
      <c r="Y34" s="59"/>
      <c r="Z34" s="59"/>
      <c r="AA34" s="59"/>
      <c r="AB34" s="59"/>
      <c r="AC34" s="59"/>
      <c r="AD34" s="59"/>
      <c r="AE34" s="59"/>
      <c r="AF34" s="59"/>
      <c r="AG34" s="59"/>
      <c r="AK34" s="59"/>
      <c r="AL34" s="59"/>
      <c r="AM34" s="59"/>
      <c r="AN34" s="59"/>
      <c r="AT34" s="45"/>
    </row>
    <row r="35" spans="1:46" ht="15.75" x14ac:dyDescent="0.25">
      <c r="A35" s="215" t="s">
        <v>20</v>
      </c>
      <c r="B35" s="311">
        <f>0.25*'PSE Only - DSMc Inputs'!D32</f>
        <v>0</v>
      </c>
      <c r="C35" s="116">
        <f>IF(B6="PSE Electric",0,IF((B35-C29)&lt;0,0,(B35-C29)))</f>
        <v>0</v>
      </c>
      <c r="D35" s="201" t="str">
        <f>IF(E39=0,"Unqualified",IF(B36&gt;E39,'PSE Only - DSMc Inputs'!B32,0))</f>
        <v>Unqualified</v>
      </c>
      <c r="E35" s="302" t="s">
        <v>517</v>
      </c>
      <c r="F35" s="261"/>
      <c r="G35" s="356" t="s">
        <v>990</v>
      </c>
      <c r="H35" s="356"/>
      <c r="I35" s="356"/>
      <c r="J35" s="356"/>
      <c r="K35" s="371"/>
      <c r="L35" s="372"/>
      <c r="M35" s="372"/>
      <c r="N35" s="373"/>
      <c r="O35" s="268"/>
      <c r="V35" s="59"/>
      <c r="W35" s="59"/>
      <c r="X35" s="59"/>
      <c r="Y35" s="59"/>
      <c r="Z35" s="59"/>
      <c r="AA35" s="59"/>
      <c r="AB35" s="59"/>
      <c r="AC35" s="59"/>
      <c r="AD35" s="59"/>
      <c r="AE35" s="59"/>
      <c r="AF35" s="59"/>
      <c r="AG35" s="59"/>
      <c r="AK35" s="59"/>
      <c r="AL35" s="59"/>
      <c r="AM35" s="59"/>
      <c r="AN35" s="59"/>
      <c r="AT35" s="45"/>
    </row>
    <row r="36" spans="1:46" ht="15.75" x14ac:dyDescent="0.25">
      <c r="A36" s="215" t="s">
        <v>1</v>
      </c>
      <c r="B36" s="123" t="str">
        <f>IFERROR((B34*3412+B35*100000)/(('PSE Only - DSMc Inputs'!D26*3412+'PSE Only - DSMc Inputs'!D32*100000)),"")</f>
        <v/>
      </c>
      <c r="C36" s="247"/>
      <c r="D36" s="205">
        <f>IF(B36&gt;E39,SUM(D34:D35),0)</f>
        <v>0</v>
      </c>
      <c r="E36" s="302" t="s">
        <v>517</v>
      </c>
      <c r="F36" s="261"/>
      <c r="G36" s="363" t="s">
        <v>108</v>
      </c>
      <c r="H36" s="364"/>
      <c r="I36" s="364"/>
      <c r="J36" s="365"/>
      <c r="K36" s="374"/>
      <c r="L36" s="375"/>
      <c r="M36" s="375"/>
      <c r="N36" s="376"/>
      <c r="O36" s="268"/>
      <c r="V36" s="59"/>
      <c r="W36" s="59"/>
      <c r="X36" s="59"/>
      <c r="Y36" s="59"/>
      <c r="Z36" s="59"/>
      <c r="AA36" s="59"/>
      <c r="AB36" s="59"/>
      <c r="AC36" s="59"/>
      <c r="AD36" s="59"/>
      <c r="AE36" s="59"/>
      <c r="AF36" s="59"/>
      <c r="AG36" s="59"/>
      <c r="AK36" s="59"/>
      <c r="AL36" s="59"/>
      <c r="AM36" s="59"/>
      <c r="AN36" s="59"/>
      <c r="AT36" s="45"/>
    </row>
    <row r="37" spans="1:46" ht="15.75" x14ac:dyDescent="0.25">
      <c r="A37" s="215" t="s">
        <v>109</v>
      </c>
      <c r="B37" s="206"/>
      <c r="C37" s="116"/>
      <c r="D37" s="207"/>
      <c r="E37" s="302" t="s">
        <v>517</v>
      </c>
      <c r="F37" s="261"/>
      <c r="G37" s="366" t="s">
        <v>108</v>
      </c>
      <c r="H37" s="367"/>
      <c r="I37" s="367"/>
      <c r="J37" s="367"/>
      <c r="K37" s="45">
        <f>COUNTIF(E3:E14,"Add")+COUNTIF(E17:E37,"Add")*0.5</f>
        <v>0</v>
      </c>
      <c r="L37" s="300" t="s">
        <v>271</v>
      </c>
      <c r="M37" s="240"/>
      <c r="N37" s="222"/>
      <c r="O37" s="268"/>
      <c r="V37" s="59"/>
      <c r="W37" s="59"/>
      <c r="X37" s="59"/>
      <c r="Y37" s="59"/>
      <c r="Z37" s="59"/>
      <c r="AA37" s="59"/>
      <c r="AB37" s="59"/>
      <c r="AC37" s="59"/>
      <c r="AD37" s="59"/>
      <c r="AE37" s="59"/>
      <c r="AF37" s="59"/>
      <c r="AG37" s="59"/>
      <c r="AK37" s="59"/>
      <c r="AL37" s="59"/>
      <c r="AM37" s="59"/>
      <c r="AN37" s="59"/>
      <c r="AT37" s="45"/>
    </row>
    <row r="38" spans="1:46" ht="15.75" x14ac:dyDescent="0.25">
      <c r="A38" s="215" t="s">
        <v>518</v>
      </c>
      <c r="B38" s="81"/>
      <c r="C38" s="82"/>
      <c r="D38" s="110"/>
      <c r="E38" s="113">
        <f>K37+0.5*K38</f>
        <v>0</v>
      </c>
      <c r="F38" s="262"/>
      <c r="G38" s="112" t="s">
        <v>522</v>
      </c>
      <c r="J38" s="80"/>
      <c r="K38" s="45">
        <f>COUNTIF(E3:E14,"Improve")+COUNTIF(E17:E37,"Improve")*0.5</f>
        <v>0</v>
      </c>
      <c r="L38" s="300" t="s">
        <v>1138</v>
      </c>
      <c r="M38" s="240"/>
      <c r="N38" s="222"/>
      <c r="O38" s="268"/>
      <c r="V38" s="59"/>
      <c r="W38" s="59"/>
      <c r="X38" s="59"/>
      <c r="Y38" s="59"/>
      <c r="Z38" s="59"/>
      <c r="AA38" s="59"/>
      <c r="AB38" s="59"/>
      <c r="AC38" s="59"/>
      <c r="AD38" s="59"/>
      <c r="AE38" s="59"/>
      <c r="AF38" s="59"/>
      <c r="AG38" s="59"/>
      <c r="AK38" s="59"/>
      <c r="AL38" s="59"/>
      <c r="AM38" s="59"/>
      <c r="AN38" s="59"/>
      <c r="AT38" s="45"/>
    </row>
    <row r="39" spans="1:46" ht="15.75" customHeight="1" thickBot="1" x14ac:dyDescent="0.3">
      <c r="A39" s="217"/>
      <c r="B39" s="202"/>
      <c r="C39" s="83"/>
      <c r="D39" s="208"/>
      <c r="E39" s="197">
        <f>IF(E38&gt;2.9,0.05,IF(E38&gt;1.9,0.04,IF(E38&gt;0.9,0.03,0)))</f>
        <v>0</v>
      </c>
      <c r="F39" s="251"/>
      <c r="G39" s="85" t="s">
        <v>509</v>
      </c>
      <c r="H39" s="423" t="s">
        <v>995</v>
      </c>
      <c r="I39" s="424"/>
      <c r="K39" s="353" t="s">
        <v>1151</v>
      </c>
      <c r="L39" s="353"/>
      <c r="M39" s="353"/>
      <c r="N39" s="222"/>
      <c r="O39" s="275"/>
      <c r="P39" s="62"/>
      <c r="V39" s="59"/>
      <c r="W39" s="59"/>
      <c r="X39" s="59"/>
      <c r="Y39" s="59"/>
      <c r="Z39" s="59"/>
      <c r="AA39" s="59"/>
      <c r="AB39" s="59"/>
      <c r="AC39" s="59"/>
      <c r="AD39" s="59"/>
      <c r="AE39" s="59"/>
      <c r="AF39" s="59"/>
      <c r="AG39" s="59"/>
      <c r="AK39" s="59"/>
      <c r="AL39" s="59"/>
      <c r="AM39" s="59"/>
      <c r="AN39" s="59"/>
      <c r="AT39" s="45"/>
    </row>
    <row r="40" spans="1:46" ht="15.75" customHeight="1" thickBot="1" x14ac:dyDescent="0.3">
      <c r="A40" s="383" t="s">
        <v>540</v>
      </c>
      <c r="B40" s="384"/>
      <c r="C40" s="384"/>
      <c r="D40" s="385"/>
      <c r="E40" s="114"/>
      <c r="F40" s="251"/>
      <c r="G40" s="85"/>
      <c r="H40" s="357" t="s">
        <v>1183</v>
      </c>
      <c r="I40" s="358"/>
      <c r="K40" s="353"/>
      <c r="L40" s="353"/>
      <c r="M40" s="353"/>
      <c r="N40" s="224"/>
      <c r="O40" s="268"/>
      <c r="P40" s="62"/>
      <c r="V40" s="59"/>
      <c r="W40" s="59"/>
      <c r="X40" s="59"/>
      <c r="Y40" s="59"/>
      <c r="Z40" s="59"/>
      <c r="AA40" s="59"/>
      <c r="AB40" s="59"/>
      <c r="AC40" s="59"/>
      <c r="AD40" s="59"/>
      <c r="AE40" s="59"/>
      <c r="AF40" s="59"/>
      <c r="AG40" s="59"/>
      <c r="AK40" s="59"/>
      <c r="AL40" s="59"/>
      <c r="AM40" s="59"/>
      <c r="AN40" s="59"/>
      <c r="AT40" s="45"/>
    </row>
    <row r="41" spans="1:46" ht="15.75" customHeight="1" x14ac:dyDescent="0.25">
      <c r="A41" s="217"/>
      <c r="B41" s="202"/>
      <c r="C41" s="83" t="s">
        <v>273</v>
      </c>
      <c r="D41" s="208" t="s">
        <v>274</v>
      </c>
      <c r="E41" s="256" t="s">
        <v>1145</v>
      </c>
      <c r="F41" s="251"/>
      <c r="G41" s="85"/>
      <c r="H41" s="359" t="s">
        <v>1184</v>
      </c>
      <c r="I41" s="360"/>
      <c r="K41" s="353"/>
      <c r="L41" s="353"/>
      <c r="M41" s="353"/>
      <c r="N41" s="224"/>
      <c r="O41" s="276"/>
      <c r="P41" s="62"/>
      <c r="V41" s="59"/>
      <c r="W41" s="59"/>
      <c r="X41" s="59"/>
      <c r="Y41" s="59"/>
      <c r="Z41" s="59"/>
      <c r="AA41" s="59"/>
      <c r="AB41" s="59"/>
      <c r="AC41" s="59"/>
      <c r="AD41" s="59"/>
      <c r="AE41" s="59"/>
      <c r="AF41" s="59"/>
      <c r="AG41" s="59"/>
      <c r="AK41" s="59"/>
      <c r="AL41" s="59"/>
      <c r="AM41" s="59"/>
      <c r="AN41" s="59"/>
      <c r="AT41" s="45"/>
    </row>
    <row r="42" spans="1:46" ht="15.75" customHeight="1" x14ac:dyDescent="0.25">
      <c r="A42" s="386" t="s">
        <v>275</v>
      </c>
      <c r="B42" s="387"/>
      <c r="C42" s="259" t="str">
        <f>(E39*100)&amp;"% or less"</f>
        <v>0% or less</v>
      </c>
      <c r="D42" s="208">
        <f>D30</f>
        <v>0</v>
      </c>
      <c r="E42" s="301" t="s">
        <v>507</v>
      </c>
      <c r="F42" s="251"/>
      <c r="G42" s="85" t="str">
        <f>IF(E42="No","Required Before Grant","Send to PSE")</f>
        <v>Required Before Grant</v>
      </c>
      <c r="H42" s="359" t="s">
        <v>1185</v>
      </c>
      <c r="I42" s="360"/>
      <c r="K42" s="353"/>
      <c r="L42" s="353"/>
      <c r="M42" s="353"/>
      <c r="N42" s="224"/>
      <c r="O42" s="276"/>
      <c r="P42" s="62"/>
      <c r="V42" s="59"/>
      <c r="W42" s="59"/>
      <c r="X42" s="59"/>
      <c r="Y42" s="59"/>
      <c r="Z42" s="59"/>
      <c r="AA42" s="59"/>
      <c r="AB42" s="59"/>
      <c r="AC42" s="59"/>
      <c r="AD42" s="59"/>
      <c r="AE42" s="59"/>
      <c r="AF42" s="59"/>
      <c r="AG42" s="59"/>
      <c r="AK42" s="59"/>
      <c r="AL42" s="59"/>
      <c r="AM42" s="59"/>
      <c r="AN42" s="59"/>
      <c r="AT42" s="45"/>
    </row>
    <row r="43" spans="1:46" ht="15.75" customHeight="1" x14ac:dyDescent="0.25">
      <c r="A43" s="386"/>
      <c r="B43" s="387"/>
      <c r="C43" s="259">
        <v>0.1</v>
      </c>
      <c r="D43" s="208" t="str">
        <f>IF(E39=0,"Unqualified",MIN(AdjCost,('PSE Only - DSMc Inputs'!D26*0.1*0.45)+MIN(TotCost*0.35-D28,'PSE Only - DSMc Inputs'!D32*0.1*8)))</f>
        <v>Unqualified</v>
      </c>
      <c r="E43" s="294"/>
      <c r="F43" s="251"/>
      <c r="G43" s="85"/>
      <c r="H43" s="361" t="s">
        <v>996</v>
      </c>
      <c r="I43" s="362"/>
      <c r="K43" s="353"/>
      <c r="L43" s="353"/>
      <c r="M43" s="353"/>
      <c r="N43" s="224"/>
      <c r="O43" s="276"/>
      <c r="P43" s="62"/>
      <c r="V43" s="59"/>
      <c r="W43" s="59"/>
      <c r="X43" s="59"/>
      <c r="Y43" s="59"/>
      <c r="Z43" s="59"/>
      <c r="AA43" s="59"/>
      <c r="AB43" s="59"/>
      <c r="AC43" s="59"/>
      <c r="AD43" s="59"/>
      <c r="AE43" s="59"/>
      <c r="AF43" s="59"/>
      <c r="AG43" s="59"/>
      <c r="AK43" s="59"/>
      <c r="AL43" s="59"/>
      <c r="AM43" s="59"/>
      <c r="AN43" s="59"/>
      <c r="AT43" s="45"/>
    </row>
    <row r="44" spans="1:46" ht="15.75" customHeight="1" x14ac:dyDescent="0.25">
      <c r="A44" s="386"/>
      <c r="B44" s="387"/>
      <c r="C44" s="196">
        <v>0.15</v>
      </c>
      <c r="D44" s="208" t="str">
        <f>IF(E39=0,"Unqualified",MIN(AdjCost,('PSE Only - DSMc Inputs'!D26*0.15*0.45)+MIN(TotCost*0.35-D28,'PSE Only - DSMc Inputs'!D32*0.15*8)))</f>
        <v>Unqualified</v>
      </c>
      <c r="E44" s="354" t="s">
        <v>1139</v>
      </c>
      <c r="F44" s="355"/>
      <c r="G44" s="355"/>
      <c r="K44" s="59"/>
      <c r="L44" s="59"/>
      <c r="M44" s="99"/>
      <c r="N44" s="224"/>
      <c r="O44" s="276"/>
      <c r="P44" s="62"/>
      <c r="V44" s="59"/>
      <c r="W44" s="59"/>
      <c r="X44" s="59"/>
      <c r="Y44" s="59"/>
      <c r="Z44" s="59"/>
      <c r="AA44" s="59"/>
      <c r="AB44" s="59"/>
      <c r="AC44" s="59"/>
      <c r="AD44" s="59"/>
      <c r="AE44" s="59"/>
      <c r="AF44" s="59"/>
      <c r="AG44" s="59"/>
      <c r="AK44" s="59"/>
      <c r="AL44" s="59"/>
      <c r="AM44" s="59"/>
      <c r="AN44" s="59"/>
      <c r="AT44" s="45"/>
    </row>
    <row r="45" spans="1:46" ht="15.75" customHeight="1" thickBot="1" x14ac:dyDescent="0.3">
      <c r="A45" s="388"/>
      <c r="B45" s="389"/>
      <c r="C45" s="209">
        <v>0.25</v>
      </c>
      <c r="D45" s="210" t="str">
        <f>IF(E39=0,"Unqualified",MIN(AdjCost,('PSE Only - DSMc Inputs'!D26*0.25*0.45)+MIN(TotCost*0.35-D28,'PSE Only - DSMc Inputs'!D32*0.25*8)))</f>
        <v>Unqualified</v>
      </c>
      <c r="E45" s="298"/>
      <c r="F45" s="299"/>
      <c r="G45" s="299"/>
      <c r="H45" s="299"/>
      <c r="I45" s="158"/>
      <c r="J45" s="158"/>
      <c r="K45" s="295"/>
      <c r="L45" s="295"/>
      <c r="M45" s="296"/>
      <c r="N45" s="297"/>
      <c r="O45" s="276"/>
      <c r="P45" s="62"/>
      <c r="V45" s="59"/>
      <c r="W45" s="59"/>
      <c r="X45" s="59"/>
      <c r="Y45" s="59"/>
      <c r="Z45" s="59"/>
      <c r="AA45" s="59"/>
      <c r="AB45" s="59"/>
      <c r="AC45" s="59"/>
      <c r="AD45" s="59"/>
      <c r="AE45" s="59"/>
      <c r="AF45" s="59"/>
      <c r="AG45" s="59"/>
      <c r="AK45" s="59"/>
      <c r="AL45" s="59"/>
      <c r="AM45" s="59"/>
      <c r="AN45" s="59"/>
      <c r="AT45" s="45"/>
    </row>
    <row r="46" spans="1:46" x14ac:dyDescent="0.25">
      <c r="A46" s="419"/>
      <c r="B46" s="419"/>
      <c r="C46" s="419"/>
      <c r="D46" s="419"/>
      <c r="E46" s="419"/>
      <c r="F46" s="419"/>
      <c r="G46" s="419"/>
      <c r="H46" s="419"/>
      <c r="I46" s="419"/>
      <c r="J46" s="419"/>
      <c r="K46" s="68"/>
      <c r="L46" s="67"/>
      <c r="P46" s="59"/>
      <c r="R46" s="194"/>
      <c r="S46" s="195"/>
      <c r="U46" s="59"/>
      <c r="V46" s="59"/>
      <c r="W46" s="59"/>
      <c r="X46" s="59"/>
      <c r="Y46" s="59"/>
      <c r="Z46" s="59"/>
      <c r="AA46" s="59"/>
      <c r="AB46" s="59"/>
      <c r="AC46" s="59"/>
      <c r="AD46" s="59"/>
      <c r="AE46" s="59"/>
      <c r="AF46" s="59"/>
      <c r="AG46" s="59"/>
      <c r="AK46" s="59"/>
      <c r="AL46" s="59"/>
      <c r="AM46" s="59"/>
      <c r="AN46" s="59"/>
      <c r="AO46" s="59"/>
      <c r="AP46" s="59"/>
      <c r="AQ46" s="59"/>
      <c r="AR46" s="59"/>
      <c r="AS46" s="59"/>
    </row>
    <row r="47" spans="1:46" x14ac:dyDescent="0.25">
      <c r="A47" s="63"/>
      <c r="B47" s="63"/>
      <c r="C47" s="63"/>
      <c r="D47" s="63"/>
      <c r="E47" s="63"/>
      <c r="F47" s="63"/>
      <c r="G47" s="63"/>
      <c r="H47" s="63"/>
      <c r="I47" s="63"/>
      <c r="J47" s="63"/>
      <c r="L47" s="69"/>
      <c r="P47" s="59"/>
      <c r="U47" s="59"/>
      <c r="V47" s="59"/>
      <c r="W47" s="59"/>
      <c r="X47" s="59"/>
      <c r="Y47" s="59"/>
      <c r="Z47" s="59"/>
      <c r="AA47" s="59"/>
      <c r="AB47" s="59"/>
      <c r="AC47" s="59"/>
      <c r="AD47" s="59"/>
      <c r="AE47" s="59"/>
      <c r="AF47" s="59"/>
      <c r="AG47" s="59"/>
      <c r="AK47" s="59"/>
      <c r="AL47" s="59"/>
      <c r="AM47" s="59"/>
      <c r="AN47" s="59"/>
      <c r="AO47" s="59"/>
      <c r="AP47" s="59"/>
      <c r="AQ47" s="59"/>
      <c r="AR47" s="59"/>
      <c r="AS47" s="59"/>
    </row>
    <row r="48" spans="1:46" x14ac:dyDescent="0.25">
      <c r="A48" s="63"/>
      <c r="B48" s="63"/>
      <c r="C48" s="63"/>
      <c r="D48" s="63"/>
      <c r="E48" s="63"/>
      <c r="F48" s="63"/>
      <c r="G48" s="63"/>
      <c r="H48" s="63"/>
      <c r="I48" s="63"/>
      <c r="J48" s="63"/>
      <c r="P48" s="59"/>
      <c r="U48" s="59"/>
      <c r="V48" s="59"/>
      <c r="W48" s="59"/>
      <c r="X48" s="59"/>
      <c r="Y48" s="59"/>
      <c r="Z48" s="59"/>
      <c r="AA48" s="59"/>
      <c r="AB48" s="59"/>
      <c r="AC48" s="59"/>
      <c r="AD48" s="59"/>
      <c r="AE48" s="59"/>
      <c r="AF48" s="59"/>
      <c r="AG48" s="59"/>
      <c r="AK48" s="59"/>
      <c r="AL48" s="59"/>
      <c r="AM48" s="59"/>
      <c r="AN48" s="59"/>
      <c r="AO48" s="59"/>
      <c r="AP48" s="59"/>
      <c r="AQ48" s="59"/>
      <c r="AR48" s="59"/>
      <c r="AS48" s="59"/>
    </row>
    <row r="49" spans="1:45" ht="15" customHeight="1" x14ac:dyDescent="0.25">
      <c r="P49" s="59"/>
      <c r="U49" s="59"/>
      <c r="V49" s="59"/>
      <c r="W49" s="59"/>
      <c r="X49" s="59"/>
      <c r="Y49" s="59"/>
      <c r="Z49" s="59"/>
      <c r="AA49" s="59"/>
      <c r="AB49" s="59"/>
      <c r="AC49" s="59"/>
      <c r="AD49" s="59"/>
      <c r="AE49" s="59"/>
      <c r="AF49" s="59"/>
      <c r="AG49" s="59"/>
      <c r="AK49" s="59"/>
      <c r="AL49" s="59"/>
      <c r="AM49" s="59"/>
      <c r="AN49" s="59"/>
      <c r="AO49" s="59"/>
      <c r="AP49" s="59"/>
      <c r="AQ49" s="59"/>
      <c r="AR49" s="59"/>
      <c r="AS49" s="59"/>
    </row>
    <row r="50" spans="1:45" ht="15" customHeight="1" x14ac:dyDescent="0.25">
      <c r="P50" s="59"/>
      <c r="U50" s="59"/>
      <c r="V50" s="59"/>
      <c r="W50" s="59"/>
      <c r="X50" s="59"/>
      <c r="Y50" s="59"/>
      <c r="Z50" s="59"/>
      <c r="AA50" s="59"/>
      <c r="AB50" s="59"/>
      <c r="AC50" s="59"/>
      <c r="AD50" s="59"/>
      <c r="AE50" s="59"/>
      <c r="AF50" s="59"/>
      <c r="AG50" s="59"/>
      <c r="AK50" s="59"/>
      <c r="AL50" s="59"/>
      <c r="AM50" s="59"/>
      <c r="AN50" s="59"/>
      <c r="AO50" s="59"/>
      <c r="AP50" s="59"/>
      <c r="AQ50" s="59"/>
      <c r="AR50" s="59"/>
      <c r="AS50" s="59"/>
    </row>
    <row r="51" spans="1:45" x14ac:dyDescent="0.25">
      <c r="P51" s="59"/>
      <c r="Q51" s="59"/>
      <c r="R51" s="59"/>
      <c r="S51" s="59"/>
      <c r="T51" s="59"/>
      <c r="U51" s="59"/>
      <c r="V51" s="59"/>
      <c r="W51" s="59"/>
      <c r="X51" s="59"/>
      <c r="Y51" s="59"/>
      <c r="Z51" s="59"/>
      <c r="AA51" s="59"/>
      <c r="AB51" s="59"/>
      <c r="AC51" s="59"/>
      <c r="AD51" s="59"/>
      <c r="AE51" s="59"/>
      <c r="AF51" s="59"/>
      <c r="AG51" s="59"/>
      <c r="AK51" s="59"/>
      <c r="AL51" s="59"/>
      <c r="AM51" s="59"/>
      <c r="AN51" s="59"/>
      <c r="AO51" s="59"/>
      <c r="AP51" s="59"/>
      <c r="AQ51" s="59"/>
      <c r="AR51" s="59"/>
      <c r="AS51" s="59"/>
    </row>
    <row r="52" spans="1:45" ht="15" customHeight="1" x14ac:dyDescent="0.25">
      <c r="P52" s="59"/>
      <c r="Q52" s="59"/>
      <c r="R52" s="59"/>
      <c r="S52" s="59"/>
      <c r="T52" s="59"/>
      <c r="U52" s="59"/>
      <c r="V52" s="59"/>
      <c r="W52" s="59"/>
      <c r="X52" s="59"/>
      <c r="Y52" s="59"/>
      <c r="Z52" s="59"/>
      <c r="AA52" s="59"/>
      <c r="AB52" s="59"/>
      <c r="AC52" s="59"/>
      <c r="AD52" s="59"/>
      <c r="AE52" s="59"/>
      <c r="AF52" s="59"/>
      <c r="AG52" s="59"/>
      <c r="AK52" s="59"/>
      <c r="AL52" s="59"/>
      <c r="AM52" s="59"/>
      <c r="AN52" s="59"/>
      <c r="AO52" s="59"/>
      <c r="AP52" s="59"/>
      <c r="AQ52" s="59"/>
      <c r="AR52" s="59"/>
      <c r="AS52" s="59"/>
    </row>
    <row r="53" spans="1:45" ht="15" customHeight="1" x14ac:dyDescent="0.25">
      <c r="P53" s="59"/>
      <c r="Q53" s="59"/>
      <c r="R53" s="59"/>
      <c r="S53" s="59"/>
      <c r="T53" s="59"/>
      <c r="U53" s="59"/>
      <c r="V53" s="59"/>
      <c r="W53" s="59"/>
      <c r="X53" s="59"/>
      <c r="Y53" s="59"/>
      <c r="Z53" s="59"/>
      <c r="AA53" s="59"/>
      <c r="AB53" s="59"/>
      <c r="AC53" s="59"/>
      <c r="AD53" s="59"/>
      <c r="AE53" s="59"/>
      <c r="AF53" s="59"/>
      <c r="AG53" s="59"/>
      <c r="AK53" s="59"/>
      <c r="AL53" s="59"/>
      <c r="AM53" s="59"/>
      <c r="AN53" s="59"/>
      <c r="AO53" s="59"/>
      <c r="AP53" s="59"/>
      <c r="AQ53" s="59"/>
      <c r="AR53" s="59"/>
      <c r="AS53" s="59"/>
    </row>
    <row r="54" spans="1:45" x14ac:dyDescent="0.25">
      <c r="A54" s="59"/>
      <c r="B54" s="59"/>
      <c r="P54" s="59"/>
      <c r="Q54" s="59"/>
      <c r="R54" s="59"/>
      <c r="S54" s="59"/>
      <c r="T54" s="59"/>
      <c r="U54" s="59"/>
      <c r="V54" s="59"/>
      <c r="W54" s="59"/>
      <c r="X54" s="59"/>
      <c r="Y54" s="59"/>
      <c r="Z54" s="59"/>
      <c r="AA54" s="59"/>
      <c r="AB54" s="59"/>
      <c r="AC54" s="59"/>
      <c r="AD54" s="59"/>
      <c r="AE54" s="59"/>
      <c r="AF54" s="59"/>
      <c r="AG54" s="59"/>
      <c r="AK54" s="59"/>
      <c r="AL54" s="59"/>
      <c r="AM54" s="59"/>
      <c r="AN54" s="59"/>
      <c r="AO54" s="59"/>
      <c r="AP54" s="59"/>
      <c r="AQ54" s="59"/>
      <c r="AR54" s="59"/>
      <c r="AS54" s="59"/>
    </row>
    <row r="55" spans="1:45" s="56" customFormat="1" x14ac:dyDescent="0.25">
      <c r="A55" s="59"/>
      <c r="B55" s="59"/>
      <c r="C55"/>
      <c r="D55"/>
      <c r="E55"/>
      <c r="F55"/>
      <c r="G55"/>
      <c r="H55"/>
      <c r="I55"/>
      <c r="J55"/>
      <c r="K55" s="59"/>
      <c r="L55" s="60"/>
      <c r="M55" s="60"/>
      <c r="N55" s="60"/>
      <c r="O55" s="60"/>
      <c r="P55" s="60"/>
      <c r="Q55" s="60"/>
      <c r="R55" s="60"/>
      <c r="S55" s="60"/>
      <c r="T55" s="60"/>
      <c r="U55" s="60"/>
      <c r="V55" s="60"/>
      <c r="W55" s="60"/>
      <c r="X55" s="60"/>
      <c r="Y55" s="60"/>
      <c r="Z55" s="60"/>
      <c r="AA55" s="60"/>
      <c r="AB55" s="60"/>
      <c r="AC55" s="60"/>
      <c r="AD55" s="60"/>
      <c r="AE55" s="60"/>
      <c r="AF55" s="60"/>
      <c r="AG55" s="60"/>
      <c r="AH55" s="57"/>
      <c r="AI55" s="57"/>
      <c r="AJ55" s="57"/>
      <c r="AK55" s="60"/>
      <c r="AL55" s="60"/>
      <c r="AM55" s="60"/>
      <c r="AN55" s="60"/>
      <c r="AO55" s="60"/>
      <c r="AP55" s="60"/>
      <c r="AQ55" s="60"/>
      <c r="AR55" s="60"/>
      <c r="AS55" s="60"/>
    </row>
    <row r="56" spans="1:45" s="56" customFormat="1" x14ac:dyDescent="0.25">
      <c r="A56" s="45"/>
      <c r="B56" s="59"/>
      <c r="C56" s="59"/>
      <c r="D56"/>
      <c r="E56"/>
      <c r="F56"/>
      <c r="G56"/>
      <c r="H56"/>
      <c r="I56"/>
      <c r="J56"/>
      <c r="K56" s="59"/>
      <c r="L56" s="60"/>
      <c r="M56" s="60"/>
      <c r="N56" s="60"/>
      <c r="O56" s="60"/>
      <c r="P56" s="60"/>
      <c r="Q56" s="60"/>
      <c r="R56" s="60"/>
      <c r="S56" s="60"/>
      <c r="T56" s="60"/>
      <c r="U56" s="60"/>
      <c r="V56" s="60"/>
      <c r="W56" s="60"/>
      <c r="X56" s="60"/>
      <c r="Y56" s="60"/>
      <c r="Z56" s="60"/>
      <c r="AA56" s="60"/>
      <c r="AB56" s="60"/>
      <c r="AC56" s="60"/>
      <c r="AD56" s="60"/>
      <c r="AE56" s="60"/>
      <c r="AF56" s="60"/>
      <c r="AG56" s="60"/>
      <c r="AH56" s="57"/>
      <c r="AI56" s="57"/>
      <c r="AJ56" s="57"/>
      <c r="AK56" s="60"/>
      <c r="AL56" s="60"/>
      <c r="AM56" s="60"/>
      <c r="AN56" s="60"/>
      <c r="AO56" s="60"/>
      <c r="AP56" s="60"/>
      <c r="AQ56" s="60"/>
      <c r="AR56" s="60"/>
      <c r="AS56" s="60"/>
    </row>
    <row r="57" spans="1:45" x14ac:dyDescent="0.25">
      <c r="B57" s="59"/>
      <c r="C57" s="59"/>
      <c r="G57" s="65"/>
      <c r="K57" s="59"/>
      <c r="L57" s="59"/>
      <c r="M57" s="59"/>
      <c r="N57" s="59"/>
      <c r="O57" s="59"/>
      <c r="P57" s="59"/>
      <c r="Q57" s="59"/>
      <c r="R57" s="59"/>
      <c r="S57" s="59"/>
      <c r="T57" s="59"/>
      <c r="U57" s="59"/>
      <c r="V57" s="59"/>
      <c r="W57" s="59"/>
      <c r="X57" s="59"/>
      <c r="Y57" s="59"/>
      <c r="Z57" s="59"/>
      <c r="AA57" s="59"/>
      <c r="AB57" s="59"/>
      <c r="AC57" s="59"/>
      <c r="AD57" s="59"/>
      <c r="AE57" s="59"/>
      <c r="AF57" s="59"/>
      <c r="AG57" s="59"/>
      <c r="AK57" s="59"/>
      <c r="AL57" s="59"/>
      <c r="AM57" s="59"/>
      <c r="AN57" s="59"/>
      <c r="AO57" s="59"/>
      <c r="AP57" s="59"/>
      <c r="AQ57" s="59"/>
      <c r="AR57" s="59"/>
      <c r="AS57" s="59"/>
    </row>
    <row r="58" spans="1:45" ht="30" customHeight="1" x14ac:dyDescent="0.25">
      <c r="B58" s="59"/>
      <c r="C58" s="59"/>
      <c r="K58" s="59"/>
      <c r="L58" s="59"/>
      <c r="M58" s="59"/>
      <c r="N58" s="59"/>
      <c r="O58" s="59"/>
      <c r="P58" s="59"/>
      <c r="Q58" s="59"/>
      <c r="R58" s="59"/>
      <c r="S58" s="59"/>
      <c r="T58" s="59"/>
      <c r="U58" s="59"/>
      <c r="V58" s="59"/>
      <c r="W58" s="59"/>
      <c r="X58" s="59"/>
      <c r="Y58" s="59"/>
      <c r="Z58" s="59"/>
      <c r="AA58" s="59"/>
      <c r="AB58" s="59"/>
      <c r="AC58" s="59"/>
      <c r="AD58" s="59"/>
      <c r="AE58" s="59"/>
      <c r="AF58" s="59"/>
      <c r="AG58" s="59"/>
    </row>
    <row r="59" spans="1:45" x14ac:dyDescent="0.25">
      <c r="B59" s="59"/>
      <c r="C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1:45" x14ac:dyDescent="0.25">
      <c r="B60" s="59"/>
      <c r="C60" s="59"/>
      <c r="K60" s="59"/>
      <c r="L60" s="59"/>
      <c r="M60" s="59"/>
      <c r="N60" s="59"/>
      <c r="O60" s="59"/>
      <c r="P60" s="59"/>
      <c r="Q60" s="59"/>
      <c r="R60" s="59"/>
      <c r="S60" s="59"/>
      <c r="T60" s="59"/>
      <c r="U60" s="59"/>
      <c r="V60" s="59"/>
      <c r="W60" s="59"/>
      <c r="X60" s="59"/>
      <c r="Y60" s="59"/>
      <c r="Z60" s="59"/>
      <c r="AA60" s="59"/>
      <c r="AB60" s="59"/>
      <c r="AC60" s="59"/>
      <c r="AD60" s="59"/>
      <c r="AE60" s="59"/>
      <c r="AF60" s="59"/>
      <c r="AG60" s="59"/>
    </row>
    <row r="61" spans="1:45" x14ac:dyDescent="0.25">
      <c r="B61" s="59"/>
      <c r="C61" s="59"/>
      <c r="K61" s="59"/>
      <c r="L61" s="59"/>
      <c r="M61" s="59"/>
      <c r="N61" s="59"/>
      <c r="O61" s="59"/>
      <c r="P61" s="59"/>
      <c r="Q61" s="59"/>
      <c r="R61" s="59"/>
      <c r="S61" s="59"/>
      <c r="T61" s="59"/>
      <c r="U61" s="59"/>
      <c r="V61" s="59"/>
      <c r="W61" s="59"/>
      <c r="X61" s="59"/>
      <c r="Y61" s="59"/>
      <c r="Z61" s="59"/>
      <c r="AA61" s="59"/>
      <c r="AB61" s="59"/>
      <c r="AC61" s="59"/>
      <c r="AD61" s="59"/>
      <c r="AE61" s="59"/>
      <c r="AF61" s="59"/>
      <c r="AG61" s="59"/>
    </row>
    <row r="62" spans="1:45" x14ac:dyDescent="0.25">
      <c r="B62" s="59"/>
      <c r="C62" s="59"/>
      <c r="K62" s="59"/>
      <c r="L62" s="59"/>
      <c r="M62" s="59"/>
      <c r="N62" s="59"/>
      <c r="O62" s="59"/>
      <c r="P62" s="59"/>
      <c r="Q62" s="59"/>
      <c r="R62" s="59"/>
      <c r="S62" s="59"/>
      <c r="T62" s="59"/>
      <c r="U62" s="59"/>
      <c r="V62" s="59"/>
      <c r="W62" s="59"/>
      <c r="X62" s="59"/>
      <c r="Y62" s="59"/>
      <c r="Z62" s="59"/>
      <c r="AA62" s="59"/>
      <c r="AB62" s="59"/>
      <c r="AC62" s="59"/>
      <c r="AD62" s="59"/>
      <c r="AE62" s="59"/>
      <c r="AF62" s="59"/>
      <c r="AG62" s="59"/>
    </row>
    <row r="63" spans="1:45" x14ac:dyDescent="0.25">
      <c r="A63" s="45"/>
      <c r="B63" s="59"/>
      <c r="C63" s="59"/>
      <c r="K63" s="59"/>
      <c r="L63" s="59"/>
      <c r="M63" s="59"/>
      <c r="N63" s="59"/>
      <c r="O63" s="59"/>
      <c r="P63" s="59"/>
      <c r="Q63" s="59"/>
      <c r="R63" s="59"/>
      <c r="S63" s="59"/>
      <c r="T63" s="59"/>
      <c r="U63" s="59"/>
      <c r="V63" s="59"/>
      <c r="W63" s="59"/>
      <c r="X63" s="59"/>
      <c r="Y63" s="59"/>
      <c r="Z63" s="59"/>
      <c r="AA63" s="59"/>
      <c r="AB63" s="59"/>
      <c r="AC63" s="59"/>
      <c r="AD63" s="59"/>
      <c r="AE63" s="59"/>
      <c r="AF63" s="59"/>
      <c r="AG63" s="59"/>
    </row>
    <row r="64" spans="1:45" x14ac:dyDescent="0.25">
      <c r="A64" s="59"/>
      <c r="B64" s="59"/>
      <c r="C64" s="59"/>
      <c r="K64" s="59"/>
      <c r="L64" s="59"/>
      <c r="M64" s="59"/>
      <c r="N64" s="59"/>
      <c r="O64" s="59"/>
      <c r="P64" s="59"/>
      <c r="Q64" s="59"/>
      <c r="R64" s="59"/>
      <c r="S64" s="59"/>
      <c r="T64" s="59"/>
      <c r="U64" s="59"/>
      <c r="V64" s="59"/>
      <c r="W64" s="59"/>
      <c r="X64" s="59"/>
      <c r="Y64" s="59"/>
      <c r="Z64" s="59"/>
      <c r="AA64" s="59"/>
      <c r="AB64" s="59"/>
      <c r="AC64" s="59"/>
      <c r="AD64" s="59"/>
      <c r="AE64" s="59"/>
      <c r="AF64" s="59"/>
      <c r="AG64" s="59"/>
    </row>
    <row r="65" spans="1:33" x14ac:dyDescent="0.25">
      <c r="A65" s="59"/>
      <c r="B65" s="59"/>
      <c r="C65" s="59"/>
      <c r="K65" s="59"/>
      <c r="L65" s="59"/>
      <c r="M65" s="59"/>
      <c r="N65" s="59"/>
      <c r="O65" s="59"/>
      <c r="P65" s="59"/>
      <c r="Q65" s="59"/>
      <c r="R65" s="59"/>
      <c r="S65" s="59"/>
      <c r="T65" s="59"/>
      <c r="U65" s="59"/>
      <c r="V65" s="59"/>
      <c r="W65" s="59"/>
      <c r="X65" s="59"/>
      <c r="Y65" s="59"/>
      <c r="Z65" s="59"/>
      <c r="AA65" s="59"/>
      <c r="AB65" s="59"/>
      <c r="AC65" s="59"/>
      <c r="AD65" s="59"/>
      <c r="AE65" s="59"/>
      <c r="AF65" s="59"/>
      <c r="AG65" s="59"/>
    </row>
    <row r="66" spans="1:33" x14ac:dyDescent="0.25">
      <c r="A66" s="59"/>
      <c r="B66" s="59"/>
      <c r="C66" s="59"/>
      <c r="K66" s="59"/>
      <c r="L66" s="59"/>
      <c r="M66" s="59"/>
      <c r="N66" s="59"/>
      <c r="O66" s="59"/>
      <c r="P66" s="59"/>
      <c r="Q66" s="59"/>
      <c r="R66" s="59"/>
      <c r="S66" s="59"/>
      <c r="T66" s="59"/>
      <c r="U66" s="59"/>
      <c r="V66" s="59"/>
      <c r="W66" s="59"/>
      <c r="X66" s="59"/>
      <c r="Y66" s="59"/>
      <c r="Z66" s="59"/>
      <c r="AA66" s="59"/>
      <c r="AB66" s="59"/>
      <c r="AC66" s="59"/>
      <c r="AD66" s="59"/>
      <c r="AE66" s="59"/>
      <c r="AF66" s="59"/>
      <c r="AG66" s="59"/>
    </row>
    <row r="67" spans="1:33" x14ac:dyDescent="0.25">
      <c r="A67" s="59"/>
      <c r="B67" s="59"/>
      <c r="C67" s="59"/>
      <c r="K67" s="59"/>
      <c r="L67" s="59"/>
      <c r="M67" s="59"/>
      <c r="N67" s="59"/>
      <c r="O67" s="59"/>
      <c r="P67" s="59"/>
      <c r="Q67" s="59"/>
      <c r="R67" s="59"/>
      <c r="S67" s="59"/>
      <c r="T67" s="59"/>
      <c r="U67" s="59"/>
      <c r="V67" s="59"/>
      <c r="W67" s="59"/>
      <c r="X67" s="59"/>
      <c r="Y67" s="59"/>
      <c r="Z67" s="59"/>
      <c r="AA67" s="59"/>
      <c r="AB67" s="59"/>
      <c r="AC67" s="59"/>
      <c r="AD67" s="59"/>
      <c r="AE67" s="59"/>
      <c r="AF67" s="59"/>
      <c r="AG67" s="59"/>
    </row>
    <row r="68" spans="1:33" x14ac:dyDescent="0.25">
      <c r="A68" s="59"/>
      <c r="B68" s="59"/>
      <c r="C68" s="59"/>
      <c r="K68" s="59"/>
      <c r="L68" s="59"/>
      <c r="M68" s="59"/>
      <c r="N68" s="59"/>
      <c r="O68" s="59"/>
      <c r="P68" s="59"/>
      <c r="Q68" s="59"/>
      <c r="R68" s="59"/>
      <c r="S68" s="59"/>
      <c r="T68" s="59"/>
      <c r="U68" s="59"/>
      <c r="V68" s="59"/>
      <c r="W68" s="59"/>
      <c r="X68" s="59"/>
      <c r="Y68" s="59"/>
      <c r="Z68" s="59"/>
      <c r="AA68" s="59"/>
      <c r="AB68" s="59"/>
      <c r="AC68" s="59"/>
      <c r="AD68" s="59"/>
      <c r="AE68" s="59"/>
      <c r="AF68" s="59"/>
      <c r="AG68" s="59"/>
    </row>
    <row r="69" spans="1:33" x14ac:dyDescent="0.25">
      <c r="A69" s="59"/>
      <c r="B69" s="59"/>
      <c r="C69" s="59"/>
      <c r="G69" s="55"/>
      <c r="K69" s="59"/>
      <c r="L69" s="59"/>
      <c r="M69" s="59"/>
      <c r="N69" s="59"/>
      <c r="O69" s="59"/>
      <c r="P69" s="59"/>
      <c r="Q69" s="59"/>
      <c r="R69" s="59"/>
      <c r="S69" s="59"/>
      <c r="T69" s="59"/>
      <c r="U69" s="59"/>
      <c r="V69" s="59"/>
      <c r="W69" s="59"/>
      <c r="X69" s="59"/>
      <c r="Y69" s="59"/>
      <c r="Z69" s="59"/>
      <c r="AA69" s="59"/>
      <c r="AB69" s="59"/>
      <c r="AC69" s="59"/>
      <c r="AD69" s="59"/>
      <c r="AE69" s="59"/>
      <c r="AF69" s="59"/>
      <c r="AG69" s="59"/>
    </row>
    <row r="70" spans="1:33" x14ac:dyDescent="0.25">
      <c r="K70" s="59"/>
      <c r="L70" s="59"/>
      <c r="M70" s="59"/>
      <c r="N70" s="59"/>
      <c r="O70" s="59"/>
      <c r="P70" s="59"/>
      <c r="Q70" s="59"/>
      <c r="R70" s="59"/>
      <c r="S70" s="59"/>
      <c r="T70" s="59"/>
      <c r="U70" s="59"/>
      <c r="V70" s="59"/>
      <c r="W70" s="59"/>
      <c r="X70" s="59"/>
      <c r="Y70" s="59"/>
      <c r="Z70" s="59"/>
      <c r="AA70" s="59"/>
      <c r="AB70" s="59"/>
      <c r="AC70" s="59"/>
      <c r="AD70" s="59"/>
      <c r="AE70" s="59"/>
      <c r="AF70" s="59"/>
      <c r="AG70" s="59"/>
    </row>
    <row r="71" spans="1:33" x14ac:dyDescent="0.25">
      <c r="K71" s="59"/>
      <c r="L71" s="59"/>
      <c r="M71" s="59"/>
      <c r="N71" s="59"/>
      <c r="O71" s="59"/>
      <c r="P71" s="59"/>
      <c r="Q71" s="59"/>
      <c r="R71" s="59"/>
      <c r="S71" s="59"/>
      <c r="T71" s="59"/>
      <c r="U71" s="59"/>
      <c r="V71" s="59"/>
      <c r="W71" s="59"/>
      <c r="X71" s="59"/>
      <c r="Y71" s="59"/>
      <c r="Z71" s="59"/>
      <c r="AA71" s="59"/>
      <c r="AB71" s="59"/>
      <c r="AC71" s="59"/>
      <c r="AD71" s="59"/>
      <c r="AE71" s="59"/>
      <c r="AF71" s="59"/>
      <c r="AG71" s="59"/>
    </row>
    <row r="72" spans="1:33" x14ac:dyDescent="0.25">
      <c r="K72" s="59"/>
      <c r="L72" s="59"/>
      <c r="M72" s="59"/>
      <c r="N72" s="59"/>
      <c r="O72" s="59"/>
      <c r="P72" s="59"/>
      <c r="Q72" s="59"/>
      <c r="R72" s="59"/>
      <c r="S72" s="59"/>
      <c r="T72" s="59"/>
      <c r="U72" s="59"/>
      <c r="V72" s="59"/>
      <c r="W72" s="59"/>
      <c r="X72" s="59"/>
      <c r="Y72" s="59"/>
      <c r="Z72" s="59"/>
      <c r="AA72" s="59"/>
      <c r="AB72" s="59"/>
      <c r="AC72" s="59"/>
      <c r="AD72" s="59"/>
      <c r="AE72" s="59"/>
      <c r="AF72" s="59"/>
      <c r="AG72" s="59"/>
    </row>
    <row r="73" spans="1:33" x14ac:dyDescent="0.25">
      <c r="K73" s="59"/>
      <c r="L73" s="59"/>
      <c r="M73" s="59"/>
      <c r="N73" s="59"/>
      <c r="O73" s="59"/>
      <c r="P73" s="59"/>
      <c r="Q73" s="59"/>
      <c r="R73" s="59"/>
      <c r="S73" s="59"/>
      <c r="T73" s="59"/>
      <c r="U73" s="59"/>
      <c r="V73" s="59"/>
      <c r="W73" s="59"/>
      <c r="X73" s="59"/>
      <c r="Y73" s="59"/>
      <c r="Z73" s="59"/>
      <c r="AA73" s="59"/>
      <c r="AB73" s="59"/>
      <c r="AC73" s="59"/>
      <c r="AD73" s="59"/>
      <c r="AE73" s="59"/>
      <c r="AF73" s="59"/>
      <c r="AG73" s="59"/>
    </row>
    <row r="74" spans="1:33" x14ac:dyDescent="0.25">
      <c r="K74" s="59"/>
      <c r="L74" s="59"/>
      <c r="M74" s="59"/>
      <c r="N74" s="59"/>
      <c r="O74" s="59"/>
      <c r="P74" s="59"/>
      <c r="Q74" s="59"/>
      <c r="R74" s="59"/>
      <c r="S74" s="59"/>
      <c r="T74" s="59"/>
      <c r="U74" s="59"/>
      <c r="V74" s="59"/>
      <c r="W74" s="59"/>
      <c r="X74" s="59"/>
      <c r="Y74" s="59"/>
      <c r="Z74" s="59"/>
      <c r="AA74" s="59"/>
      <c r="AB74" s="59"/>
      <c r="AC74" s="59"/>
      <c r="AD74" s="59"/>
      <c r="AE74" s="59"/>
      <c r="AF74" s="59"/>
      <c r="AG74" s="59"/>
    </row>
    <row r="75" spans="1:33" x14ac:dyDescent="0.25">
      <c r="K75" s="59"/>
      <c r="L75" s="59"/>
      <c r="M75" s="59"/>
      <c r="N75" s="59"/>
      <c r="O75" s="59"/>
      <c r="P75" s="59"/>
      <c r="Q75" s="59"/>
      <c r="R75" s="59"/>
      <c r="S75" s="59"/>
      <c r="T75" s="59"/>
      <c r="U75" s="59"/>
      <c r="V75" s="59"/>
      <c r="W75" s="59"/>
      <c r="X75" s="59"/>
      <c r="Y75" s="59"/>
      <c r="Z75" s="59"/>
      <c r="AA75" s="59"/>
      <c r="AB75" s="59"/>
      <c r="AC75" s="59"/>
      <c r="AD75" s="59"/>
      <c r="AE75" s="59"/>
      <c r="AF75" s="59"/>
      <c r="AG75" s="59"/>
    </row>
    <row r="76" spans="1:33" x14ac:dyDescent="0.25">
      <c r="A76" s="45"/>
      <c r="K76" s="59"/>
      <c r="L76" s="59"/>
      <c r="M76" s="59"/>
      <c r="N76" s="59"/>
      <c r="O76" s="59"/>
      <c r="P76" s="59"/>
      <c r="Q76" s="59"/>
      <c r="R76" s="59"/>
      <c r="S76" s="59"/>
      <c r="T76" s="59"/>
      <c r="U76" s="59"/>
      <c r="V76" s="59"/>
      <c r="W76" s="59"/>
      <c r="X76" s="59"/>
      <c r="Y76" s="59"/>
      <c r="Z76" s="59"/>
      <c r="AA76" s="59"/>
      <c r="AB76" s="59"/>
      <c r="AC76" s="59"/>
      <c r="AD76" s="59"/>
      <c r="AE76" s="59"/>
      <c r="AF76" s="59"/>
      <c r="AG76" s="59"/>
    </row>
    <row r="77" spans="1:33" x14ac:dyDescent="0.25">
      <c r="A77" s="45" t="s">
        <v>32</v>
      </c>
      <c r="K77" s="59"/>
      <c r="L77" s="59"/>
      <c r="M77" s="59"/>
      <c r="N77" s="59"/>
      <c r="O77" s="59"/>
      <c r="P77" s="59"/>
      <c r="Q77" s="59"/>
      <c r="R77" s="59"/>
      <c r="S77" s="59"/>
      <c r="T77" s="59"/>
      <c r="U77" s="59"/>
      <c r="V77" s="59"/>
      <c r="W77" s="59"/>
      <c r="X77" s="59"/>
      <c r="Y77" s="59"/>
      <c r="Z77" s="59"/>
      <c r="AA77" s="59"/>
      <c r="AB77" s="59"/>
      <c r="AC77" s="59"/>
      <c r="AD77" s="59"/>
      <c r="AE77" s="59"/>
      <c r="AF77" s="59"/>
      <c r="AG77" s="59"/>
    </row>
    <row r="78" spans="1:33" x14ac:dyDescent="0.25">
      <c r="A78" s="57" t="s">
        <v>33</v>
      </c>
      <c r="B78" s="56"/>
      <c r="C78" s="56"/>
      <c r="D78" s="56"/>
      <c r="E78" s="56"/>
      <c r="F78" s="56"/>
      <c r="G78" s="56"/>
      <c r="H78" s="56"/>
      <c r="I78" s="56"/>
      <c r="J78" s="56"/>
      <c r="K78" s="59"/>
      <c r="L78" s="59"/>
      <c r="M78" s="59"/>
      <c r="N78" s="59"/>
      <c r="O78" s="59"/>
      <c r="P78" s="59"/>
      <c r="Q78" s="59"/>
      <c r="R78" s="59"/>
      <c r="S78" s="59"/>
      <c r="T78" s="59"/>
      <c r="U78" s="59"/>
      <c r="V78" s="59"/>
      <c r="W78" s="59"/>
      <c r="X78" s="59"/>
      <c r="Y78" s="59"/>
      <c r="Z78" s="59"/>
      <c r="AA78" s="59"/>
      <c r="AB78" s="59"/>
      <c r="AC78" s="59"/>
      <c r="AD78" s="59"/>
      <c r="AE78" s="59"/>
      <c r="AF78" s="59"/>
      <c r="AG78" s="59"/>
    </row>
    <row r="79" spans="1:33" x14ac:dyDescent="0.25">
      <c r="K79" s="59"/>
      <c r="L79" s="59"/>
      <c r="M79" s="59"/>
      <c r="N79" s="59"/>
      <c r="O79" s="59"/>
      <c r="P79" s="59"/>
      <c r="Q79" s="59"/>
      <c r="R79" s="59"/>
      <c r="S79" s="59"/>
      <c r="T79" s="59"/>
      <c r="U79" s="59"/>
      <c r="V79" s="59"/>
      <c r="W79" s="59"/>
      <c r="X79" s="59"/>
      <c r="Y79" s="59"/>
      <c r="Z79" s="59"/>
      <c r="AA79" s="59"/>
      <c r="AB79" s="59"/>
      <c r="AC79" s="59"/>
      <c r="AD79" s="59"/>
      <c r="AE79" s="59"/>
      <c r="AF79" s="59"/>
      <c r="AG79" s="59"/>
    </row>
    <row r="80" spans="1:33" x14ac:dyDescent="0.25">
      <c r="K80" s="59"/>
      <c r="L80" s="59"/>
      <c r="M80" s="59"/>
      <c r="N80" s="59"/>
      <c r="O80" s="59"/>
      <c r="P80" s="59"/>
      <c r="Q80" s="59"/>
      <c r="R80" s="59"/>
      <c r="S80" s="59"/>
      <c r="T80" s="59"/>
      <c r="U80" s="59"/>
      <c r="V80" s="59"/>
      <c r="W80" s="59"/>
      <c r="X80" s="59"/>
      <c r="Y80" s="59"/>
      <c r="Z80" s="59"/>
      <c r="AA80" s="59"/>
      <c r="AB80" s="59"/>
      <c r="AC80" s="59"/>
      <c r="AD80" s="59"/>
      <c r="AE80" s="59"/>
      <c r="AF80" s="59"/>
      <c r="AG80" s="59"/>
    </row>
    <row r="81" spans="1:36" x14ac:dyDescent="0.25">
      <c r="K81" s="59"/>
      <c r="L81" s="59"/>
      <c r="M81" s="59"/>
      <c r="N81" s="59"/>
      <c r="O81" s="59"/>
      <c r="P81" s="59"/>
      <c r="Q81" s="59"/>
      <c r="R81" s="59"/>
      <c r="S81" s="59"/>
      <c r="T81" s="59"/>
      <c r="U81" s="59"/>
      <c r="V81" s="59"/>
      <c r="W81" s="59"/>
      <c r="X81" s="59"/>
      <c r="Y81" s="59"/>
      <c r="Z81" s="59"/>
      <c r="AA81" s="59"/>
      <c r="AB81" s="59"/>
      <c r="AC81" s="59"/>
      <c r="AD81" s="59"/>
      <c r="AE81" s="59"/>
      <c r="AF81" s="59"/>
      <c r="AG81" s="59"/>
    </row>
    <row r="82" spans="1:36" ht="15.75" customHeight="1" x14ac:dyDescent="0.25">
      <c r="K82" s="59"/>
      <c r="L82" s="59"/>
      <c r="M82" s="59"/>
      <c r="N82" s="59"/>
      <c r="O82" s="59"/>
      <c r="P82" s="59"/>
      <c r="Q82" s="59"/>
      <c r="R82" s="59"/>
      <c r="S82" s="59"/>
      <c r="T82" s="59"/>
      <c r="U82" s="59"/>
      <c r="V82" s="59"/>
      <c r="W82" s="59"/>
      <c r="X82" s="59"/>
      <c r="Y82" s="59"/>
      <c r="Z82" s="59"/>
      <c r="AA82" s="59"/>
      <c r="AB82" s="59"/>
      <c r="AC82" s="59"/>
      <c r="AD82" s="59"/>
      <c r="AE82" s="59"/>
      <c r="AF82" s="59"/>
      <c r="AG82" s="59"/>
    </row>
    <row r="83" spans="1:36" x14ac:dyDescent="0.25">
      <c r="K83" s="59"/>
      <c r="L83" s="59"/>
      <c r="M83" s="59"/>
      <c r="N83" s="59"/>
      <c r="O83" s="59"/>
      <c r="P83" s="59"/>
      <c r="Q83" s="59"/>
      <c r="R83" s="59"/>
      <c r="S83" s="59"/>
      <c r="T83" s="59"/>
      <c r="U83" s="59"/>
      <c r="V83" s="59"/>
      <c r="W83" s="59"/>
      <c r="X83" s="59"/>
      <c r="Y83" s="59"/>
      <c r="Z83" s="59"/>
      <c r="AA83" s="59"/>
      <c r="AB83" s="59"/>
      <c r="AC83" s="59"/>
      <c r="AD83" s="59"/>
      <c r="AE83" s="59"/>
      <c r="AF83" s="59"/>
      <c r="AG83" s="59"/>
    </row>
    <row r="84" spans="1:36" x14ac:dyDescent="0.25">
      <c r="K84" s="59"/>
      <c r="L84" s="59"/>
      <c r="M84" s="59"/>
      <c r="N84" s="59"/>
      <c r="O84" s="59"/>
      <c r="P84" s="59"/>
      <c r="Q84" s="59"/>
      <c r="R84" s="59"/>
      <c r="S84" s="59"/>
      <c r="T84" s="59"/>
      <c r="U84" s="59"/>
      <c r="V84" s="59"/>
      <c r="W84" s="59"/>
      <c r="X84" s="59"/>
      <c r="Y84" s="59"/>
      <c r="Z84" s="59"/>
      <c r="AA84" s="59"/>
      <c r="AB84" s="59"/>
      <c r="AC84" s="59"/>
      <c r="AD84" s="59"/>
      <c r="AE84" s="59"/>
      <c r="AF84" s="59"/>
      <c r="AG84" s="59"/>
    </row>
    <row r="85" spans="1:36" ht="18" customHeight="1" x14ac:dyDescent="0.25">
      <c r="K85" s="72"/>
      <c r="L85" s="59"/>
      <c r="M85" s="59"/>
      <c r="N85" s="59"/>
      <c r="O85" s="59"/>
      <c r="P85" s="59"/>
      <c r="Q85" s="59"/>
      <c r="R85" s="59"/>
      <c r="S85" s="59"/>
      <c r="T85" s="59"/>
      <c r="U85" s="59"/>
      <c r="V85" s="59"/>
      <c r="W85" s="59"/>
      <c r="X85" s="59"/>
      <c r="Y85" s="59"/>
      <c r="Z85" s="59"/>
      <c r="AA85" s="59"/>
      <c r="AB85" s="59"/>
      <c r="AC85" s="59"/>
      <c r="AD85" s="59"/>
      <c r="AE85" s="59"/>
      <c r="AF85" s="59"/>
      <c r="AG85" s="59"/>
    </row>
    <row r="86" spans="1:36" x14ac:dyDescent="0.25">
      <c r="K86" s="59"/>
      <c r="L86" s="59"/>
      <c r="M86" s="59"/>
      <c r="N86" s="59"/>
      <c r="O86" s="59"/>
      <c r="P86" s="59"/>
      <c r="Q86" s="59"/>
      <c r="R86" s="59"/>
      <c r="S86" s="73"/>
      <c r="T86" s="74"/>
      <c r="U86" s="59"/>
      <c r="V86" s="59"/>
      <c r="W86" s="59"/>
      <c r="X86" s="59"/>
      <c r="Y86" s="59"/>
      <c r="Z86" s="59"/>
      <c r="AA86" s="59"/>
      <c r="AB86" s="59"/>
      <c r="AC86" s="59"/>
      <c r="AD86" s="59"/>
      <c r="AE86" s="59"/>
      <c r="AF86" s="59"/>
      <c r="AG86" s="59"/>
    </row>
    <row r="87" spans="1:36" x14ac:dyDescent="0.25">
      <c r="K87" s="59"/>
      <c r="L87" s="59"/>
      <c r="M87" s="59"/>
      <c r="N87" s="59"/>
      <c r="O87" s="59"/>
      <c r="P87" s="59"/>
      <c r="Q87" s="59"/>
      <c r="R87" s="75"/>
      <c r="S87" s="76"/>
      <c r="T87" s="59"/>
      <c r="U87" s="59"/>
      <c r="V87" s="59"/>
      <c r="W87" s="59"/>
      <c r="X87" s="59"/>
      <c r="Y87" s="59"/>
      <c r="Z87" s="59"/>
      <c r="AA87" s="59"/>
      <c r="AB87" s="59"/>
      <c r="AC87" s="59"/>
      <c r="AD87" s="59"/>
      <c r="AE87" s="59"/>
      <c r="AF87" s="59"/>
      <c r="AG87" s="59"/>
    </row>
    <row r="88" spans="1:36" x14ac:dyDescent="0.25">
      <c r="K88" s="59"/>
      <c r="L88" s="59"/>
      <c r="M88" s="59"/>
      <c r="N88" s="59"/>
      <c r="O88" s="59"/>
      <c r="P88" s="59"/>
      <c r="Q88" s="59"/>
      <c r="R88" s="75"/>
      <c r="S88" s="59"/>
      <c r="T88" s="59"/>
      <c r="U88" s="59"/>
      <c r="V88" s="59"/>
      <c r="W88" s="59"/>
      <c r="X88" s="59"/>
      <c r="Y88" s="59"/>
      <c r="Z88" s="59"/>
      <c r="AA88" s="59"/>
      <c r="AB88" s="59"/>
      <c r="AC88" s="59"/>
      <c r="AD88" s="59"/>
      <c r="AE88" s="59"/>
      <c r="AF88" s="59"/>
      <c r="AG88" s="59"/>
    </row>
    <row r="89" spans="1:36" x14ac:dyDescent="0.25">
      <c r="K89" s="59"/>
      <c r="L89" s="59"/>
      <c r="M89" s="59"/>
      <c r="N89" s="59"/>
      <c r="O89" s="59"/>
      <c r="P89" s="59"/>
      <c r="Q89" s="59"/>
      <c r="R89" s="59"/>
      <c r="S89" s="59"/>
      <c r="T89" s="59"/>
      <c r="U89" s="59"/>
      <c r="V89" s="59"/>
      <c r="W89" s="59"/>
      <c r="X89" s="59"/>
      <c r="Y89" s="59"/>
      <c r="Z89" s="59"/>
      <c r="AA89" s="59"/>
      <c r="AB89" s="59"/>
      <c r="AC89" s="59"/>
      <c r="AD89" s="59"/>
      <c r="AE89" s="59"/>
      <c r="AF89" s="59"/>
      <c r="AG89" s="59"/>
    </row>
    <row r="90" spans="1:36" s="56" customFormat="1" x14ac:dyDescent="0.25">
      <c r="A90"/>
      <c r="B90"/>
      <c r="C90"/>
      <c r="D90"/>
      <c r="E90"/>
      <c r="F90"/>
      <c r="G90"/>
      <c r="H90"/>
      <c r="I90"/>
      <c r="J90"/>
      <c r="K90" s="60"/>
      <c r="L90" s="60"/>
      <c r="M90" s="60"/>
      <c r="N90" s="60"/>
      <c r="O90" s="60"/>
      <c r="P90" s="60"/>
      <c r="Q90" s="60"/>
      <c r="R90" s="60"/>
      <c r="S90" s="60"/>
      <c r="T90" s="60"/>
      <c r="U90" s="60"/>
      <c r="V90" s="60"/>
      <c r="W90" s="60"/>
      <c r="X90" s="60"/>
      <c r="Y90" s="60"/>
      <c r="Z90" s="60"/>
      <c r="AA90" s="60"/>
      <c r="AB90" s="60"/>
      <c r="AC90" s="60"/>
      <c r="AD90" s="60"/>
      <c r="AE90" s="60"/>
      <c r="AF90" s="60"/>
      <c r="AG90" s="60"/>
      <c r="AH90" s="57"/>
      <c r="AI90" s="57"/>
      <c r="AJ90" s="57"/>
    </row>
    <row r="91" spans="1:36" x14ac:dyDescent="0.25">
      <c r="K91" s="59"/>
      <c r="L91" s="70"/>
      <c r="M91" s="59"/>
      <c r="N91" s="59"/>
      <c r="O91" s="59"/>
      <c r="P91" s="59"/>
      <c r="Q91" s="59"/>
      <c r="R91" s="59"/>
      <c r="S91" s="59"/>
      <c r="T91" s="59"/>
      <c r="U91" s="59"/>
      <c r="V91" s="59"/>
      <c r="W91" s="59"/>
      <c r="X91" s="59"/>
      <c r="Y91" s="59"/>
      <c r="Z91" s="59"/>
      <c r="AA91" s="59"/>
      <c r="AB91" s="59"/>
      <c r="AC91" s="59"/>
      <c r="AD91" s="59"/>
      <c r="AE91" s="59"/>
      <c r="AF91" s="59"/>
      <c r="AG91" s="59"/>
    </row>
    <row r="92" spans="1:36" x14ac:dyDescent="0.25">
      <c r="K92" s="59"/>
      <c r="L92" s="70"/>
      <c r="M92" s="59"/>
      <c r="N92" s="59"/>
      <c r="O92" s="59"/>
      <c r="P92" s="59"/>
      <c r="Q92" s="59"/>
      <c r="R92" s="59"/>
      <c r="S92" s="59"/>
      <c r="T92" s="59"/>
      <c r="U92" s="59"/>
      <c r="V92" s="59"/>
      <c r="W92" s="59"/>
      <c r="X92" s="59"/>
      <c r="Y92" s="59"/>
      <c r="Z92" s="59"/>
      <c r="AA92" s="59"/>
      <c r="AB92" s="59"/>
      <c r="AC92" s="59"/>
      <c r="AD92" s="59"/>
      <c r="AE92" s="59"/>
      <c r="AF92" s="59"/>
      <c r="AG92" s="59"/>
    </row>
    <row r="93" spans="1:36" ht="11.25" customHeight="1" x14ac:dyDescent="0.25">
      <c r="K93" s="59"/>
      <c r="L93" s="77"/>
      <c r="M93" s="59"/>
      <c r="N93" s="77"/>
      <c r="O93" s="77"/>
      <c r="P93" s="77"/>
      <c r="Q93" s="59"/>
      <c r="R93" s="59"/>
      <c r="S93" s="59"/>
      <c r="T93" s="59"/>
      <c r="U93" s="59"/>
      <c r="V93" s="59"/>
      <c r="W93" s="59"/>
      <c r="X93" s="59"/>
      <c r="Y93" s="59"/>
      <c r="Z93" s="59"/>
      <c r="AA93" s="59"/>
      <c r="AB93" s="59"/>
      <c r="AC93" s="59"/>
      <c r="AD93" s="59"/>
      <c r="AE93" s="59"/>
      <c r="AF93" s="59"/>
      <c r="AG93" s="59"/>
    </row>
    <row r="94" spans="1:36" x14ac:dyDescent="0.25">
      <c r="K94" s="59"/>
      <c r="L94" s="77"/>
      <c r="M94" s="78"/>
      <c r="N94" s="59"/>
      <c r="O94" s="59"/>
      <c r="P94" s="59"/>
      <c r="Q94" s="59"/>
      <c r="R94" s="59"/>
      <c r="S94" s="59"/>
      <c r="T94" s="59"/>
      <c r="U94" s="59"/>
      <c r="V94" s="59"/>
      <c r="W94" s="59"/>
      <c r="X94" s="59"/>
      <c r="Y94" s="59"/>
      <c r="Z94" s="59"/>
      <c r="AA94" s="59"/>
      <c r="AB94" s="59"/>
      <c r="AC94" s="59"/>
      <c r="AD94" s="59"/>
      <c r="AE94" s="59"/>
      <c r="AF94" s="59"/>
      <c r="AG94" s="59"/>
    </row>
    <row r="95" spans="1:36" x14ac:dyDescent="0.25">
      <c r="K95" s="59"/>
      <c r="L95" s="59"/>
      <c r="M95" s="59"/>
      <c r="N95" s="59"/>
      <c r="O95" s="59"/>
      <c r="P95" s="59"/>
      <c r="Q95" s="59"/>
      <c r="R95" s="59"/>
      <c r="S95" s="59"/>
      <c r="T95" s="59"/>
      <c r="U95" s="59"/>
      <c r="V95" s="59"/>
      <c r="W95" s="59"/>
      <c r="X95" s="59"/>
      <c r="Y95" s="59"/>
      <c r="Z95" s="59"/>
      <c r="AA95" s="59"/>
      <c r="AB95" s="59"/>
      <c r="AC95" s="59"/>
      <c r="AD95" s="59"/>
      <c r="AE95" s="59"/>
      <c r="AF95" s="59"/>
      <c r="AG95" s="59"/>
    </row>
    <row r="96" spans="1:36" x14ac:dyDescent="0.25">
      <c r="K96" s="59"/>
      <c r="L96" s="59"/>
      <c r="M96" s="59"/>
      <c r="N96" s="59"/>
      <c r="O96" s="59"/>
      <c r="P96" s="59"/>
      <c r="Q96" s="59"/>
      <c r="R96" s="59"/>
      <c r="S96" s="59"/>
      <c r="T96" s="59"/>
      <c r="U96" s="59"/>
      <c r="V96" s="59"/>
      <c r="W96" s="59"/>
      <c r="X96" s="59"/>
      <c r="Y96" s="59"/>
      <c r="Z96" s="59"/>
      <c r="AA96" s="59"/>
      <c r="AB96" s="59"/>
      <c r="AC96" s="59"/>
      <c r="AD96" s="59"/>
      <c r="AE96" s="59"/>
      <c r="AF96" s="59"/>
      <c r="AG96" s="59"/>
    </row>
    <row r="97" spans="11:33" x14ac:dyDescent="0.25">
      <c r="K97" s="59"/>
      <c r="L97" s="59"/>
      <c r="M97" s="59"/>
      <c r="N97" s="59"/>
      <c r="O97" s="59"/>
      <c r="P97" s="59"/>
      <c r="Q97" s="59"/>
      <c r="R97" s="59"/>
      <c r="S97" s="59"/>
      <c r="T97" s="59"/>
      <c r="U97" s="59"/>
      <c r="V97" s="59"/>
      <c r="W97" s="59"/>
      <c r="X97" s="59"/>
      <c r="Y97" s="59"/>
      <c r="Z97" s="59"/>
      <c r="AA97" s="59"/>
      <c r="AB97" s="59"/>
      <c r="AC97" s="59"/>
      <c r="AD97" s="59"/>
      <c r="AE97" s="59"/>
      <c r="AF97" s="59"/>
      <c r="AG97" s="59"/>
    </row>
  </sheetData>
  <sheetProtection algorithmName="SHA-512" hashValue="UinxwdN0bV4t+e5NbD9RbaxUMCjea+3U3YUrOLpj3DeaioQogt//y3MH1ZGSfKEA9+XooerTQP0XRyHELjAQdA==" saltValue="FNgOtehp4QFWnGmMTk5fwA==" spinCount="100000" sheet="1"/>
  <mergeCells count="70">
    <mergeCell ref="A46:J46"/>
    <mergeCell ref="G19:J19"/>
    <mergeCell ref="G20:J20"/>
    <mergeCell ref="A19:D19"/>
    <mergeCell ref="A26:D26"/>
    <mergeCell ref="A32:D32"/>
    <mergeCell ref="G23:J23"/>
    <mergeCell ref="G26:J26"/>
    <mergeCell ref="G27:J27"/>
    <mergeCell ref="G28:J28"/>
    <mergeCell ref="G29:J29"/>
    <mergeCell ref="G30:J30"/>
    <mergeCell ref="H39:I39"/>
    <mergeCell ref="A10:D10"/>
    <mergeCell ref="A17:B17"/>
    <mergeCell ref="C11:D11"/>
    <mergeCell ref="C13:D13"/>
    <mergeCell ref="A15:D15"/>
    <mergeCell ref="B2:D2"/>
    <mergeCell ref="B3:D3"/>
    <mergeCell ref="B4:D4"/>
    <mergeCell ref="G8:J8"/>
    <mergeCell ref="G4:J4"/>
    <mergeCell ref="G3:J3"/>
    <mergeCell ref="G5:J5"/>
    <mergeCell ref="G6:J6"/>
    <mergeCell ref="G7:J7"/>
    <mergeCell ref="H2:J2"/>
    <mergeCell ref="C6:C7"/>
    <mergeCell ref="D6:D7"/>
    <mergeCell ref="C8:D9"/>
    <mergeCell ref="A1:N1"/>
    <mergeCell ref="A40:D40"/>
    <mergeCell ref="A42:B45"/>
    <mergeCell ref="K12:N14"/>
    <mergeCell ref="K15:N17"/>
    <mergeCell ref="K18:N20"/>
    <mergeCell ref="K21:N23"/>
    <mergeCell ref="K24:N26"/>
    <mergeCell ref="K3:N5"/>
    <mergeCell ref="K6:N8"/>
    <mergeCell ref="K9:N11"/>
    <mergeCell ref="G24:J24"/>
    <mergeCell ref="A16:B16"/>
    <mergeCell ref="G21:J21"/>
    <mergeCell ref="G22:J22"/>
    <mergeCell ref="G9:J9"/>
    <mergeCell ref="G13:J13"/>
    <mergeCell ref="G14:J14"/>
    <mergeCell ref="G16:J16"/>
    <mergeCell ref="G17:J17"/>
    <mergeCell ref="G10:J10"/>
    <mergeCell ref="G11:J11"/>
    <mergeCell ref="G12:J12"/>
    <mergeCell ref="K39:M43"/>
    <mergeCell ref="E44:G44"/>
    <mergeCell ref="G18:J18"/>
    <mergeCell ref="H40:I40"/>
    <mergeCell ref="H41:I41"/>
    <mergeCell ref="H42:I42"/>
    <mergeCell ref="H43:I43"/>
    <mergeCell ref="G36:J36"/>
    <mergeCell ref="G37:J37"/>
    <mergeCell ref="G31:J31"/>
    <mergeCell ref="G32:J32"/>
    <mergeCell ref="G33:J33"/>
    <mergeCell ref="G34:J34"/>
    <mergeCell ref="G35:J35"/>
    <mergeCell ref="K30:N36"/>
    <mergeCell ref="K29:N29"/>
  </mergeCells>
  <conditionalFormatting sqref="A16 C16:D16">
    <cfRule type="containsText" dxfId="12" priority="23" operator="containsText" text="EUI is higher than expected please double check">
      <formula>NOT(ISERROR(SEARCH("EUI is higher than expected please double check",A16)))</formula>
    </cfRule>
  </conditionalFormatting>
  <conditionalFormatting sqref="A18">
    <cfRule type="containsText" dxfId="11" priority="4" operator="containsText" text="Low savings potential - further substantiation needed">
      <formula>NOT(ISERROR(SEARCH("Low savings potential - further substantiation needed",A18)))</formula>
    </cfRule>
  </conditionalFormatting>
  <conditionalFormatting sqref="A46:A48">
    <cfRule type="containsText" dxfId="10" priority="9" operator="containsText" text="*The estimate adjustment assumes no gas savings for performance. If gas savings are accrued, then incentive will increase.">
      <formula>NOT(ISERROR(SEARCH("*The estimate adjustment assumes no gas savings for performance. If gas savings are accrued, then incentive will increase.",A46)))</formula>
    </cfRule>
    <cfRule type="containsText" dxfId="9" priority="10" operator="containsText" text="*The estimate adjustment is assumes no gas savings for performance. If gas savings are accruded, then incentive will increase.">
      <formula>NOT(ISERROR(SEARCH("*The estimate adjustment is assumes no gas savings for performance. If gas savings are accruded, then incentive will increase.",A46)))</formula>
    </cfRule>
  </conditionalFormatting>
  <conditionalFormatting sqref="A46:J46">
    <cfRule type="containsText" dxfId="8" priority="7" operator="containsText" text="Due to the rounding of the % savings or the fact that the incentive has surpassed the max incentive range, the performance incentives differ above.">
      <formula>NOT(ISERROR(SEARCH("Due to the rounding of the % savings or the fact that the incentive has surpassed the max incentive range, the performance incentives differ above.",A46)))</formula>
    </cfRule>
    <cfRule type="containsText" dxfId="7" priority="8" operator="containsText" text="When the cost and/or usage cause the incentive to surpass the incentive amount possible the two (2) estimates are different due to the calculation methodology. For more information or clarification, contact your PSE representative.">
      <formula>NOT(ISERROR(SEARCH("When the cost and/or usage cause the incentive to surpass the incentive amount possible the two (2) estimates are different due to the calculation methodology. For more information or clarification, contact your PSE representative.",A46)))</formula>
    </cfRule>
  </conditionalFormatting>
  <conditionalFormatting sqref="B4:D4">
    <cfRule type="cellIs" dxfId="6" priority="2" operator="equal">
      <formula>"Incomplete - Contact PSE when Ready"</formula>
    </cfRule>
  </conditionalFormatting>
  <conditionalFormatting sqref="C18">
    <cfRule type="cellIs" dxfId="5" priority="5" operator="equal">
      <formula>"Low Savings Potential"</formula>
    </cfRule>
  </conditionalFormatting>
  <conditionalFormatting sqref="E42">
    <cfRule type="cellIs" dxfId="4" priority="1" operator="equal">
      <formula>"No"</formula>
    </cfRule>
  </conditionalFormatting>
  <conditionalFormatting sqref="E3:F14 E17:F24 E27:F37">
    <cfRule type="containsText" dxfId="3" priority="3" operator="containsText" text="N/A or Meets Code">
      <formula>NOT(ISERROR(SEARCH("N/A or Meets Code",E3)))</formula>
    </cfRule>
  </conditionalFormatting>
  <conditionalFormatting sqref="K3 K6 K9 K12 K27 K37 K39 K44:K60">
    <cfRule type="containsText" dxfId="2" priority="15"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details.",K3)))</formula>
    </cfRule>
  </conditionalFormatting>
  <hyperlinks>
    <hyperlink ref="A4" location="'PSE Only - Scope Review'!A1" display="Scope Review" xr:uid="{E9B2C35D-D800-464F-8AD5-19BEB9A8522D}"/>
    <hyperlink ref="H2:J2" r:id="rId1" display="- See 2021 WA Energy Code Section Requirements" xr:uid="{B1C6E1CF-94BE-4A8A-82F3-8198D66CC8CE}"/>
    <hyperlink ref="G3:J3" location="'Energy Code'!A2" display="Zone level scheduling &amp; limited time override - C403.4.1 &amp; C403.4.2.2" xr:uid="{654E93DE-9F64-4CE1-95A3-80351DE8A6E5}"/>
    <hyperlink ref="G4:J4" location="'Energy Code'!A18" display="Automated start/stop for warm-up and for cool-down - C403.4.2.3" xr:uid="{B6037DEA-3E8A-4CA3-8995-71B32F30DC5F}"/>
    <hyperlink ref="G5:J5" location="'Energy Code'!A29" display="Thermostatic Setback - C403.4.2.1" xr:uid="{26D066E1-E13A-41DA-8748-B9C5D557079E}"/>
    <hyperlink ref="G6:J6" location="'Energy Code'!A34" display="Supply air temperature (SAT) reset - C403.6.4" xr:uid="{41D83C58-7D71-468A-8F3E-93A01AC8598C}"/>
    <hyperlink ref="G7:J7" location="'Energy Code'!A47" display="Duct static pressure (DSP) reset based on load - C403.6.8" xr:uid="{05EB3098-DFBD-4EF4-9716-ECEA84740DDE}"/>
    <hyperlink ref="G8:J8" location="'Energy Code'!A58" display="Demand controlled ventilation (DCV) with single zone system - C403.7.1" xr:uid="{2E3C2B70-E64B-41C2-BBB9-016F449ABBDB}"/>
    <hyperlink ref="G9:J9" location="'Energy Code'!A94" display="Upgrade to VFD (from inlet vane or from constant volume) - C403.2.4" xr:uid="{65189BC2-079B-4520-8361-1DFB68F28416}"/>
    <hyperlink ref="G10:J10" location="'Energy Code'!A113" display="Zone box air &amp; temperature controls - C403.6.1" xr:uid="{07B8E5C3-D220-4359-8E43-E962AFC4FE84}"/>
    <hyperlink ref="G11:J11" location="'Energy Code'!A145" display="Air-side economizer controls (integrated, FDD) - C403.5.1" xr:uid="{194B609D-31A7-478F-8146-6E290D4AAD3B}"/>
    <hyperlink ref="G12:J12" location="'Energy Code'!A204" display="Room space temperatures setpoints deadband - C403.4.1.2" xr:uid="{2BCE2C66-C020-447B-8432-687D625C770C}"/>
    <hyperlink ref="G13:J13" location="'Energy Code'!A214" display="HEAT PUMPS ONLY: Heat pump strip heating control - C403.4.1.1" xr:uid="{1292C102-4E1B-46BE-998D-C63E9695756A}"/>
    <hyperlink ref="G14:J14" location="'Energy Code'!A231" display="LABS ONLY: Exhaust and OA ventilation reduction - C403.7.7.2" xr:uid="{3D5F73F7-A07F-431B-A74C-63B668583E5F}"/>
    <hyperlink ref="G17:J17" location="'Energy Code'!A266" display="WSHP loop temperature setpoints deadband - C403.4.3.3" xr:uid="{0201B7E3-5A44-4EEB-8A07-3ED71CED0305}"/>
    <hyperlink ref="G18:J18" location="'Energy Code'!A276" display="Differential pressure control for building loop pump(s) &gt;10 hp - C403.4.3.3.3" xr:uid="{5D9FF33C-9C75-4466-9966-754CE564F1E4}"/>
    <hyperlink ref="G19:J19" location="'Energy Code'!A286" display="Efficient cooling tower operation - C403.4.3.3.2 &amp; C403.9.1.4" xr:uid="{4E2C1C09-0A66-482C-89E6-479F455D83C3}"/>
    <hyperlink ref="G20:J20" location="'Energy Code'!A307" display="Condenser water temperature (CWT) reset based on load" xr:uid="{7D19A8F5-790C-4165-89AC-CBFA4EB8ABD1}"/>
    <hyperlink ref="G21:J21" location="'Energy Code'!A314" display="Chilled water temperature (CHWT) reset based on load - C403.4.4" xr:uid="{B3795C33-5F94-4B69-BDEA-5FFA7D050030}"/>
    <hyperlink ref="G22:J22" location="'Energy Code'!A314" display="Hot water temperature (HWT) reset based on load - C403.4.4" xr:uid="{CC9F190A-684B-43E0-AED6-3264E0740CCE}"/>
    <hyperlink ref="G23:J23" location="'Energy Code'!A355" display="Boiler and chiller plant lockout on OA temperature " xr:uid="{F606EB18-502D-4929-B8DF-A56210152712}"/>
    <hyperlink ref="G24:J24" location="'Energy Code'!A369" display="Efficient boiler modulation and staging - C403.4.3" xr:uid="{A56C61D0-7020-4793-ABFC-15D310827533}"/>
    <hyperlink ref="G27:J27" location="'Energy Code'!A379" display="VAV temperature &amp; ventilation setback based on occupancy - C403.6.5 &amp; C403.6.6" xr:uid="{388F1FFD-04DD-445A-866F-34AEF668F7FC}"/>
    <hyperlink ref="G28:J28" location="'Energy Code'!A398" display="Analytics - AI and/or Fault Detection &amp; Diagnostics - C403.2.3" xr:uid="{A5771150-79F8-4453-903A-F7495DBC8F3E}"/>
    <hyperlink ref="G29:J29" location="'Energy Code'!A58" display="DCV for multi-zone spaces (with PSE approval) - C403.7.1" xr:uid="{F85E50B2-7300-4FAE-9832-0812B7BE1759}"/>
    <hyperlink ref="G30:J30" location="'Energy Code'!A413" display="Door contacts/switches for mechanical system shut off - C403.4.1.6" xr:uid="{14DD1283-006D-4CF6-843E-925E2A4BFC2B}"/>
    <hyperlink ref="G31:J31" location="'Energy Code'!A424" display="Water-side economizer for chilled water plant - C403.5.4" xr:uid="{0E7F0304-C904-49A0-8173-23E80243C91B}"/>
    <hyperlink ref="G32:J32" location="'Energy Code'!A438" display="Valves to isolate plant or HP equipment from loop when not in use - C403.4.3.3" xr:uid="{6C616873-6E68-414E-8369-61474D6113D7}"/>
    <hyperlink ref="G33:J33" location="'Energy Code'!A462" display="Efficient Loop Pump Control - C403.4.6" xr:uid="{7BE8E69C-D18E-4902-BEC3-00AE4A1D77A6}"/>
    <hyperlink ref="G34:J34" location="'Energy Code'!A480" display="Multi-zone VAV Ventilation Optimization Control - C403.6.5" xr:uid="{F7C1AD61-BC11-4006-8FE9-43CABCE695D1}"/>
    <hyperlink ref="G35:J35" location="'Energy Code'!A492" display="Cooling Tower Fan Speed Control - C403.9.1.1" xr:uid="{93D7FB45-F465-4C29-903E-E88C92D060F8}"/>
    <hyperlink ref="E41" location="'OA Calibration'!A1" display="OA Calibration Done?" xr:uid="{942CD5D3-2DD8-4958-B9FB-434498DAAB24}"/>
    <hyperlink ref="E44:G44" location="'Facility Guide'!A2" display="Facility Guide Requirements Here" xr:uid="{0379CD78-83DB-473E-A9A5-15C5C438967F}"/>
  </hyperlinks>
  <pageMargins left="0.25" right="0.25" top="0.75" bottom="0.75" header="0.3" footer="0.3"/>
  <pageSetup scale="60" orientation="landscape" r:id="rId2"/>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5000000}">
          <x14:formula1>
            <xm:f>'Lookup 2'!$A$3:$A$5</xm:f>
          </x14:formula1>
          <xm:sqref>B6</xm:sqref>
        </x14:dataValidation>
        <x14:dataValidation type="list" allowBlank="1" showInputMessage="1" showErrorMessage="1" xr:uid="{00000000-0002-0000-0000-000007000000}">
          <x14:formula1>
            <xm:f>'DoC EUI Existing Bldg'!$A$2:$A$52</xm:f>
          </x14:formula1>
          <xm:sqref>B5</xm:sqref>
        </x14:dataValidation>
        <x14:dataValidation type="list" allowBlank="1" showInputMessage="1" showErrorMessage="1" xr:uid="{00000000-0002-0000-0000-000003000000}">
          <x14:formula1>
            <xm:f>'Lookup 1'!$A$8:$A$13</xm:f>
          </x14:formula1>
          <xm:sqref>A21:A24</xm:sqref>
        </x14:dataValidation>
        <x14:dataValidation type="list" allowBlank="1" showInputMessage="1" showErrorMessage="1" xr:uid="{E56D8A88-146A-4296-92DC-8D574EABB785}">
          <x14:formula1>
            <xm:f>'Lookup 1'!$A$16:$A$17</xm:f>
          </x14:formula1>
          <xm:sqref>C21:C24</xm:sqref>
        </x14:dataValidation>
        <x14:dataValidation type="list" allowBlank="1" showInputMessage="1" showErrorMessage="1" xr:uid="{69AACE4C-A6B2-4906-BD09-09F1A4B96074}">
          <x14:formula1>
            <xm:f>'Lookup 1'!$A$1:$A$3</xm:f>
          </x14:formula1>
          <xm:sqref>E3:E14 E27:E37 E17:E24</xm:sqref>
        </x14:dataValidation>
        <x14:dataValidation type="list" allowBlank="1" showInputMessage="1" showErrorMessage="1" xr:uid="{0FB83EDC-AD4C-479D-9787-A11C2F55643E}">
          <x14:formula1>
            <xm:f>'Lookup 1'!$A$20:$A$21</xm:f>
          </x14:formula1>
          <xm:sqref>B4:D4</xm:sqref>
        </x14:dataValidation>
        <x14:dataValidation type="list" allowBlank="1" showInputMessage="1" showErrorMessage="1" xr:uid="{679FDAC2-FE31-4F1F-8D19-E6FB7AD976A5}">
          <x14:formula1>
            <xm:f>'Lookup 1'!$A$24:$A$25</xm:f>
          </x14:formula1>
          <xm:sqref>E42</xm:sqref>
        </x14:dataValidation>
        <x14:dataValidation type="list" allowBlank="1" showInputMessage="1" showErrorMessage="1" xr:uid="{980AFAD7-94EA-4D54-AB29-6DC3352B0F01}">
          <x14:formula1>
            <xm:f>'Lookup 1'!$A$23:$A$25</xm:f>
          </x14:formula1>
          <xm:sqref>D6:D7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E8FC0-2EFA-4B7F-852D-EAF0170467D9}">
  <sheetPr>
    <tabColor rgb="FFCCFFCC"/>
    <pageSetUpPr fitToPage="1"/>
  </sheetPr>
  <dimension ref="A1:X71"/>
  <sheetViews>
    <sheetView workbookViewId="0">
      <selection activeCell="A12" sqref="A12"/>
    </sheetView>
  </sheetViews>
  <sheetFormatPr defaultRowHeight="15" x14ac:dyDescent="0.25"/>
  <cols>
    <col min="1" max="1" width="12.140625" customWidth="1"/>
    <col min="4" max="4" width="8.42578125" customWidth="1"/>
    <col min="5" max="5" width="8" customWidth="1"/>
    <col min="6" max="6" width="8.140625" customWidth="1"/>
    <col min="8" max="8" width="23" customWidth="1"/>
  </cols>
  <sheetData>
    <row r="1" spans="1:24" x14ac:dyDescent="0.25">
      <c r="A1" s="125" t="s">
        <v>110</v>
      </c>
      <c r="C1" s="151">
        <f>Worksheet!B2</f>
        <v>0</v>
      </c>
      <c r="D1" s="151"/>
      <c r="E1" s="151"/>
      <c r="F1" s="151"/>
      <c r="G1" s="151"/>
      <c r="L1" s="126" t="s">
        <v>111</v>
      </c>
      <c r="M1" s="428"/>
      <c r="N1" s="428"/>
      <c r="T1" s="126" t="s">
        <v>112</v>
      </c>
      <c r="U1" s="428"/>
      <c r="V1" s="428"/>
    </row>
    <row r="3" spans="1:24" ht="18.75" x14ac:dyDescent="0.3">
      <c r="A3" s="124" t="s">
        <v>524</v>
      </c>
      <c r="I3" s="257"/>
      <c r="J3" s="257"/>
    </row>
    <row r="4" spans="1:24" ht="15.75" x14ac:dyDescent="0.25">
      <c r="A4" s="152" t="s">
        <v>146</v>
      </c>
      <c r="B4" s="152"/>
      <c r="C4" s="152"/>
      <c r="D4" s="153"/>
      <c r="E4" s="153"/>
      <c r="F4" s="153"/>
      <c r="G4" s="153"/>
      <c r="H4" s="153"/>
      <c r="I4" s="154"/>
      <c r="J4" s="127"/>
    </row>
    <row r="5" spans="1:24" x14ac:dyDescent="0.25">
      <c r="A5" t="s">
        <v>113</v>
      </c>
    </row>
    <row r="6" spans="1:24" x14ac:dyDescent="0.25">
      <c r="A6" t="s">
        <v>114</v>
      </c>
    </row>
    <row r="7" spans="1:24" ht="15.75" thickBot="1" x14ac:dyDescent="0.3"/>
    <row r="8" spans="1:24" ht="15.75" thickBot="1" x14ac:dyDescent="0.3">
      <c r="C8" s="441" t="s">
        <v>1142</v>
      </c>
      <c r="D8" s="442"/>
      <c r="E8" s="442"/>
      <c r="F8" s="442"/>
      <c r="G8" s="442"/>
      <c r="H8" s="442"/>
      <c r="I8" s="442"/>
      <c r="J8" s="442"/>
      <c r="K8" s="442"/>
      <c r="L8" s="442"/>
      <c r="M8" s="442"/>
      <c r="N8" s="442"/>
      <c r="O8" s="442"/>
      <c r="P8" s="442"/>
      <c r="Q8" s="443"/>
      <c r="R8" s="444" t="s">
        <v>1143</v>
      </c>
      <c r="S8" s="445"/>
      <c r="T8" s="445"/>
      <c r="U8" s="445"/>
      <c r="V8" s="445"/>
      <c r="W8" s="445"/>
      <c r="X8" s="446"/>
    </row>
    <row r="9" spans="1:24" x14ac:dyDescent="0.25">
      <c r="C9" s="429" t="s">
        <v>143</v>
      </c>
      <c r="D9" s="430"/>
      <c r="E9" s="430"/>
      <c r="F9" s="430"/>
      <c r="G9" s="431"/>
      <c r="H9" s="432" t="s">
        <v>144</v>
      </c>
      <c r="I9" s="433"/>
      <c r="J9" s="434"/>
      <c r="K9" s="434"/>
      <c r="L9" s="434"/>
      <c r="M9" s="434"/>
      <c r="N9" s="434"/>
      <c r="O9" s="434"/>
      <c r="P9" s="434"/>
      <c r="Q9" s="435"/>
      <c r="R9" s="429" t="s">
        <v>115</v>
      </c>
      <c r="S9" s="430"/>
      <c r="T9" s="430"/>
      <c r="U9" s="430"/>
      <c r="V9" s="430"/>
      <c r="W9" s="436"/>
      <c r="X9" s="431"/>
    </row>
    <row r="10" spans="1:24" ht="30.75" thickBot="1" x14ac:dyDescent="0.3">
      <c r="C10" s="128" t="s">
        <v>116</v>
      </c>
      <c r="D10" s="437" t="s">
        <v>117</v>
      </c>
      <c r="E10" s="437"/>
      <c r="F10" s="437"/>
      <c r="G10" s="130"/>
      <c r="H10" s="417" t="s">
        <v>119</v>
      </c>
      <c r="I10" s="418"/>
      <c r="J10" s="438"/>
      <c r="K10" s="439" t="s">
        <v>120</v>
      </c>
      <c r="L10" s="427"/>
      <c r="M10" s="439" t="s">
        <v>121</v>
      </c>
      <c r="N10" s="427"/>
      <c r="O10" s="426" t="s">
        <v>122</v>
      </c>
      <c r="P10" s="426"/>
      <c r="Q10" s="440"/>
      <c r="R10" s="425" t="s">
        <v>123</v>
      </c>
      <c r="S10" s="426"/>
      <c r="T10" s="426"/>
      <c r="U10" s="427"/>
      <c r="V10" s="129" t="s">
        <v>118</v>
      </c>
      <c r="W10" s="131" t="s">
        <v>124</v>
      </c>
      <c r="X10" s="132" t="s">
        <v>116</v>
      </c>
    </row>
    <row r="11" spans="1:24" ht="45.75" thickBot="1" x14ac:dyDescent="0.3">
      <c r="A11" s="133" t="s">
        <v>125</v>
      </c>
      <c r="B11" s="134" t="s">
        <v>126</v>
      </c>
      <c r="C11" s="135" t="s">
        <v>127</v>
      </c>
      <c r="D11" s="136" t="s">
        <v>128</v>
      </c>
      <c r="E11" s="136" t="s">
        <v>129</v>
      </c>
      <c r="F11" s="136" t="s">
        <v>130</v>
      </c>
      <c r="G11" s="137" t="s">
        <v>145</v>
      </c>
      <c r="H11" s="138" t="s">
        <v>131</v>
      </c>
      <c r="I11" s="139" t="s">
        <v>142</v>
      </c>
      <c r="J11" s="140" t="s">
        <v>132</v>
      </c>
      <c r="K11" s="140" t="s">
        <v>141</v>
      </c>
      <c r="L11" s="140" t="s">
        <v>133</v>
      </c>
      <c r="M11" s="140" t="s">
        <v>140</v>
      </c>
      <c r="N11" s="140" t="s">
        <v>133</v>
      </c>
      <c r="O11" s="140" t="s">
        <v>134</v>
      </c>
      <c r="P11" s="140" t="s">
        <v>135</v>
      </c>
      <c r="Q11" s="141" t="s">
        <v>136</v>
      </c>
      <c r="R11" s="135" t="s">
        <v>128</v>
      </c>
      <c r="S11" s="136" t="s">
        <v>129</v>
      </c>
      <c r="T11" s="136" t="s">
        <v>130</v>
      </c>
      <c r="U11" s="136" t="s">
        <v>137</v>
      </c>
      <c r="V11" s="136" t="s">
        <v>138</v>
      </c>
      <c r="W11" s="142" t="s">
        <v>139</v>
      </c>
      <c r="X11" s="137" t="s">
        <v>127</v>
      </c>
    </row>
    <row r="12" spans="1:24" x14ac:dyDescent="0.25">
      <c r="A12" s="312" t="s">
        <v>147</v>
      </c>
      <c r="B12" s="313">
        <v>34</v>
      </c>
      <c r="C12" s="314">
        <v>0.15</v>
      </c>
      <c r="D12" s="315">
        <v>66</v>
      </c>
      <c r="E12" s="315">
        <v>70</v>
      </c>
      <c r="F12" s="315">
        <v>40</v>
      </c>
      <c r="G12" s="143">
        <f>IFERROR((D12-E12)/(F12-E12),"")</f>
        <v>0.13333333333333333</v>
      </c>
      <c r="H12" s="322" t="s">
        <v>1078</v>
      </c>
      <c r="I12" s="10">
        <f>IF(H12="","",VLOOKUP(H12,'Lookup 1'!$H$5:$M$82,6))</f>
        <v>20</v>
      </c>
      <c r="J12" s="315">
        <v>1500</v>
      </c>
      <c r="K12" s="10">
        <f>IF(H12="",0,VLOOKUP(H12,'Lookup 1'!$H$5:$M$82,3))</f>
        <v>0.18</v>
      </c>
      <c r="L12" s="10">
        <f>J12*K12</f>
        <v>270</v>
      </c>
      <c r="M12" s="10">
        <f>IF(H12="",0,VLOOKUP(H12,'Lookup 1'!$H$5:$M$82,2))</f>
        <v>7.5</v>
      </c>
      <c r="N12" s="10">
        <f>IF(H12="",0,I12*J12 *M12/1000)</f>
        <v>225</v>
      </c>
      <c r="O12" s="10">
        <f>L12+N12</f>
        <v>495</v>
      </c>
      <c r="P12" s="323">
        <v>1500</v>
      </c>
      <c r="Q12" s="143">
        <f>IFERROR(O12/P12,"")</f>
        <v>0.33</v>
      </c>
      <c r="R12" s="324">
        <v>64</v>
      </c>
      <c r="S12" s="315">
        <v>70</v>
      </c>
      <c r="T12" s="315">
        <v>40</v>
      </c>
      <c r="U12" s="315">
        <v>250</v>
      </c>
      <c r="V12" s="144">
        <f>IFERROR((R12-S12)/(T12-S12),"")</f>
        <v>0.2</v>
      </c>
      <c r="W12" s="144">
        <f>IFERROR(U12/P12,"")</f>
        <v>0.16666666666666666</v>
      </c>
      <c r="X12" s="327">
        <v>0.15</v>
      </c>
    </row>
    <row r="13" spans="1:24" x14ac:dyDescent="0.25">
      <c r="A13" s="316"/>
      <c r="B13" s="317"/>
      <c r="C13" s="328"/>
      <c r="D13" s="318"/>
      <c r="E13" s="318"/>
      <c r="F13" s="318"/>
      <c r="G13" s="145" t="str">
        <f>IFERROR((D13-E13)/(F13-E13),"")</f>
        <v/>
      </c>
      <c r="H13" s="316"/>
      <c r="I13" s="28" t="str">
        <f>IF(H13="","",VLOOKUP(H13,'Lookup 1'!$H$5:$M$82,6))</f>
        <v/>
      </c>
      <c r="J13" s="318"/>
      <c r="K13" s="28">
        <f>IF(H13="",0,VLOOKUP(H13,'Lookup 1'!$H$5:$M$82,3))</f>
        <v>0</v>
      </c>
      <c r="L13" s="28">
        <f t="shared" ref="L13:L66" si="0">J13*K13</f>
        <v>0</v>
      </c>
      <c r="M13" s="28">
        <f>IF(H13="",0,VLOOKUP(H13,'Lookup 1'!$H$5:$M$82,2))</f>
        <v>0</v>
      </c>
      <c r="N13" s="28">
        <f t="shared" ref="N13:N66" si="1">IF(H13="",0,I13*J13 *M13/1000)</f>
        <v>0</v>
      </c>
      <c r="O13" s="4">
        <f t="shared" ref="O13:O66" si="2">L13+N13</f>
        <v>0</v>
      </c>
      <c r="P13" s="318"/>
      <c r="Q13" s="146" t="str">
        <f>IFERROR(O13/P13,"")</f>
        <v/>
      </c>
      <c r="R13" s="325"/>
      <c r="S13" s="318"/>
      <c r="T13" s="318"/>
      <c r="U13" s="318"/>
      <c r="V13" s="218" t="str">
        <f t="shared" ref="V13:V66" si="3">IFERROR((R13-S13)/(T13-S13),"")</f>
        <v/>
      </c>
      <c r="W13" s="218" t="str">
        <f t="shared" ref="W13:W66" si="4">IFERROR(U13/P13,"")</f>
        <v/>
      </c>
      <c r="X13" s="330"/>
    </row>
    <row r="14" spans="1:24" x14ac:dyDescent="0.25">
      <c r="A14" s="316"/>
      <c r="B14" s="317"/>
      <c r="C14" s="328"/>
      <c r="D14" s="318"/>
      <c r="E14" s="318"/>
      <c r="F14" s="318"/>
      <c r="G14" s="145" t="str">
        <f t="shared" ref="G14:G65" si="5">IFERROR((D14-E14)/(F14-E14),"")</f>
        <v/>
      </c>
      <c r="H14" s="316"/>
      <c r="I14" s="28" t="str">
        <f>IF(H14="","",VLOOKUP(H14,'Lookup 1'!$H$5:$M$82,6))</f>
        <v/>
      </c>
      <c r="J14" s="318"/>
      <c r="K14" s="28">
        <f>IF(H14="",0,VLOOKUP(H14,'Lookup 1'!$H$5:$M$82,3))</f>
        <v>0</v>
      </c>
      <c r="L14" s="28">
        <f t="shared" si="0"/>
        <v>0</v>
      </c>
      <c r="M14" s="28">
        <f>IF(H14="",0,VLOOKUP(H14,'Lookup 1'!$H$5:$M$82,2))</f>
        <v>0</v>
      </c>
      <c r="N14" s="28">
        <f t="shared" si="1"/>
        <v>0</v>
      </c>
      <c r="O14" s="4">
        <f t="shared" si="2"/>
        <v>0</v>
      </c>
      <c r="P14" s="318"/>
      <c r="Q14" s="146" t="str">
        <f t="shared" ref="Q14:Q65" si="6">IFERROR(O14/P14,"")</f>
        <v/>
      </c>
      <c r="R14" s="325"/>
      <c r="S14" s="318"/>
      <c r="T14" s="318"/>
      <c r="U14" s="318"/>
      <c r="V14" s="218" t="str">
        <f t="shared" si="3"/>
        <v/>
      </c>
      <c r="W14" s="218" t="str">
        <f t="shared" si="4"/>
        <v/>
      </c>
      <c r="X14" s="330"/>
    </row>
    <row r="15" spans="1:24" x14ac:dyDescent="0.25">
      <c r="A15" s="316"/>
      <c r="B15" s="317"/>
      <c r="C15" s="328"/>
      <c r="D15" s="318"/>
      <c r="E15" s="318"/>
      <c r="F15" s="318"/>
      <c r="G15" s="145" t="str">
        <f t="shared" si="5"/>
        <v/>
      </c>
      <c r="H15" s="316"/>
      <c r="I15" s="28" t="str">
        <f>IF(H15="","",VLOOKUP(H15,'Lookup 1'!$H$5:$M$82,6))</f>
        <v/>
      </c>
      <c r="J15" s="318"/>
      <c r="K15" s="28">
        <f>IF(H15="",0,VLOOKUP(H15,'Lookup 1'!$H$5:$M$82,3))</f>
        <v>0</v>
      </c>
      <c r="L15" s="28">
        <f t="shared" si="0"/>
        <v>0</v>
      </c>
      <c r="M15" s="28">
        <f>IF(H15="",0,VLOOKUP(H15,'Lookup 1'!$H$5:$M$82,2))</f>
        <v>0</v>
      </c>
      <c r="N15" s="28">
        <f t="shared" si="1"/>
        <v>0</v>
      </c>
      <c r="O15" s="4">
        <f t="shared" si="2"/>
        <v>0</v>
      </c>
      <c r="P15" s="318"/>
      <c r="Q15" s="146" t="str">
        <f t="shared" si="6"/>
        <v/>
      </c>
      <c r="R15" s="325"/>
      <c r="S15" s="318"/>
      <c r="T15" s="318"/>
      <c r="U15" s="318"/>
      <c r="V15" s="218" t="str">
        <f t="shared" si="3"/>
        <v/>
      </c>
      <c r="W15" s="218" t="str">
        <f t="shared" si="4"/>
        <v/>
      </c>
      <c r="X15" s="330"/>
    </row>
    <row r="16" spans="1:24" x14ac:dyDescent="0.25">
      <c r="A16" s="316"/>
      <c r="B16" s="317"/>
      <c r="C16" s="328"/>
      <c r="D16" s="318"/>
      <c r="E16" s="318"/>
      <c r="F16" s="318"/>
      <c r="G16" s="145" t="str">
        <f t="shared" si="5"/>
        <v/>
      </c>
      <c r="H16" s="316"/>
      <c r="I16" s="28" t="str">
        <f>IF(H16="","",VLOOKUP(H16,'Lookup 1'!$H$5:$M$82,6))</f>
        <v/>
      </c>
      <c r="J16" s="318"/>
      <c r="K16" s="28">
        <f>IF(H16="",0,VLOOKUP(H16,'Lookup 1'!$H$5:$M$82,3))</f>
        <v>0</v>
      </c>
      <c r="L16" s="28">
        <f t="shared" si="0"/>
        <v>0</v>
      </c>
      <c r="M16" s="28">
        <f>IF(H16="",0,VLOOKUP(H16,'Lookup 1'!$H$5:$M$82,2))</f>
        <v>0</v>
      </c>
      <c r="N16" s="28">
        <f t="shared" si="1"/>
        <v>0</v>
      </c>
      <c r="O16" s="4">
        <f t="shared" si="2"/>
        <v>0</v>
      </c>
      <c r="P16" s="318"/>
      <c r="Q16" s="146" t="str">
        <f t="shared" si="6"/>
        <v/>
      </c>
      <c r="R16" s="325"/>
      <c r="S16" s="318"/>
      <c r="T16" s="318"/>
      <c r="U16" s="318"/>
      <c r="V16" s="218" t="str">
        <f t="shared" si="3"/>
        <v/>
      </c>
      <c r="W16" s="218" t="str">
        <f t="shared" si="4"/>
        <v/>
      </c>
      <c r="X16" s="330"/>
    </row>
    <row r="17" spans="1:24" x14ac:dyDescent="0.25">
      <c r="A17" s="316"/>
      <c r="B17" s="317"/>
      <c r="C17" s="328"/>
      <c r="D17" s="318"/>
      <c r="E17" s="318"/>
      <c r="F17" s="318"/>
      <c r="G17" s="145" t="str">
        <f t="shared" si="5"/>
        <v/>
      </c>
      <c r="H17" s="316"/>
      <c r="I17" s="28" t="str">
        <f>IF(H17="","",VLOOKUP(H17,'Lookup 1'!$H$5:$M$82,6))</f>
        <v/>
      </c>
      <c r="J17" s="318"/>
      <c r="K17" s="28">
        <f>IF(H17="",0,VLOOKUP(H17,'Lookup 1'!$H$5:$M$82,3))</f>
        <v>0</v>
      </c>
      <c r="L17" s="28">
        <f t="shared" si="0"/>
        <v>0</v>
      </c>
      <c r="M17" s="28">
        <f>IF(H17="",0,VLOOKUP(H17,'Lookup 1'!$H$5:$M$82,2))</f>
        <v>0</v>
      </c>
      <c r="N17" s="28">
        <f t="shared" si="1"/>
        <v>0</v>
      </c>
      <c r="O17" s="4">
        <f t="shared" si="2"/>
        <v>0</v>
      </c>
      <c r="P17" s="318"/>
      <c r="Q17" s="146" t="str">
        <f t="shared" si="6"/>
        <v/>
      </c>
      <c r="R17" s="325"/>
      <c r="S17" s="318"/>
      <c r="T17" s="318"/>
      <c r="U17" s="318"/>
      <c r="V17" s="218" t="str">
        <f t="shared" si="3"/>
        <v/>
      </c>
      <c r="W17" s="218" t="str">
        <f t="shared" si="4"/>
        <v/>
      </c>
      <c r="X17" s="330"/>
    </row>
    <row r="18" spans="1:24" x14ac:dyDescent="0.25">
      <c r="A18" s="316"/>
      <c r="B18" s="317"/>
      <c r="C18" s="328"/>
      <c r="D18" s="318"/>
      <c r="E18" s="318"/>
      <c r="F18" s="318"/>
      <c r="G18" s="145" t="str">
        <f t="shared" si="5"/>
        <v/>
      </c>
      <c r="H18" s="316"/>
      <c r="I18" s="28" t="str">
        <f>IF(H18="","",VLOOKUP(H18,'Lookup 1'!$H$5:$M$82,6))</f>
        <v/>
      </c>
      <c r="J18" s="318"/>
      <c r="K18" s="28">
        <f>IF(H18="",0,VLOOKUP(H18,'Lookup 1'!$H$5:$M$82,3))</f>
        <v>0</v>
      </c>
      <c r="L18" s="28">
        <f t="shared" si="0"/>
        <v>0</v>
      </c>
      <c r="M18" s="28">
        <f>IF(H18="",0,VLOOKUP(H18,'Lookup 1'!$H$5:$M$82,2))</f>
        <v>0</v>
      </c>
      <c r="N18" s="28">
        <f t="shared" si="1"/>
        <v>0</v>
      </c>
      <c r="O18" s="4">
        <f t="shared" si="2"/>
        <v>0</v>
      </c>
      <c r="P18" s="318"/>
      <c r="Q18" s="146" t="str">
        <f t="shared" si="6"/>
        <v/>
      </c>
      <c r="R18" s="325"/>
      <c r="S18" s="318"/>
      <c r="T18" s="318"/>
      <c r="U18" s="318"/>
      <c r="V18" s="218" t="str">
        <f t="shared" si="3"/>
        <v/>
      </c>
      <c r="W18" s="218" t="str">
        <f t="shared" si="4"/>
        <v/>
      </c>
      <c r="X18" s="330"/>
    </row>
    <row r="19" spans="1:24" x14ac:dyDescent="0.25">
      <c r="A19" s="316"/>
      <c r="B19" s="317"/>
      <c r="C19" s="328"/>
      <c r="D19" s="318"/>
      <c r="E19" s="318"/>
      <c r="F19" s="318"/>
      <c r="G19" s="145" t="str">
        <f t="shared" si="5"/>
        <v/>
      </c>
      <c r="H19" s="316"/>
      <c r="I19" s="28" t="str">
        <f>IF(H19="","",VLOOKUP(H19,'Lookup 1'!$H$5:$M$82,6))</f>
        <v/>
      </c>
      <c r="J19" s="318"/>
      <c r="K19" s="28">
        <f>IF(H19="",0,VLOOKUP(H19,'Lookup 1'!$H$5:$M$82,3))</f>
        <v>0</v>
      </c>
      <c r="L19" s="28">
        <f t="shared" si="0"/>
        <v>0</v>
      </c>
      <c r="M19" s="28">
        <f>IF(H19="",0,VLOOKUP(H19,'Lookup 1'!$H$5:$M$82,2))</f>
        <v>0</v>
      </c>
      <c r="N19" s="28">
        <f t="shared" si="1"/>
        <v>0</v>
      </c>
      <c r="O19" s="4">
        <f t="shared" si="2"/>
        <v>0</v>
      </c>
      <c r="P19" s="318"/>
      <c r="Q19" s="146" t="str">
        <f t="shared" si="6"/>
        <v/>
      </c>
      <c r="R19" s="325"/>
      <c r="S19" s="318"/>
      <c r="T19" s="318"/>
      <c r="U19" s="318"/>
      <c r="V19" s="218" t="str">
        <f t="shared" si="3"/>
        <v/>
      </c>
      <c r="W19" s="218" t="str">
        <f t="shared" si="4"/>
        <v/>
      </c>
      <c r="X19" s="330"/>
    </row>
    <row r="20" spans="1:24" x14ac:dyDescent="0.25">
      <c r="A20" s="316"/>
      <c r="B20" s="317"/>
      <c r="C20" s="328"/>
      <c r="D20" s="318"/>
      <c r="E20" s="318"/>
      <c r="F20" s="318"/>
      <c r="G20" s="145" t="str">
        <f t="shared" ref="G20:G22" si="7">IFERROR((D20-E20)/(F20-E20),"")</f>
        <v/>
      </c>
      <c r="H20" s="316"/>
      <c r="I20" s="28" t="str">
        <f>IF(H20="","",VLOOKUP(H20,'Lookup 1'!$H$5:$M$82,6))</f>
        <v/>
      </c>
      <c r="J20" s="318"/>
      <c r="K20" s="28">
        <f>IF(H20="",0,VLOOKUP(H20,'Lookup 1'!$H$5:$M$82,3))</f>
        <v>0</v>
      </c>
      <c r="L20" s="28">
        <f t="shared" ref="L20:L25" si="8">J20*K20</f>
        <v>0</v>
      </c>
      <c r="M20" s="28">
        <f>IF(H20="",0,VLOOKUP(H20,'Lookup 1'!$H$5:$M$82,2))</f>
        <v>0</v>
      </c>
      <c r="N20" s="28">
        <f t="shared" si="1"/>
        <v>0</v>
      </c>
      <c r="O20" s="4">
        <f t="shared" ref="O20:O25" si="9">L20+N20</f>
        <v>0</v>
      </c>
      <c r="P20" s="318"/>
      <c r="Q20" s="146" t="str">
        <f t="shared" ref="Q20:Q22" si="10">IFERROR(O20/P20,"")</f>
        <v/>
      </c>
      <c r="R20" s="325"/>
      <c r="S20" s="318"/>
      <c r="T20" s="318"/>
      <c r="U20" s="318"/>
      <c r="V20" s="218" t="str">
        <f t="shared" ref="V20:V25" si="11">IFERROR((R20-S20)/(T20-S20),"")</f>
        <v/>
      </c>
      <c r="W20" s="218" t="str">
        <f t="shared" ref="W20:W25" si="12">IFERROR(U20/P20,"")</f>
        <v/>
      </c>
      <c r="X20" s="330"/>
    </row>
    <row r="21" spans="1:24" x14ac:dyDescent="0.25">
      <c r="A21" s="316"/>
      <c r="B21" s="317"/>
      <c r="C21" s="328"/>
      <c r="D21" s="318"/>
      <c r="E21" s="318"/>
      <c r="F21" s="318"/>
      <c r="G21" s="145" t="str">
        <f t="shared" si="7"/>
        <v/>
      </c>
      <c r="H21" s="316"/>
      <c r="I21" s="28" t="str">
        <f>IF(H21="","",VLOOKUP(H21,'Lookup 1'!$H$5:$M$82,6))</f>
        <v/>
      </c>
      <c r="J21" s="318"/>
      <c r="K21" s="28">
        <f>IF(H21="",0,VLOOKUP(H21,'Lookup 1'!$H$5:$M$82,3))</f>
        <v>0</v>
      </c>
      <c r="L21" s="28">
        <f t="shared" si="8"/>
        <v>0</v>
      </c>
      <c r="M21" s="28">
        <f>IF(H21="",0,VLOOKUP(H21,'Lookup 1'!$H$5:$M$82,2))</f>
        <v>0</v>
      </c>
      <c r="N21" s="28">
        <f t="shared" si="1"/>
        <v>0</v>
      </c>
      <c r="O21" s="4">
        <f t="shared" si="9"/>
        <v>0</v>
      </c>
      <c r="P21" s="318"/>
      <c r="Q21" s="146" t="str">
        <f t="shared" si="10"/>
        <v/>
      </c>
      <c r="R21" s="325"/>
      <c r="S21" s="318"/>
      <c r="T21" s="318"/>
      <c r="U21" s="318"/>
      <c r="V21" s="218" t="str">
        <f t="shared" si="11"/>
        <v/>
      </c>
      <c r="W21" s="218" t="str">
        <f t="shared" si="12"/>
        <v/>
      </c>
      <c r="X21" s="330"/>
    </row>
    <row r="22" spans="1:24" x14ac:dyDescent="0.25">
      <c r="A22" s="316"/>
      <c r="B22" s="317"/>
      <c r="C22" s="328"/>
      <c r="D22" s="318"/>
      <c r="E22" s="318"/>
      <c r="F22" s="318"/>
      <c r="G22" s="145" t="str">
        <f t="shared" si="7"/>
        <v/>
      </c>
      <c r="H22" s="316"/>
      <c r="I22" s="28" t="str">
        <f>IF(H22="","",VLOOKUP(H22,'Lookup 1'!$H$5:$M$82,6))</f>
        <v/>
      </c>
      <c r="J22" s="318"/>
      <c r="K22" s="28">
        <f>IF(H22="",0,VLOOKUP(H22,'Lookup 1'!$H$5:$M$82,3))</f>
        <v>0</v>
      </c>
      <c r="L22" s="28">
        <f t="shared" si="8"/>
        <v>0</v>
      </c>
      <c r="M22" s="28">
        <f>IF(H22="",0,VLOOKUP(H22,'Lookup 1'!$H$5:$M$82,2))</f>
        <v>0</v>
      </c>
      <c r="N22" s="28">
        <f t="shared" si="1"/>
        <v>0</v>
      </c>
      <c r="O22" s="4">
        <f t="shared" si="9"/>
        <v>0</v>
      </c>
      <c r="P22" s="318"/>
      <c r="Q22" s="146" t="str">
        <f t="shared" si="10"/>
        <v/>
      </c>
      <c r="R22" s="325"/>
      <c r="S22" s="318"/>
      <c r="T22" s="318"/>
      <c r="U22" s="318"/>
      <c r="V22" s="218" t="str">
        <f t="shared" si="11"/>
        <v/>
      </c>
      <c r="W22" s="218" t="str">
        <f t="shared" si="12"/>
        <v/>
      </c>
      <c r="X22" s="330"/>
    </row>
    <row r="23" spans="1:24" x14ac:dyDescent="0.25">
      <c r="A23" s="316"/>
      <c r="B23" s="317"/>
      <c r="C23" s="328"/>
      <c r="D23" s="318"/>
      <c r="E23" s="318"/>
      <c r="F23" s="318"/>
      <c r="G23" s="145" t="str">
        <f>IFERROR((D23-E23)/(F23-E23),"")</f>
        <v/>
      </c>
      <c r="H23" s="316"/>
      <c r="I23" s="28" t="str">
        <f>IF(H23="","",VLOOKUP(H23,'Lookup 1'!$H$5:$M$82,6))</f>
        <v/>
      </c>
      <c r="J23" s="318"/>
      <c r="K23" s="28">
        <f>IF(H23="",0,VLOOKUP(H23,'Lookup 1'!$H$5:$M$82,3))</f>
        <v>0</v>
      </c>
      <c r="L23" s="28">
        <f t="shared" si="8"/>
        <v>0</v>
      </c>
      <c r="M23" s="28">
        <f>IF(H23="",0,VLOOKUP(H23,'Lookup 1'!$H$5:$M$82,2))</f>
        <v>0</v>
      </c>
      <c r="N23" s="28">
        <f t="shared" si="1"/>
        <v>0</v>
      </c>
      <c r="O23" s="4">
        <f t="shared" si="9"/>
        <v>0</v>
      </c>
      <c r="P23" s="318"/>
      <c r="Q23" s="146" t="str">
        <f>IFERROR(O23/P23,"")</f>
        <v/>
      </c>
      <c r="R23" s="325"/>
      <c r="S23" s="318"/>
      <c r="T23" s="318"/>
      <c r="U23" s="318"/>
      <c r="V23" s="218" t="str">
        <f t="shared" si="11"/>
        <v/>
      </c>
      <c r="W23" s="218" t="str">
        <f t="shared" si="12"/>
        <v/>
      </c>
      <c r="X23" s="330"/>
    </row>
    <row r="24" spans="1:24" x14ac:dyDescent="0.25">
      <c r="A24" s="316"/>
      <c r="B24" s="317"/>
      <c r="C24" s="328"/>
      <c r="D24" s="318"/>
      <c r="E24" s="318"/>
      <c r="F24" s="318"/>
      <c r="G24" s="145" t="str">
        <f t="shared" ref="G24:G25" si="13">IFERROR((D24-E24)/(F24-E24),"")</f>
        <v/>
      </c>
      <c r="H24" s="316"/>
      <c r="I24" s="28" t="str">
        <f>IF(H24="","",VLOOKUP(H24,'Lookup 1'!$H$5:$M$82,6))</f>
        <v/>
      </c>
      <c r="J24" s="318"/>
      <c r="K24" s="28">
        <f>IF(H24="",0,VLOOKUP(H24,'Lookup 1'!$H$5:$M$82,3))</f>
        <v>0</v>
      </c>
      <c r="L24" s="28">
        <f t="shared" si="8"/>
        <v>0</v>
      </c>
      <c r="M24" s="28">
        <f>IF(H24="",0,VLOOKUP(H24,'Lookup 1'!$H$5:$M$82,2))</f>
        <v>0</v>
      </c>
      <c r="N24" s="28">
        <f t="shared" si="1"/>
        <v>0</v>
      </c>
      <c r="O24" s="4">
        <f t="shared" si="9"/>
        <v>0</v>
      </c>
      <c r="P24" s="318"/>
      <c r="Q24" s="146" t="str">
        <f t="shared" ref="Q24:Q25" si="14">IFERROR(O24/P24,"")</f>
        <v/>
      </c>
      <c r="R24" s="325"/>
      <c r="S24" s="318"/>
      <c r="T24" s="318"/>
      <c r="U24" s="318"/>
      <c r="V24" s="218" t="str">
        <f t="shared" si="11"/>
        <v/>
      </c>
      <c r="W24" s="218" t="str">
        <f t="shared" si="12"/>
        <v/>
      </c>
      <c r="X24" s="330"/>
    </row>
    <row r="25" spans="1:24" x14ac:dyDescent="0.25">
      <c r="A25" s="316"/>
      <c r="B25" s="317"/>
      <c r="C25" s="328"/>
      <c r="D25" s="318"/>
      <c r="E25" s="318"/>
      <c r="F25" s="318"/>
      <c r="G25" s="145" t="str">
        <f t="shared" si="13"/>
        <v/>
      </c>
      <c r="H25" s="316"/>
      <c r="I25" s="28" t="str">
        <f>IF(H25="","",VLOOKUP(H25,'Lookup 1'!$H$5:$M$82,6))</f>
        <v/>
      </c>
      <c r="J25" s="318"/>
      <c r="K25" s="28">
        <f>IF(H25="",0,VLOOKUP(H25,'Lookup 1'!$H$5:$M$82,3))</f>
        <v>0</v>
      </c>
      <c r="L25" s="28">
        <f t="shared" si="8"/>
        <v>0</v>
      </c>
      <c r="M25" s="28">
        <f>IF(H25="",0,VLOOKUP(H25,'Lookup 1'!$H$5:$M$82,2))</f>
        <v>0</v>
      </c>
      <c r="N25" s="28">
        <f t="shared" si="1"/>
        <v>0</v>
      </c>
      <c r="O25" s="4">
        <f t="shared" si="9"/>
        <v>0</v>
      </c>
      <c r="P25" s="318"/>
      <c r="Q25" s="146" t="str">
        <f t="shared" si="14"/>
        <v/>
      </c>
      <c r="R25" s="325"/>
      <c r="S25" s="318"/>
      <c r="T25" s="318"/>
      <c r="U25" s="318"/>
      <c r="V25" s="218" t="str">
        <f t="shared" si="11"/>
        <v/>
      </c>
      <c r="W25" s="218" t="str">
        <f t="shared" si="12"/>
        <v/>
      </c>
      <c r="X25" s="330"/>
    </row>
    <row r="26" spans="1:24" x14ac:dyDescent="0.25">
      <c r="A26" s="316"/>
      <c r="B26" s="317"/>
      <c r="C26" s="328"/>
      <c r="D26" s="318"/>
      <c r="E26" s="318"/>
      <c r="F26" s="318"/>
      <c r="G26" s="145" t="str">
        <f t="shared" si="5"/>
        <v/>
      </c>
      <c r="H26" s="316"/>
      <c r="I26" s="28" t="str">
        <f>IF(H26="","",VLOOKUP(H26,'Lookup 1'!$H$5:$M$82,6))</f>
        <v/>
      </c>
      <c r="J26" s="318"/>
      <c r="K26" s="28">
        <f>IF(H26="",0,VLOOKUP(H26,'Lookup 1'!$H$5:$M$82,3))</f>
        <v>0</v>
      </c>
      <c r="L26" s="28">
        <f t="shared" si="0"/>
        <v>0</v>
      </c>
      <c r="M26" s="28">
        <f>IF(H26="",0,VLOOKUP(H26,'Lookup 1'!$H$5:$M$82,2))</f>
        <v>0</v>
      </c>
      <c r="N26" s="28">
        <f t="shared" si="1"/>
        <v>0</v>
      </c>
      <c r="O26" s="4">
        <f t="shared" si="2"/>
        <v>0</v>
      </c>
      <c r="P26" s="318"/>
      <c r="Q26" s="146" t="str">
        <f t="shared" si="6"/>
        <v/>
      </c>
      <c r="R26" s="325"/>
      <c r="S26" s="318"/>
      <c r="T26" s="318"/>
      <c r="U26" s="318"/>
      <c r="V26" s="218" t="str">
        <f t="shared" si="3"/>
        <v/>
      </c>
      <c r="W26" s="218" t="str">
        <f t="shared" si="4"/>
        <v/>
      </c>
      <c r="X26" s="330"/>
    </row>
    <row r="27" spans="1:24" x14ac:dyDescent="0.25">
      <c r="A27" s="316"/>
      <c r="B27" s="317"/>
      <c r="C27" s="328"/>
      <c r="D27" s="318"/>
      <c r="E27" s="318"/>
      <c r="F27" s="318"/>
      <c r="G27" s="145" t="str">
        <f t="shared" si="5"/>
        <v/>
      </c>
      <c r="H27" s="316"/>
      <c r="I27" s="28" t="str">
        <f>IF(H27="","",VLOOKUP(H27,'Lookup 1'!$H$5:$M$82,6))</f>
        <v/>
      </c>
      <c r="J27" s="318"/>
      <c r="K27" s="28">
        <f>IF(H27="",0,VLOOKUP(H27,'Lookup 1'!$H$5:$M$82,3))</f>
        <v>0</v>
      </c>
      <c r="L27" s="28">
        <f t="shared" si="0"/>
        <v>0</v>
      </c>
      <c r="M27" s="28">
        <f>IF(H27="",0,VLOOKUP(H27,'Lookup 1'!$H$5:$M$82,2))</f>
        <v>0</v>
      </c>
      <c r="N27" s="28">
        <f t="shared" si="1"/>
        <v>0</v>
      </c>
      <c r="O27" s="4">
        <f t="shared" si="2"/>
        <v>0</v>
      </c>
      <c r="P27" s="318"/>
      <c r="Q27" s="146" t="str">
        <f t="shared" si="6"/>
        <v/>
      </c>
      <c r="R27" s="325"/>
      <c r="S27" s="318"/>
      <c r="T27" s="318"/>
      <c r="U27" s="318"/>
      <c r="V27" s="218" t="str">
        <f t="shared" si="3"/>
        <v/>
      </c>
      <c r="W27" s="218" t="str">
        <f t="shared" si="4"/>
        <v/>
      </c>
      <c r="X27" s="330"/>
    </row>
    <row r="28" spans="1:24" x14ac:dyDescent="0.25">
      <c r="A28" s="316"/>
      <c r="B28" s="317"/>
      <c r="C28" s="328"/>
      <c r="D28" s="318"/>
      <c r="E28" s="318"/>
      <c r="F28" s="318"/>
      <c r="G28" s="145" t="str">
        <f>IFERROR((D28-E28)/(F28-E28),"")</f>
        <v/>
      </c>
      <c r="H28" s="316"/>
      <c r="I28" s="28" t="str">
        <f>IF(H28="","",VLOOKUP(H28,'Lookup 1'!$H$5:$M$82,6))</f>
        <v/>
      </c>
      <c r="J28" s="318"/>
      <c r="K28" s="28">
        <f>IF(H28="",0,VLOOKUP(H28,'Lookup 1'!$H$5:$M$82,3))</f>
        <v>0</v>
      </c>
      <c r="L28" s="28">
        <f t="shared" si="0"/>
        <v>0</v>
      </c>
      <c r="M28" s="28">
        <f>IF(H28="",0,VLOOKUP(H28,'Lookup 1'!$H$5:$M$82,2))</f>
        <v>0</v>
      </c>
      <c r="N28" s="28">
        <f t="shared" si="1"/>
        <v>0</v>
      </c>
      <c r="O28" s="4">
        <f t="shared" si="2"/>
        <v>0</v>
      </c>
      <c r="P28" s="318"/>
      <c r="Q28" s="146" t="str">
        <f>IFERROR(O28/P28,"")</f>
        <v/>
      </c>
      <c r="R28" s="325"/>
      <c r="S28" s="318"/>
      <c r="T28" s="318"/>
      <c r="U28" s="318"/>
      <c r="V28" s="218" t="str">
        <f t="shared" si="3"/>
        <v/>
      </c>
      <c r="W28" s="218" t="str">
        <f t="shared" si="4"/>
        <v/>
      </c>
      <c r="X28" s="330"/>
    </row>
    <row r="29" spans="1:24" x14ac:dyDescent="0.25">
      <c r="A29" s="316"/>
      <c r="B29" s="317"/>
      <c r="C29" s="328"/>
      <c r="D29" s="318"/>
      <c r="E29" s="318"/>
      <c r="F29" s="318"/>
      <c r="G29" s="145" t="str">
        <f t="shared" ref="G29:G41" si="15">IFERROR((D29-E29)/(F29-E29),"")</f>
        <v/>
      </c>
      <c r="H29" s="316"/>
      <c r="I29" s="28" t="str">
        <f>IF(H29="","",VLOOKUP(H29,'Lookup 1'!$H$5:$M$82,6))</f>
        <v/>
      </c>
      <c r="J29" s="318"/>
      <c r="K29" s="28">
        <f>IF(H29="",0,VLOOKUP(H29,'Lookup 1'!$H$5:$M$82,3))</f>
        <v>0</v>
      </c>
      <c r="L29" s="28">
        <f t="shared" si="0"/>
        <v>0</v>
      </c>
      <c r="M29" s="28">
        <f>IF(H29="",0,VLOOKUP(H29,'Lookup 1'!$H$5:$M$82,2))</f>
        <v>0</v>
      </c>
      <c r="N29" s="28">
        <f t="shared" si="1"/>
        <v>0</v>
      </c>
      <c r="O29" s="4">
        <f t="shared" si="2"/>
        <v>0</v>
      </c>
      <c r="P29" s="318"/>
      <c r="Q29" s="146" t="str">
        <f t="shared" ref="Q29:Q41" si="16">IFERROR(O29/P29,"")</f>
        <v/>
      </c>
      <c r="R29" s="325"/>
      <c r="S29" s="318"/>
      <c r="T29" s="318"/>
      <c r="U29" s="318"/>
      <c r="V29" s="218" t="str">
        <f t="shared" si="3"/>
        <v/>
      </c>
      <c r="W29" s="218" t="str">
        <f t="shared" si="4"/>
        <v/>
      </c>
      <c r="X29" s="330"/>
    </row>
    <row r="30" spans="1:24" x14ac:dyDescent="0.25">
      <c r="A30" s="316"/>
      <c r="B30" s="317"/>
      <c r="C30" s="328"/>
      <c r="D30" s="318"/>
      <c r="E30" s="318"/>
      <c r="F30" s="318"/>
      <c r="G30" s="145" t="str">
        <f t="shared" si="15"/>
        <v/>
      </c>
      <c r="H30" s="316"/>
      <c r="I30" s="28" t="str">
        <f>IF(H30="","",VLOOKUP(H30,'Lookup 1'!$H$5:$M$82,6))</f>
        <v/>
      </c>
      <c r="J30" s="318"/>
      <c r="K30" s="28">
        <f>IF(H30="",0,VLOOKUP(H30,'Lookup 1'!$H$5:$M$82,3))</f>
        <v>0</v>
      </c>
      <c r="L30" s="28">
        <f t="shared" si="0"/>
        <v>0</v>
      </c>
      <c r="M30" s="28">
        <f>IF(H30="",0,VLOOKUP(H30,'Lookup 1'!$H$5:$M$82,2))</f>
        <v>0</v>
      </c>
      <c r="N30" s="28">
        <f t="shared" si="1"/>
        <v>0</v>
      </c>
      <c r="O30" s="4">
        <f t="shared" si="2"/>
        <v>0</v>
      </c>
      <c r="P30" s="318"/>
      <c r="Q30" s="146" t="str">
        <f t="shared" si="16"/>
        <v/>
      </c>
      <c r="R30" s="325"/>
      <c r="S30" s="318"/>
      <c r="T30" s="318"/>
      <c r="U30" s="318"/>
      <c r="V30" s="218" t="str">
        <f t="shared" si="3"/>
        <v/>
      </c>
      <c r="W30" s="218" t="str">
        <f t="shared" si="4"/>
        <v/>
      </c>
      <c r="X30" s="330"/>
    </row>
    <row r="31" spans="1:24" x14ac:dyDescent="0.25">
      <c r="A31" s="316"/>
      <c r="B31" s="317"/>
      <c r="C31" s="328"/>
      <c r="D31" s="318"/>
      <c r="E31" s="318"/>
      <c r="F31" s="318"/>
      <c r="G31" s="145" t="str">
        <f t="shared" si="15"/>
        <v/>
      </c>
      <c r="H31" s="316"/>
      <c r="I31" s="28" t="str">
        <f>IF(H31="","",VLOOKUP(H31,'Lookup 1'!$H$5:$M$82,6))</f>
        <v/>
      </c>
      <c r="J31" s="318"/>
      <c r="K31" s="28">
        <f>IF(H31="",0,VLOOKUP(H31,'Lookup 1'!$H$5:$M$82,3))</f>
        <v>0</v>
      </c>
      <c r="L31" s="28">
        <f t="shared" si="0"/>
        <v>0</v>
      </c>
      <c r="M31" s="28">
        <f>IF(H31="",0,VLOOKUP(H31,'Lookup 1'!$H$5:$M$82,2))</f>
        <v>0</v>
      </c>
      <c r="N31" s="28">
        <f t="shared" si="1"/>
        <v>0</v>
      </c>
      <c r="O31" s="4">
        <f t="shared" si="2"/>
        <v>0</v>
      </c>
      <c r="P31" s="318"/>
      <c r="Q31" s="146" t="str">
        <f t="shared" si="16"/>
        <v/>
      </c>
      <c r="R31" s="325"/>
      <c r="S31" s="318"/>
      <c r="T31" s="318"/>
      <c r="U31" s="318"/>
      <c r="V31" s="218" t="str">
        <f t="shared" si="3"/>
        <v/>
      </c>
      <c r="W31" s="218" t="str">
        <f t="shared" si="4"/>
        <v/>
      </c>
      <c r="X31" s="330"/>
    </row>
    <row r="32" spans="1:24" x14ac:dyDescent="0.25">
      <c r="A32" s="316"/>
      <c r="B32" s="317"/>
      <c r="C32" s="328"/>
      <c r="D32" s="318"/>
      <c r="E32" s="318"/>
      <c r="F32" s="318"/>
      <c r="G32" s="145" t="str">
        <f t="shared" si="15"/>
        <v/>
      </c>
      <c r="H32" s="316"/>
      <c r="I32" s="28" t="str">
        <f>IF(H32="","",VLOOKUP(H32,'Lookup 1'!$H$5:$M$82,6))</f>
        <v/>
      </c>
      <c r="J32" s="318"/>
      <c r="K32" s="28">
        <f>IF(H32="",0,VLOOKUP(H32,'Lookup 1'!$H$5:$M$82,3))</f>
        <v>0</v>
      </c>
      <c r="L32" s="28">
        <f t="shared" si="0"/>
        <v>0</v>
      </c>
      <c r="M32" s="28">
        <f>IF(H32="",0,VLOOKUP(H32,'Lookup 1'!$H$5:$M$82,2))</f>
        <v>0</v>
      </c>
      <c r="N32" s="28">
        <f t="shared" si="1"/>
        <v>0</v>
      </c>
      <c r="O32" s="4">
        <f t="shared" si="2"/>
        <v>0</v>
      </c>
      <c r="P32" s="318"/>
      <c r="Q32" s="146" t="str">
        <f t="shared" si="16"/>
        <v/>
      </c>
      <c r="R32" s="325"/>
      <c r="S32" s="318"/>
      <c r="T32" s="318"/>
      <c r="U32" s="318"/>
      <c r="V32" s="218" t="str">
        <f t="shared" si="3"/>
        <v/>
      </c>
      <c r="W32" s="218" t="str">
        <f t="shared" si="4"/>
        <v/>
      </c>
      <c r="X32" s="330"/>
    </row>
    <row r="33" spans="1:24" x14ac:dyDescent="0.25">
      <c r="A33" s="316"/>
      <c r="B33" s="317"/>
      <c r="C33" s="328"/>
      <c r="D33" s="318"/>
      <c r="E33" s="318"/>
      <c r="F33" s="318"/>
      <c r="G33" s="145" t="str">
        <f t="shared" si="15"/>
        <v/>
      </c>
      <c r="H33" s="316"/>
      <c r="I33" s="28" t="str">
        <f>IF(H33="","",VLOOKUP(H33,'Lookup 1'!$H$5:$M$82,6))</f>
        <v/>
      </c>
      <c r="J33" s="318"/>
      <c r="K33" s="28">
        <f>IF(H33="",0,VLOOKUP(H33,'Lookup 1'!$H$5:$M$82,3))</f>
        <v>0</v>
      </c>
      <c r="L33" s="28">
        <f t="shared" si="0"/>
        <v>0</v>
      </c>
      <c r="M33" s="28">
        <f>IF(H33="",0,VLOOKUP(H33,'Lookup 1'!$H$5:$M$82,2))</f>
        <v>0</v>
      </c>
      <c r="N33" s="28">
        <f t="shared" si="1"/>
        <v>0</v>
      </c>
      <c r="O33" s="4">
        <f t="shared" si="2"/>
        <v>0</v>
      </c>
      <c r="P33" s="318"/>
      <c r="Q33" s="146" t="str">
        <f t="shared" si="16"/>
        <v/>
      </c>
      <c r="R33" s="325"/>
      <c r="S33" s="318"/>
      <c r="T33" s="318"/>
      <c r="U33" s="318"/>
      <c r="V33" s="218" t="str">
        <f t="shared" si="3"/>
        <v/>
      </c>
      <c r="W33" s="218" t="str">
        <f t="shared" si="4"/>
        <v/>
      </c>
      <c r="X33" s="330"/>
    </row>
    <row r="34" spans="1:24" x14ac:dyDescent="0.25">
      <c r="A34" s="316"/>
      <c r="B34" s="317"/>
      <c r="C34" s="328"/>
      <c r="D34" s="318"/>
      <c r="E34" s="318"/>
      <c r="F34" s="318"/>
      <c r="G34" s="145" t="str">
        <f t="shared" si="15"/>
        <v/>
      </c>
      <c r="H34" s="316"/>
      <c r="I34" s="28" t="str">
        <f>IF(H34="","",VLOOKUP(H34,'Lookup 1'!$H$5:$M$82,6))</f>
        <v/>
      </c>
      <c r="J34" s="318"/>
      <c r="K34" s="28">
        <f>IF(H34="",0,VLOOKUP(H34,'Lookup 1'!$H$5:$M$82,3))</f>
        <v>0</v>
      </c>
      <c r="L34" s="28">
        <f t="shared" ref="L34:L50" si="17">J34*K34</f>
        <v>0</v>
      </c>
      <c r="M34" s="28">
        <f>IF(H34="",0,VLOOKUP(H34,'Lookup 1'!$H$5:$M$82,2))</f>
        <v>0</v>
      </c>
      <c r="N34" s="28">
        <f t="shared" si="1"/>
        <v>0</v>
      </c>
      <c r="O34" s="4">
        <f t="shared" ref="O34:O50" si="18">L34+N34</f>
        <v>0</v>
      </c>
      <c r="P34" s="318"/>
      <c r="Q34" s="146" t="str">
        <f t="shared" si="16"/>
        <v/>
      </c>
      <c r="R34" s="325"/>
      <c r="S34" s="318"/>
      <c r="T34" s="318"/>
      <c r="U34" s="318"/>
      <c r="V34" s="218" t="str">
        <f t="shared" ref="V34:V50" si="19">IFERROR((R34-S34)/(T34-S34),"")</f>
        <v/>
      </c>
      <c r="W34" s="218" t="str">
        <f t="shared" ref="W34:W50" si="20">IFERROR(U34/P34,"")</f>
        <v/>
      </c>
      <c r="X34" s="330"/>
    </row>
    <row r="35" spans="1:24" x14ac:dyDescent="0.25">
      <c r="A35" s="316"/>
      <c r="B35" s="317"/>
      <c r="C35" s="328"/>
      <c r="D35" s="318"/>
      <c r="E35" s="318"/>
      <c r="F35" s="318"/>
      <c r="G35" s="145" t="str">
        <f t="shared" si="15"/>
        <v/>
      </c>
      <c r="H35" s="316"/>
      <c r="I35" s="28" t="str">
        <f>IF(H35="","",VLOOKUP(H35,'Lookup 1'!$H$5:$M$82,6))</f>
        <v/>
      </c>
      <c r="J35" s="318"/>
      <c r="K35" s="28">
        <f>IF(H35="",0,VLOOKUP(H35,'Lookup 1'!$H$5:$M$82,3))</f>
        <v>0</v>
      </c>
      <c r="L35" s="28">
        <f t="shared" si="17"/>
        <v>0</v>
      </c>
      <c r="M35" s="28">
        <f>IF(H35="",0,VLOOKUP(H35,'Lookup 1'!$H$5:$M$82,2))</f>
        <v>0</v>
      </c>
      <c r="N35" s="28">
        <f t="shared" si="1"/>
        <v>0</v>
      </c>
      <c r="O35" s="4">
        <f t="shared" si="18"/>
        <v>0</v>
      </c>
      <c r="P35" s="318"/>
      <c r="Q35" s="146" t="str">
        <f t="shared" si="16"/>
        <v/>
      </c>
      <c r="R35" s="325"/>
      <c r="S35" s="318"/>
      <c r="T35" s="318"/>
      <c r="U35" s="318"/>
      <c r="V35" s="218" t="str">
        <f t="shared" si="19"/>
        <v/>
      </c>
      <c r="W35" s="218" t="str">
        <f t="shared" si="20"/>
        <v/>
      </c>
      <c r="X35" s="330"/>
    </row>
    <row r="36" spans="1:24" x14ac:dyDescent="0.25">
      <c r="A36" s="316"/>
      <c r="B36" s="317"/>
      <c r="C36" s="328"/>
      <c r="D36" s="318"/>
      <c r="E36" s="318"/>
      <c r="F36" s="318"/>
      <c r="G36" s="145" t="str">
        <f t="shared" si="15"/>
        <v/>
      </c>
      <c r="H36" s="316"/>
      <c r="I36" s="28" t="str">
        <f>IF(H36="","",VLOOKUP(H36,'Lookup 1'!$H$5:$M$82,6))</f>
        <v/>
      </c>
      <c r="J36" s="318"/>
      <c r="K36" s="28">
        <f>IF(H36="",0,VLOOKUP(H36,'Lookup 1'!$H$5:$M$82,3))</f>
        <v>0</v>
      </c>
      <c r="L36" s="28">
        <f t="shared" si="17"/>
        <v>0</v>
      </c>
      <c r="M36" s="28">
        <f>IF(H36="",0,VLOOKUP(H36,'Lookup 1'!$H$5:$M$82,2))</f>
        <v>0</v>
      </c>
      <c r="N36" s="28">
        <f t="shared" si="1"/>
        <v>0</v>
      </c>
      <c r="O36" s="4">
        <f t="shared" si="18"/>
        <v>0</v>
      </c>
      <c r="P36" s="318"/>
      <c r="Q36" s="146" t="str">
        <f t="shared" si="16"/>
        <v/>
      </c>
      <c r="R36" s="325"/>
      <c r="S36" s="318"/>
      <c r="T36" s="318"/>
      <c r="U36" s="318"/>
      <c r="V36" s="218" t="str">
        <f t="shared" si="19"/>
        <v/>
      </c>
      <c r="W36" s="218" t="str">
        <f t="shared" si="20"/>
        <v/>
      </c>
      <c r="X36" s="330"/>
    </row>
    <row r="37" spans="1:24" x14ac:dyDescent="0.25">
      <c r="A37" s="316"/>
      <c r="B37" s="317"/>
      <c r="C37" s="328"/>
      <c r="D37" s="318"/>
      <c r="E37" s="318"/>
      <c r="F37" s="318"/>
      <c r="G37" s="145" t="str">
        <f t="shared" si="15"/>
        <v/>
      </c>
      <c r="H37" s="316"/>
      <c r="I37" s="28" t="str">
        <f>IF(H37="","",VLOOKUP(H37,'Lookup 1'!$H$5:$M$82,6))</f>
        <v/>
      </c>
      <c r="J37" s="318"/>
      <c r="K37" s="28">
        <f>IF(H37="",0,VLOOKUP(H37,'Lookup 1'!$H$5:$M$82,3))</f>
        <v>0</v>
      </c>
      <c r="L37" s="28">
        <f t="shared" si="17"/>
        <v>0</v>
      </c>
      <c r="M37" s="28">
        <f>IF(H37="",0,VLOOKUP(H37,'Lookup 1'!$H$5:$M$82,2))</f>
        <v>0</v>
      </c>
      <c r="N37" s="28">
        <f t="shared" si="1"/>
        <v>0</v>
      </c>
      <c r="O37" s="4">
        <f t="shared" si="18"/>
        <v>0</v>
      </c>
      <c r="P37" s="318"/>
      <c r="Q37" s="146" t="str">
        <f t="shared" si="16"/>
        <v/>
      </c>
      <c r="R37" s="325"/>
      <c r="S37" s="318"/>
      <c r="T37" s="318"/>
      <c r="U37" s="318"/>
      <c r="V37" s="218" t="str">
        <f t="shared" si="19"/>
        <v/>
      </c>
      <c r="W37" s="218" t="str">
        <f t="shared" si="20"/>
        <v/>
      </c>
      <c r="X37" s="330"/>
    </row>
    <row r="38" spans="1:24" x14ac:dyDescent="0.25">
      <c r="A38" s="316"/>
      <c r="B38" s="317"/>
      <c r="C38" s="328"/>
      <c r="D38" s="318"/>
      <c r="E38" s="318"/>
      <c r="F38" s="318"/>
      <c r="G38" s="145" t="str">
        <f t="shared" si="15"/>
        <v/>
      </c>
      <c r="H38" s="316"/>
      <c r="I38" s="28" t="str">
        <f>IF(H38="","",VLOOKUP(H38,'Lookup 1'!$H$5:$M$82,6))</f>
        <v/>
      </c>
      <c r="J38" s="318"/>
      <c r="K38" s="28">
        <f>IF(H38="",0,VLOOKUP(H38,'Lookup 1'!$H$5:$M$82,3))</f>
        <v>0</v>
      </c>
      <c r="L38" s="28">
        <f t="shared" si="17"/>
        <v>0</v>
      </c>
      <c r="M38" s="28">
        <f>IF(H38="",0,VLOOKUP(H38,'Lookup 1'!$H$5:$M$82,2))</f>
        <v>0</v>
      </c>
      <c r="N38" s="28">
        <f t="shared" si="1"/>
        <v>0</v>
      </c>
      <c r="O38" s="4">
        <f t="shared" si="18"/>
        <v>0</v>
      </c>
      <c r="P38" s="318"/>
      <c r="Q38" s="146" t="str">
        <f t="shared" si="16"/>
        <v/>
      </c>
      <c r="R38" s="325"/>
      <c r="S38" s="318"/>
      <c r="T38" s="318"/>
      <c r="U38" s="318"/>
      <c r="V38" s="218" t="str">
        <f t="shared" si="19"/>
        <v/>
      </c>
      <c r="W38" s="218" t="str">
        <f t="shared" si="20"/>
        <v/>
      </c>
      <c r="X38" s="330"/>
    </row>
    <row r="39" spans="1:24" x14ac:dyDescent="0.25">
      <c r="A39" s="316"/>
      <c r="B39" s="317"/>
      <c r="C39" s="328"/>
      <c r="D39" s="318"/>
      <c r="E39" s="318"/>
      <c r="F39" s="318"/>
      <c r="G39" s="145" t="str">
        <f t="shared" si="15"/>
        <v/>
      </c>
      <c r="H39" s="316"/>
      <c r="I39" s="28" t="str">
        <f>IF(H39="","",VLOOKUP(H39,'Lookup 1'!$H$5:$M$82,6))</f>
        <v/>
      </c>
      <c r="J39" s="318"/>
      <c r="K39" s="28">
        <f>IF(H39="",0,VLOOKUP(H39,'Lookup 1'!$H$5:$M$82,3))</f>
        <v>0</v>
      </c>
      <c r="L39" s="28">
        <f t="shared" si="17"/>
        <v>0</v>
      </c>
      <c r="M39" s="28">
        <f>IF(H39="",0,VLOOKUP(H39,'Lookup 1'!$H$5:$M$82,2))</f>
        <v>0</v>
      </c>
      <c r="N39" s="28">
        <f t="shared" si="1"/>
        <v>0</v>
      </c>
      <c r="O39" s="4">
        <f t="shared" si="18"/>
        <v>0</v>
      </c>
      <c r="P39" s="318"/>
      <c r="Q39" s="146" t="str">
        <f t="shared" si="16"/>
        <v/>
      </c>
      <c r="R39" s="325"/>
      <c r="S39" s="318"/>
      <c r="T39" s="318"/>
      <c r="U39" s="318"/>
      <c r="V39" s="218" t="str">
        <f t="shared" si="19"/>
        <v/>
      </c>
      <c r="W39" s="218" t="str">
        <f t="shared" si="20"/>
        <v/>
      </c>
      <c r="X39" s="330"/>
    </row>
    <row r="40" spans="1:24" x14ac:dyDescent="0.25">
      <c r="A40" s="316"/>
      <c r="B40" s="317"/>
      <c r="C40" s="328"/>
      <c r="D40" s="318"/>
      <c r="E40" s="318"/>
      <c r="F40" s="318"/>
      <c r="G40" s="145" t="str">
        <f t="shared" si="15"/>
        <v/>
      </c>
      <c r="H40" s="316"/>
      <c r="I40" s="28" t="str">
        <f>IF(H40="","",VLOOKUP(H40,'Lookup 1'!$H$5:$M$82,6))</f>
        <v/>
      </c>
      <c r="J40" s="318"/>
      <c r="K40" s="28">
        <f>IF(H40="",0,VLOOKUP(H40,'Lookup 1'!$H$5:$M$82,3))</f>
        <v>0</v>
      </c>
      <c r="L40" s="28">
        <f t="shared" si="17"/>
        <v>0</v>
      </c>
      <c r="M40" s="28">
        <f>IF(H40="",0,VLOOKUP(H40,'Lookup 1'!$H$5:$M$82,2))</f>
        <v>0</v>
      </c>
      <c r="N40" s="28">
        <f t="shared" si="1"/>
        <v>0</v>
      </c>
      <c r="O40" s="4">
        <f t="shared" si="18"/>
        <v>0</v>
      </c>
      <c r="P40" s="318"/>
      <c r="Q40" s="146" t="str">
        <f t="shared" si="16"/>
        <v/>
      </c>
      <c r="R40" s="325"/>
      <c r="S40" s="318"/>
      <c r="T40" s="318"/>
      <c r="U40" s="318"/>
      <c r="V40" s="218" t="str">
        <f t="shared" si="19"/>
        <v/>
      </c>
      <c r="W40" s="218" t="str">
        <f t="shared" si="20"/>
        <v/>
      </c>
      <c r="X40" s="330"/>
    </row>
    <row r="41" spans="1:24" x14ac:dyDescent="0.25">
      <c r="A41" s="316"/>
      <c r="B41" s="317"/>
      <c r="C41" s="328"/>
      <c r="D41" s="318"/>
      <c r="E41" s="318"/>
      <c r="F41" s="318"/>
      <c r="G41" s="145" t="str">
        <f t="shared" si="15"/>
        <v/>
      </c>
      <c r="H41" s="316"/>
      <c r="I41" s="28" t="str">
        <f>IF(H41="","",VLOOKUP(H41,'Lookup 1'!$H$5:$M$82,6))</f>
        <v/>
      </c>
      <c r="J41" s="318"/>
      <c r="K41" s="28">
        <f>IF(H41="",0,VLOOKUP(H41,'Lookup 1'!$H$5:$M$82,3))</f>
        <v>0</v>
      </c>
      <c r="L41" s="28">
        <f t="shared" si="17"/>
        <v>0</v>
      </c>
      <c r="M41" s="28">
        <f>IF(H41="",0,VLOOKUP(H41,'Lookup 1'!$H$5:$M$82,2))</f>
        <v>0</v>
      </c>
      <c r="N41" s="28">
        <f t="shared" si="1"/>
        <v>0</v>
      </c>
      <c r="O41" s="4">
        <f t="shared" si="18"/>
        <v>0</v>
      </c>
      <c r="P41" s="318"/>
      <c r="Q41" s="146" t="str">
        <f t="shared" si="16"/>
        <v/>
      </c>
      <c r="R41" s="325"/>
      <c r="S41" s="318"/>
      <c r="T41" s="318"/>
      <c r="U41" s="318"/>
      <c r="V41" s="218" t="str">
        <f t="shared" si="19"/>
        <v/>
      </c>
      <c r="W41" s="218" t="str">
        <f t="shared" si="20"/>
        <v/>
      </c>
      <c r="X41" s="330"/>
    </row>
    <row r="42" spans="1:24" x14ac:dyDescent="0.25">
      <c r="A42" s="316"/>
      <c r="B42" s="317"/>
      <c r="C42" s="328"/>
      <c r="D42" s="318"/>
      <c r="E42" s="318"/>
      <c r="F42" s="318"/>
      <c r="G42" s="145" t="str">
        <f>IFERROR((D42-E42)/(F42-E42),"")</f>
        <v/>
      </c>
      <c r="H42" s="316"/>
      <c r="I42" s="28" t="str">
        <f>IF(H42="","",VLOOKUP(H42,'Lookup 1'!$H$5:$M$82,6))</f>
        <v/>
      </c>
      <c r="J42" s="318"/>
      <c r="K42" s="28">
        <f>IF(H42="",0,VLOOKUP(H42,'Lookup 1'!$H$5:$M$82,3))</f>
        <v>0</v>
      </c>
      <c r="L42" s="28">
        <f t="shared" si="17"/>
        <v>0</v>
      </c>
      <c r="M42" s="28">
        <f>IF(H42="",0,VLOOKUP(H42,'Lookup 1'!$H$5:$M$82,2))</f>
        <v>0</v>
      </c>
      <c r="N42" s="28">
        <f t="shared" si="1"/>
        <v>0</v>
      </c>
      <c r="O42" s="4">
        <f t="shared" si="18"/>
        <v>0</v>
      </c>
      <c r="P42" s="318"/>
      <c r="Q42" s="146" t="str">
        <f>IFERROR(O42/P42,"")</f>
        <v/>
      </c>
      <c r="R42" s="325"/>
      <c r="S42" s="318"/>
      <c r="T42" s="318"/>
      <c r="U42" s="318"/>
      <c r="V42" s="218" t="str">
        <f t="shared" si="19"/>
        <v/>
      </c>
      <c r="W42" s="218" t="str">
        <f t="shared" si="20"/>
        <v/>
      </c>
      <c r="X42" s="330"/>
    </row>
    <row r="43" spans="1:24" x14ac:dyDescent="0.25">
      <c r="A43" s="316"/>
      <c r="B43" s="317"/>
      <c r="C43" s="328"/>
      <c r="D43" s="318"/>
      <c r="E43" s="318"/>
      <c r="F43" s="318"/>
      <c r="G43" s="145" t="str">
        <f t="shared" ref="G43:G50" si="21">IFERROR((D43-E43)/(F43-E43),"")</f>
        <v/>
      </c>
      <c r="H43" s="316"/>
      <c r="I43" s="28" t="str">
        <f>IF(H43="","",VLOOKUP(H43,'Lookup 1'!$H$5:$M$82,6))</f>
        <v/>
      </c>
      <c r="J43" s="318"/>
      <c r="K43" s="28">
        <f>IF(H43="",0,VLOOKUP(H43,'Lookup 1'!$H$5:$M$82,3))</f>
        <v>0</v>
      </c>
      <c r="L43" s="28">
        <f t="shared" si="17"/>
        <v>0</v>
      </c>
      <c r="M43" s="28">
        <f>IF(H43="",0,VLOOKUP(H43,'Lookup 1'!$H$5:$M$82,2))</f>
        <v>0</v>
      </c>
      <c r="N43" s="28">
        <f t="shared" si="1"/>
        <v>0</v>
      </c>
      <c r="O43" s="4">
        <f t="shared" si="18"/>
        <v>0</v>
      </c>
      <c r="P43" s="318"/>
      <c r="Q43" s="146" t="str">
        <f t="shared" ref="Q43:Q50" si="22">IFERROR(O43/P43,"")</f>
        <v/>
      </c>
      <c r="R43" s="325"/>
      <c r="S43" s="318"/>
      <c r="T43" s="318"/>
      <c r="U43" s="318"/>
      <c r="V43" s="218" t="str">
        <f t="shared" si="19"/>
        <v/>
      </c>
      <c r="W43" s="218" t="str">
        <f t="shared" si="20"/>
        <v/>
      </c>
      <c r="X43" s="330"/>
    </row>
    <row r="44" spans="1:24" x14ac:dyDescent="0.25">
      <c r="A44" s="316"/>
      <c r="B44" s="317"/>
      <c r="C44" s="328"/>
      <c r="D44" s="318"/>
      <c r="E44" s="318"/>
      <c r="F44" s="318"/>
      <c r="G44" s="145" t="str">
        <f t="shared" si="21"/>
        <v/>
      </c>
      <c r="H44" s="316"/>
      <c r="I44" s="28" t="str">
        <f>IF(H44="","",VLOOKUP(H44,'Lookup 1'!$H$5:$M$82,6))</f>
        <v/>
      </c>
      <c r="J44" s="318"/>
      <c r="K44" s="28">
        <f>IF(H44="",0,VLOOKUP(H44,'Lookup 1'!$H$5:$M$82,3))</f>
        <v>0</v>
      </c>
      <c r="L44" s="28">
        <f t="shared" si="17"/>
        <v>0</v>
      </c>
      <c r="M44" s="28">
        <f>IF(H44="",0,VLOOKUP(H44,'Lookup 1'!$H$5:$M$82,2))</f>
        <v>0</v>
      </c>
      <c r="N44" s="28">
        <f t="shared" si="1"/>
        <v>0</v>
      </c>
      <c r="O44" s="4">
        <f t="shared" si="18"/>
        <v>0</v>
      </c>
      <c r="P44" s="318"/>
      <c r="Q44" s="146" t="str">
        <f t="shared" si="22"/>
        <v/>
      </c>
      <c r="R44" s="325"/>
      <c r="S44" s="318"/>
      <c r="T44" s="318"/>
      <c r="U44" s="318"/>
      <c r="V44" s="218" t="str">
        <f t="shared" si="19"/>
        <v/>
      </c>
      <c r="W44" s="218" t="str">
        <f t="shared" si="20"/>
        <v/>
      </c>
      <c r="X44" s="330"/>
    </row>
    <row r="45" spans="1:24" x14ac:dyDescent="0.25">
      <c r="A45" s="316"/>
      <c r="B45" s="317"/>
      <c r="C45" s="328"/>
      <c r="D45" s="318"/>
      <c r="E45" s="318"/>
      <c r="F45" s="318"/>
      <c r="G45" s="145" t="str">
        <f t="shared" si="21"/>
        <v/>
      </c>
      <c r="H45" s="316"/>
      <c r="I45" s="28" t="str">
        <f>IF(H45="","",VLOOKUP(H45,'Lookup 1'!$H$5:$M$82,6))</f>
        <v/>
      </c>
      <c r="J45" s="318"/>
      <c r="K45" s="28">
        <f>IF(H45="",0,VLOOKUP(H45,'Lookup 1'!$H$5:$M$82,3))</f>
        <v>0</v>
      </c>
      <c r="L45" s="28">
        <f t="shared" si="17"/>
        <v>0</v>
      </c>
      <c r="M45" s="28">
        <f>IF(H45="",0,VLOOKUP(H45,'Lookup 1'!$H$5:$M$82,2))</f>
        <v>0</v>
      </c>
      <c r="N45" s="28">
        <f t="shared" si="1"/>
        <v>0</v>
      </c>
      <c r="O45" s="4">
        <f t="shared" si="18"/>
        <v>0</v>
      </c>
      <c r="P45" s="318"/>
      <c r="Q45" s="146" t="str">
        <f t="shared" si="22"/>
        <v/>
      </c>
      <c r="R45" s="325"/>
      <c r="S45" s="318"/>
      <c r="T45" s="318"/>
      <c r="U45" s="318"/>
      <c r="V45" s="218" t="str">
        <f t="shared" si="19"/>
        <v/>
      </c>
      <c r="W45" s="218" t="str">
        <f t="shared" si="20"/>
        <v/>
      </c>
      <c r="X45" s="330"/>
    </row>
    <row r="46" spans="1:24" x14ac:dyDescent="0.25">
      <c r="A46" s="316"/>
      <c r="B46" s="317"/>
      <c r="C46" s="328"/>
      <c r="D46" s="318"/>
      <c r="E46" s="318"/>
      <c r="F46" s="318"/>
      <c r="G46" s="145" t="str">
        <f t="shared" si="21"/>
        <v/>
      </c>
      <c r="H46" s="316"/>
      <c r="I46" s="28" t="str">
        <f>IF(H46="","",VLOOKUP(H46,'Lookup 1'!$H$5:$M$82,6))</f>
        <v/>
      </c>
      <c r="J46" s="318"/>
      <c r="K46" s="28">
        <f>IF(H46="",0,VLOOKUP(H46,'Lookup 1'!$H$5:$M$82,3))</f>
        <v>0</v>
      </c>
      <c r="L46" s="28">
        <f t="shared" si="17"/>
        <v>0</v>
      </c>
      <c r="M46" s="28">
        <f>IF(H46="",0,VLOOKUP(H46,'Lookup 1'!$H$5:$M$82,2))</f>
        <v>0</v>
      </c>
      <c r="N46" s="28">
        <f t="shared" si="1"/>
        <v>0</v>
      </c>
      <c r="O46" s="4">
        <f t="shared" si="18"/>
        <v>0</v>
      </c>
      <c r="P46" s="318"/>
      <c r="Q46" s="146" t="str">
        <f t="shared" si="22"/>
        <v/>
      </c>
      <c r="R46" s="325"/>
      <c r="S46" s="318"/>
      <c r="T46" s="318"/>
      <c r="U46" s="318"/>
      <c r="V46" s="218" t="str">
        <f t="shared" si="19"/>
        <v/>
      </c>
      <c r="W46" s="218" t="str">
        <f t="shared" si="20"/>
        <v/>
      </c>
      <c r="X46" s="330"/>
    </row>
    <row r="47" spans="1:24" x14ac:dyDescent="0.25">
      <c r="A47" s="316"/>
      <c r="B47" s="317"/>
      <c r="C47" s="328"/>
      <c r="D47" s="318"/>
      <c r="E47" s="318"/>
      <c r="F47" s="318"/>
      <c r="G47" s="145" t="str">
        <f t="shared" si="21"/>
        <v/>
      </c>
      <c r="H47" s="316"/>
      <c r="I47" s="28" t="str">
        <f>IF(H47="","",VLOOKUP(H47,'Lookup 1'!$H$5:$M$82,6))</f>
        <v/>
      </c>
      <c r="J47" s="318"/>
      <c r="K47" s="28">
        <f>IF(H47="",0,VLOOKUP(H47,'Lookup 1'!$H$5:$M$82,3))</f>
        <v>0</v>
      </c>
      <c r="L47" s="28">
        <f t="shared" si="17"/>
        <v>0</v>
      </c>
      <c r="M47" s="28">
        <f>IF(H47="",0,VLOOKUP(H47,'Lookup 1'!$H$5:$M$82,2))</f>
        <v>0</v>
      </c>
      <c r="N47" s="28">
        <f t="shared" si="1"/>
        <v>0</v>
      </c>
      <c r="O47" s="4">
        <f t="shared" si="18"/>
        <v>0</v>
      </c>
      <c r="P47" s="318"/>
      <c r="Q47" s="146" t="str">
        <f t="shared" si="22"/>
        <v/>
      </c>
      <c r="R47" s="325"/>
      <c r="S47" s="318"/>
      <c r="T47" s="318"/>
      <c r="U47" s="318"/>
      <c r="V47" s="218" t="str">
        <f t="shared" si="19"/>
        <v/>
      </c>
      <c r="W47" s="218" t="str">
        <f t="shared" si="20"/>
        <v/>
      </c>
      <c r="X47" s="330"/>
    </row>
    <row r="48" spans="1:24" x14ac:dyDescent="0.25">
      <c r="A48" s="316"/>
      <c r="B48" s="317"/>
      <c r="C48" s="328"/>
      <c r="D48" s="318"/>
      <c r="E48" s="318"/>
      <c r="F48" s="318"/>
      <c r="G48" s="145" t="str">
        <f t="shared" si="21"/>
        <v/>
      </c>
      <c r="H48" s="316"/>
      <c r="I48" s="28" t="str">
        <f>IF(H48="","",VLOOKUP(H48,'Lookup 1'!$H$5:$M$82,6))</f>
        <v/>
      </c>
      <c r="J48" s="318"/>
      <c r="K48" s="28">
        <f>IF(H48="",0,VLOOKUP(H48,'Lookup 1'!$H$5:$M$82,3))</f>
        <v>0</v>
      </c>
      <c r="L48" s="28">
        <f t="shared" si="17"/>
        <v>0</v>
      </c>
      <c r="M48" s="28">
        <f>IF(H48="",0,VLOOKUP(H48,'Lookup 1'!$H$5:$M$82,2))</f>
        <v>0</v>
      </c>
      <c r="N48" s="28">
        <f t="shared" si="1"/>
        <v>0</v>
      </c>
      <c r="O48" s="4">
        <f t="shared" si="18"/>
        <v>0</v>
      </c>
      <c r="P48" s="318"/>
      <c r="Q48" s="146" t="str">
        <f t="shared" si="22"/>
        <v/>
      </c>
      <c r="R48" s="325"/>
      <c r="S48" s="318"/>
      <c r="T48" s="318"/>
      <c r="U48" s="318"/>
      <c r="V48" s="218" t="str">
        <f t="shared" si="19"/>
        <v/>
      </c>
      <c r="W48" s="218" t="str">
        <f t="shared" si="20"/>
        <v/>
      </c>
      <c r="X48" s="330"/>
    </row>
    <row r="49" spans="1:24" x14ac:dyDescent="0.25">
      <c r="A49" s="316"/>
      <c r="B49" s="317"/>
      <c r="C49" s="328"/>
      <c r="D49" s="318"/>
      <c r="E49" s="318"/>
      <c r="F49" s="318"/>
      <c r="G49" s="145" t="str">
        <f t="shared" si="21"/>
        <v/>
      </c>
      <c r="H49" s="316"/>
      <c r="I49" s="28" t="str">
        <f>IF(H49="","",VLOOKUP(H49,'Lookup 1'!$H$5:$M$82,6))</f>
        <v/>
      </c>
      <c r="J49" s="318"/>
      <c r="K49" s="28">
        <f>IF(H49="",0,VLOOKUP(H49,'Lookup 1'!$H$5:$M$82,3))</f>
        <v>0</v>
      </c>
      <c r="L49" s="28">
        <f t="shared" si="17"/>
        <v>0</v>
      </c>
      <c r="M49" s="28">
        <f>IF(H49="",0,VLOOKUP(H49,'Lookup 1'!$H$5:$M$82,2))</f>
        <v>0</v>
      </c>
      <c r="N49" s="28">
        <f t="shared" si="1"/>
        <v>0</v>
      </c>
      <c r="O49" s="4">
        <f t="shared" si="18"/>
        <v>0</v>
      </c>
      <c r="P49" s="318"/>
      <c r="Q49" s="146" t="str">
        <f t="shared" si="22"/>
        <v/>
      </c>
      <c r="R49" s="325"/>
      <c r="S49" s="318"/>
      <c r="T49" s="318"/>
      <c r="U49" s="318"/>
      <c r="V49" s="218" t="str">
        <f t="shared" si="19"/>
        <v/>
      </c>
      <c r="W49" s="218" t="str">
        <f t="shared" si="20"/>
        <v/>
      </c>
      <c r="X49" s="330"/>
    </row>
    <row r="50" spans="1:24" x14ac:dyDescent="0.25">
      <c r="A50" s="316"/>
      <c r="B50" s="317"/>
      <c r="C50" s="328"/>
      <c r="D50" s="318"/>
      <c r="E50" s="318"/>
      <c r="F50" s="318"/>
      <c r="G50" s="145" t="str">
        <f t="shared" si="21"/>
        <v/>
      </c>
      <c r="H50" s="316"/>
      <c r="I50" s="28" t="str">
        <f>IF(H50="","",VLOOKUP(H50,'Lookup 1'!$H$5:$M$82,6))</f>
        <v/>
      </c>
      <c r="J50" s="318"/>
      <c r="K50" s="28">
        <f>IF(H50="",0,VLOOKUP(H50,'Lookup 1'!$H$5:$M$82,3))</f>
        <v>0</v>
      </c>
      <c r="L50" s="28">
        <f t="shared" si="17"/>
        <v>0</v>
      </c>
      <c r="M50" s="28">
        <f>IF(H50="",0,VLOOKUP(H50,'Lookup 1'!$H$5:$M$82,2))</f>
        <v>0</v>
      </c>
      <c r="N50" s="28">
        <f t="shared" si="1"/>
        <v>0</v>
      </c>
      <c r="O50" s="4">
        <f t="shared" si="18"/>
        <v>0</v>
      </c>
      <c r="P50" s="318"/>
      <c r="Q50" s="146" t="str">
        <f t="shared" si="22"/>
        <v/>
      </c>
      <c r="R50" s="325"/>
      <c r="S50" s="318"/>
      <c r="T50" s="318"/>
      <c r="U50" s="318"/>
      <c r="V50" s="218" t="str">
        <f t="shared" si="19"/>
        <v/>
      </c>
      <c r="W50" s="218" t="str">
        <f t="shared" si="20"/>
        <v/>
      </c>
      <c r="X50" s="330"/>
    </row>
    <row r="51" spans="1:24" x14ac:dyDescent="0.25">
      <c r="A51" s="316"/>
      <c r="B51" s="317"/>
      <c r="C51" s="328"/>
      <c r="D51" s="318"/>
      <c r="E51" s="318"/>
      <c r="F51" s="318"/>
      <c r="G51" s="145" t="str">
        <f t="shared" ref="G51:G53" si="23">IFERROR((D51-E51)/(F51-E51),"")</f>
        <v/>
      </c>
      <c r="H51" s="316"/>
      <c r="I51" s="28" t="str">
        <f>IF(H51="","",VLOOKUP(H51,'Lookup 1'!$H$5:$M$82,6))</f>
        <v/>
      </c>
      <c r="J51" s="318"/>
      <c r="K51" s="28">
        <f>IF(H51="",0,VLOOKUP(H51,'Lookup 1'!$H$5:$M$82,3))</f>
        <v>0</v>
      </c>
      <c r="L51" s="28">
        <f t="shared" ref="L51:L53" si="24">J51*K51</f>
        <v>0</v>
      </c>
      <c r="M51" s="28">
        <f>IF(H51="",0,VLOOKUP(H51,'Lookup 1'!$H$5:$M$82,2))</f>
        <v>0</v>
      </c>
      <c r="N51" s="28">
        <f t="shared" si="1"/>
        <v>0</v>
      </c>
      <c r="O51" s="4">
        <f t="shared" ref="O51:O53" si="25">L51+N51</f>
        <v>0</v>
      </c>
      <c r="P51" s="318"/>
      <c r="Q51" s="146" t="str">
        <f t="shared" ref="Q51:Q53" si="26">IFERROR(O51/P51,"")</f>
        <v/>
      </c>
      <c r="R51" s="325"/>
      <c r="S51" s="318"/>
      <c r="T51" s="318"/>
      <c r="U51" s="318"/>
      <c r="V51" s="218" t="str">
        <f t="shared" ref="V51:V53" si="27">IFERROR((R51-S51)/(T51-S51),"")</f>
        <v/>
      </c>
      <c r="W51" s="218" t="str">
        <f t="shared" ref="W51:W53" si="28">IFERROR(U51/P51,"")</f>
        <v/>
      </c>
      <c r="X51" s="330"/>
    </row>
    <row r="52" spans="1:24" x14ac:dyDescent="0.25">
      <c r="A52" s="316"/>
      <c r="B52" s="317"/>
      <c r="C52" s="328"/>
      <c r="D52" s="318"/>
      <c r="E52" s="318"/>
      <c r="F52" s="318"/>
      <c r="G52" s="145" t="str">
        <f t="shared" si="23"/>
        <v/>
      </c>
      <c r="H52" s="316"/>
      <c r="I52" s="28" t="str">
        <f>IF(H52="","",VLOOKUP(H52,'Lookup 1'!$H$5:$M$82,6))</f>
        <v/>
      </c>
      <c r="J52" s="318"/>
      <c r="K52" s="28">
        <f>IF(H52="",0,VLOOKUP(H52,'Lookup 1'!$H$5:$M$82,3))</f>
        <v>0</v>
      </c>
      <c r="L52" s="28">
        <f t="shared" si="24"/>
        <v>0</v>
      </c>
      <c r="M52" s="28">
        <f>IF(H52="",0,VLOOKUP(H52,'Lookup 1'!$H$5:$M$82,2))</f>
        <v>0</v>
      </c>
      <c r="N52" s="28">
        <f t="shared" si="1"/>
        <v>0</v>
      </c>
      <c r="O52" s="4">
        <f t="shared" si="25"/>
        <v>0</v>
      </c>
      <c r="P52" s="318"/>
      <c r="Q52" s="146" t="str">
        <f t="shared" si="26"/>
        <v/>
      </c>
      <c r="R52" s="325"/>
      <c r="S52" s="318"/>
      <c r="T52" s="318"/>
      <c r="U52" s="318"/>
      <c r="V52" s="218" t="str">
        <f t="shared" si="27"/>
        <v/>
      </c>
      <c r="W52" s="218" t="str">
        <f t="shared" si="28"/>
        <v/>
      </c>
      <c r="X52" s="330"/>
    </row>
    <row r="53" spans="1:24" x14ac:dyDescent="0.25">
      <c r="A53" s="316"/>
      <c r="B53" s="317"/>
      <c r="C53" s="328"/>
      <c r="D53" s="318"/>
      <c r="E53" s="318"/>
      <c r="F53" s="318"/>
      <c r="G53" s="145" t="str">
        <f t="shared" si="23"/>
        <v/>
      </c>
      <c r="H53" s="316"/>
      <c r="I53" s="28" t="str">
        <f>IF(H53="","",VLOOKUP(H53,'Lookup 1'!$H$5:$M$82,6))</f>
        <v/>
      </c>
      <c r="J53" s="318"/>
      <c r="K53" s="28">
        <f>IF(H53="",0,VLOOKUP(H53,'Lookup 1'!$H$5:$M$82,3))</f>
        <v>0</v>
      </c>
      <c r="L53" s="28">
        <f t="shared" si="24"/>
        <v>0</v>
      </c>
      <c r="M53" s="28">
        <f>IF(H53="",0,VLOOKUP(H53,'Lookup 1'!$H$5:$M$82,2))</f>
        <v>0</v>
      </c>
      <c r="N53" s="28">
        <f t="shared" si="1"/>
        <v>0</v>
      </c>
      <c r="O53" s="4">
        <f t="shared" si="25"/>
        <v>0</v>
      </c>
      <c r="P53" s="318"/>
      <c r="Q53" s="146" t="str">
        <f t="shared" si="26"/>
        <v/>
      </c>
      <c r="R53" s="325"/>
      <c r="S53" s="318"/>
      <c r="T53" s="318"/>
      <c r="U53" s="318"/>
      <c r="V53" s="218" t="str">
        <f t="shared" si="27"/>
        <v/>
      </c>
      <c r="W53" s="218" t="str">
        <f t="shared" si="28"/>
        <v/>
      </c>
      <c r="X53" s="330"/>
    </row>
    <row r="54" spans="1:24" x14ac:dyDescent="0.25">
      <c r="A54" s="316"/>
      <c r="B54" s="317"/>
      <c r="C54" s="328"/>
      <c r="D54" s="318"/>
      <c r="E54" s="318"/>
      <c r="F54" s="318"/>
      <c r="G54" s="145" t="str">
        <f t="shared" ref="G54:G61" si="29">IFERROR((D54-E54)/(F54-E54),"")</f>
        <v/>
      </c>
      <c r="H54" s="316"/>
      <c r="I54" s="28" t="str">
        <f>IF(H54="","",VLOOKUP(H54,'Lookup 1'!$H$5:$M$82,6))</f>
        <v/>
      </c>
      <c r="J54" s="318"/>
      <c r="K54" s="28">
        <f>IF(H54="",0,VLOOKUP(H54,'Lookup 1'!$H$5:$M$82,3))</f>
        <v>0</v>
      </c>
      <c r="L54" s="28">
        <f t="shared" ref="L54:L61" si="30">J54*K54</f>
        <v>0</v>
      </c>
      <c r="M54" s="28">
        <f>IF(H54="",0,VLOOKUP(H54,'Lookup 1'!$H$5:$M$82,2))</f>
        <v>0</v>
      </c>
      <c r="N54" s="28">
        <f t="shared" si="1"/>
        <v>0</v>
      </c>
      <c r="O54" s="4">
        <f t="shared" ref="O54:O61" si="31">L54+N54</f>
        <v>0</v>
      </c>
      <c r="P54" s="318"/>
      <c r="Q54" s="146" t="str">
        <f t="shared" ref="Q54:Q61" si="32">IFERROR(O54/P54,"")</f>
        <v/>
      </c>
      <c r="R54" s="325"/>
      <c r="S54" s="318"/>
      <c r="T54" s="318"/>
      <c r="U54" s="318"/>
      <c r="V54" s="218" t="str">
        <f t="shared" ref="V54:V61" si="33">IFERROR((R54-S54)/(T54-S54),"")</f>
        <v/>
      </c>
      <c r="W54" s="218" t="str">
        <f t="shared" ref="W54:W61" si="34">IFERROR(U54/P54,"")</f>
        <v/>
      </c>
      <c r="X54" s="330"/>
    </row>
    <row r="55" spans="1:24" x14ac:dyDescent="0.25">
      <c r="A55" s="316"/>
      <c r="B55" s="317"/>
      <c r="C55" s="328"/>
      <c r="D55" s="318"/>
      <c r="E55" s="318"/>
      <c r="F55" s="318"/>
      <c r="G55" s="145" t="str">
        <f t="shared" si="29"/>
        <v/>
      </c>
      <c r="H55" s="316"/>
      <c r="I55" s="28" t="str">
        <f>IF(H55="","",VLOOKUP(H55,'Lookup 1'!$H$5:$M$82,6))</f>
        <v/>
      </c>
      <c r="J55" s="318"/>
      <c r="K55" s="28">
        <f>IF(H55="",0,VLOOKUP(H55,'Lookup 1'!$H$5:$M$82,3))</f>
        <v>0</v>
      </c>
      <c r="L55" s="28">
        <f t="shared" si="30"/>
        <v>0</v>
      </c>
      <c r="M55" s="28">
        <f>IF(H55="",0,VLOOKUP(H55,'Lookup 1'!$H$5:$M$82,2))</f>
        <v>0</v>
      </c>
      <c r="N55" s="28">
        <f t="shared" si="1"/>
        <v>0</v>
      </c>
      <c r="O55" s="4">
        <f t="shared" si="31"/>
        <v>0</v>
      </c>
      <c r="P55" s="318"/>
      <c r="Q55" s="146" t="str">
        <f t="shared" si="32"/>
        <v/>
      </c>
      <c r="R55" s="325"/>
      <c r="S55" s="318"/>
      <c r="T55" s="318"/>
      <c r="U55" s="318"/>
      <c r="V55" s="218" t="str">
        <f t="shared" si="33"/>
        <v/>
      </c>
      <c r="W55" s="218" t="str">
        <f t="shared" si="34"/>
        <v/>
      </c>
      <c r="X55" s="330"/>
    </row>
    <row r="56" spans="1:24" x14ac:dyDescent="0.25">
      <c r="A56" s="316"/>
      <c r="B56" s="317"/>
      <c r="C56" s="328"/>
      <c r="D56" s="318"/>
      <c r="E56" s="318"/>
      <c r="F56" s="318"/>
      <c r="G56" s="145" t="str">
        <f>IFERROR((D56-E56)/(F56-E56),"")</f>
        <v/>
      </c>
      <c r="H56" s="316"/>
      <c r="I56" s="28" t="str">
        <f>IF(H56="","",VLOOKUP(H56,'Lookup 1'!$H$5:$M$82,6))</f>
        <v/>
      </c>
      <c r="J56" s="318"/>
      <c r="K56" s="28">
        <f>IF(H56="",0,VLOOKUP(H56,'Lookup 1'!$H$5:$M$82,3))</f>
        <v>0</v>
      </c>
      <c r="L56" s="28">
        <f t="shared" si="30"/>
        <v>0</v>
      </c>
      <c r="M56" s="28">
        <f>IF(H56="",0,VLOOKUP(H56,'Lookup 1'!$H$5:$M$82,2))</f>
        <v>0</v>
      </c>
      <c r="N56" s="28">
        <f t="shared" si="1"/>
        <v>0</v>
      </c>
      <c r="O56" s="4">
        <f t="shared" si="31"/>
        <v>0</v>
      </c>
      <c r="P56" s="318"/>
      <c r="Q56" s="146" t="str">
        <f>IFERROR(O56/P56,"")</f>
        <v/>
      </c>
      <c r="R56" s="325"/>
      <c r="S56" s="318"/>
      <c r="T56" s="318"/>
      <c r="U56" s="318"/>
      <c r="V56" s="218" t="str">
        <f t="shared" si="33"/>
        <v/>
      </c>
      <c r="W56" s="218" t="str">
        <f t="shared" si="34"/>
        <v/>
      </c>
      <c r="X56" s="330"/>
    </row>
    <row r="57" spans="1:24" x14ac:dyDescent="0.25">
      <c r="A57" s="316"/>
      <c r="B57" s="317"/>
      <c r="C57" s="328"/>
      <c r="D57" s="318"/>
      <c r="E57" s="318"/>
      <c r="F57" s="318"/>
      <c r="G57" s="145" t="str">
        <f t="shared" ref="G57:G60" si="35">IFERROR((D57-E57)/(F57-E57),"")</f>
        <v/>
      </c>
      <c r="H57" s="316"/>
      <c r="I57" s="28" t="str">
        <f>IF(H57="","",VLOOKUP(H57,'Lookup 1'!$H$5:$M$82,6))</f>
        <v/>
      </c>
      <c r="J57" s="318"/>
      <c r="K57" s="28">
        <f>IF(H57="",0,VLOOKUP(H57,'Lookup 1'!$H$5:$M$82,3))</f>
        <v>0</v>
      </c>
      <c r="L57" s="28">
        <f t="shared" si="30"/>
        <v>0</v>
      </c>
      <c r="M57" s="28">
        <f>IF(H57="",0,VLOOKUP(H57,'Lookup 1'!$H$5:$M$82,2))</f>
        <v>0</v>
      </c>
      <c r="N57" s="28">
        <f t="shared" si="1"/>
        <v>0</v>
      </c>
      <c r="O57" s="4">
        <f t="shared" si="31"/>
        <v>0</v>
      </c>
      <c r="P57" s="318"/>
      <c r="Q57" s="146" t="str">
        <f t="shared" ref="Q57:Q60" si="36">IFERROR(O57/P57,"")</f>
        <v/>
      </c>
      <c r="R57" s="325"/>
      <c r="S57" s="318"/>
      <c r="T57" s="318"/>
      <c r="U57" s="318"/>
      <c r="V57" s="218" t="str">
        <f t="shared" si="33"/>
        <v/>
      </c>
      <c r="W57" s="218" t="str">
        <f t="shared" si="34"/>
        <v/>
      </c>
      <c r="X57" s="330"/>
    </row>
    <row r="58" spans="1:24" x14ac:dyDescent="0.25">
      <c r="A58" s="316"/>
      <c r="B58" s="317"/>
      <c r="C58" s="328"/>
      <c r="D58" s="318"/>
      <c r="E58" s="318"/>
      <c r="F58" s="318"/>
      <c r="G58" s="145" t="str">
        <f t="shared" si="35"/>
        <v/>
      </c>
      <c r="H58" s="316"/>
      <c r="I58" s="28" t="str">
        <f>IF(H58="","",VLOOKUP(H58,'Lookup 1'!$H$5:$M$82,6))</f>
        <v/>
      </c>
      <c r="J58" s="318"/>
      <c r="K58" s="28">
        <f>IF(H58="",0,VLOOKUP(H58,'Lookup 1'!$H$5:$M$82,3))</f>
        <v>0</v>
      </c>
      <c r="L58" s="28">
        <f t="shared" si="30"/>
        <v>0</v>
      </c>
      <c r="M58" s="28">
        <f>IF(H58="",0,VLOOKUP(H58,'Lookup 1'!$H$5:$M$82,2))</f>
        <v>0</v>
      </c>
      <c r="N58" s="28">
        <f t="shared" si="1"/>
        <v>0</v>
      </c>
      <c r="O58" s="4">
        <f t="shared" si="31"/>
        <v>0</v>
      </c>
      <c r="P58" s="318"/>
      <c r="Q58" s="146" t="str">
        <f t="shared" si="36"/>
        <v/>
      </c>
      <c r="R58" s="325"/>
      <c r="S58" s="318"/>
      <c r="T58" s="318"/>
      <c r="U58" s="318"/>
      <c r="V58" s="218" t="str">
        <f t="shared" si="33"/>
        <v/>
      </c>
      <c r="W58" s="218" t="str">
        <f t="shared" si="34"/>
        <v/>
      </c>
      <c r="X58" s="330"/>
    </row>
    <row r="59" spans="1:24" x14ac:dyDescent="0.25">
      <c r="A59" s="316"/>
      <c r="B59" s="317"/>
      <c r="C59" s="328"/>
      <c r="D59" s="318"/>
      <c r="E59" s="318"/>
      <c r="F59" s="318"/>
      <c r="G59" s="145" t="str">
        <f t="shared" si="35"/>
        <v/>
      </c>
      <c r="H59" s="316"/>
      <c r="I59" s="28" t="str">
        <f>IF(H59="","",VLOOKUP(H59,'Lookup 1'!$H$5:$M$82,6))</f>
        <v/>
      </c>
      <c r="J59" s="318"/>
      <c r="K59" s="28">
        <f>IF(H59="",0,VLOOKUP(H59,'Lookup 1'!$H$5:$M$82,3))</f>
        <v>0</v>
      </c>
      <c r="L59" s="28">
        <f t="shared" si="30"/>
        <v>0</v>
      </c>
      <c r="M59" s="28">
        <f>IF(H59="",0,VLOOKUP(H59,'Lookup 1'!$H$5:$M$82,2))</f>
        <v>0</v>
      </c>
      <c r="N59" s="28">
        <f t="shared" si="1"/>
        <v>0</v>
      </c>
      <c r="O59" s="4">
        <f t="shared" si="31"/>
        <v>0</v>
      </c>
      <c r="P59" s="318"/>
      <c r="Q59" s="146" t="str">
        <f t="shared" si="36"/>
        <v/>
      </c>
      <c r="R59" s="325"/>
      <c r="S59" s="318"/>
      <c r="T59" s="318"/>
      <c r="U59" s="318"/>
      <c r="V59" s="218" t="str">
        <f t="shared" si="33"/>
        <v/>
      </c>
      <c r="W59" s="218" t="str">
        <f t="shared" si="34"/>
        <v/>
      </c>
      <c r="X59" s="330"/>
    </row>
    <row r="60" spans="1:24" x14ac:dyDescent="0.25">
      <c r="A60" s="316"/>
      <c r="B60" s="317"/>
      <c r="C60" s="328"/>
      <c r="D60" s="318"/>
      <c r="E60" s="318"/>
      <c r="F60" s="318"/>
      <c r="G60" s="145" t="str">
        <f t="shared" si="35"/>
        <v/>
      </c>
      <c r="H60" s="316"/>
      <c r="I60" s="28" t="str">
        <f>IF(H60="","",VLOOKUP(H60,'Lookup 1'!$H$5:$M$82,6))</f>
        <v/>
      </c>
      <c r="J60" s="318"/>
      <c r="K60" s="28">
        <f>IF(H60="",0,VLOOKUP(H60,'Lookup 1'!$H$5:$M$82,3))</f>
        <v>0</v>
      </c>
      <c r="L60" s="28">
        <f t="shared" si="30"/>
        <v>0</v>
      </c>
      <c r="M60" s="28">
        <f>IF(H60="",0,VLOOKUP(H60,'Lookup 1'!$H$5:$M$82,2))</f>
        <v>0</v>
      </c>
      <c r="N60" s="28">
        <f t="shared" si="1"/>
        <v>0</v>
      </c>
      <c r="O60" s="4">
        <f t="shared" si="31"/>
        <v>0</v>
      </c>
      <c r="P60" s="318"/>
      <c r="Q60" s="146" t="str">
        <f t="shared" si="36"/>
        <v/>
      </c>
      <c r="R60" s="325"/>
      <c r="S60" s="318"/>
      <c r="T60" s="318"/>
      <c r="U60" s="318"/>
      <c r="V60" s="218" t="str">
        <f t="shared" si="33"/>
        <v/>
      </c>
      <c r="W60" s="218" t="str">
        <f t="shared" si="34"/>
        <v/>
      </c>
      <c r="X60" s="330"/>
    </row>
    <row r="61" spans="1:24" x14ac:dyDescent="0.25">
      <c r="A61" s="316"/>
      <c r="B61" s="317"/>
      <c r="C61" s="328"/>
      <c r="D61" s="318"/>
      <c r="E61" s="318"/>
      <c r="F61" s="318"/>
      <c r="G61" s="145" t="str">
        <f t="shared" si="29"/>
        <v/>
      </c>
      <c r="H61" s="316"/>
      <c r="I61" s="28" t="str">
        <f>IF(H61="","",VLOOKUP(H61,'Lookup 1'!$H$5:$M$82,6))</f>
        <v/>
      </c>
      <c r="J61" s="318"/>
      <c r="K61" s="28">
        <f>IF(H61="",0,VLOOKUP(H61,'Lookup 1'!$H$5:$M$82,3))</f>
        <v>0</v>
      </c>
      <c r="L61" s="28">
        <f t="shared" si="30"/>
        <v>0</v>
      </c>
      <c r="M61" s="28">
        <f>IF(H61="",0,VLOOKUP(H61,'Lookup 1'!$H$5:$M$82,2))</f>
        <v>0</v>
      </c>
      <c r="N61" s="28">
        <f t="shared" si="1"/>
        <v>0</v>
      </c>
      <c r="O61" s="4">
        <f t="shared" si="31"/>
        <v>0</v>
      </c>
      <c r="P61" s="318"/>
      <c r="Q61" s="146" t="str">
        <f t="shared" si="32"/>
        <v/>
      </c>
      <c r="R61" s="325"/>
      <c r="S61" s="318"/>
      <c r="T61" s="318"/>
      <c r="U61" s="318"/>
      <c r="V61" s="218" t="str">
        <f t="shared" si="33"/>
        <v/>
      </c>
      <c r="W61" s="218" t="str">
        <f t="shared" si="34"/>
        <v/>
      </c>
      <c r="X61" s="330"/>
    </row>
    <row r="62" spans="1:24" x14ac:dyDescent="0.25">
      <c r="A62" s="316"/>
      <c r="B62" s="317"/>
      <c r="C62" s="328"/>
      <c r="D62" s="318"/>
      <c r="E62" s="318"/>
      <c r="F62" s="318"/>
      <c r="G62" s="145" t="str">
        <f t="shared" si="5"/>
        <v/>
      </c>
      <c r="H62" s="316"/>
      <c r="I62" s="28" t="str">
        <f>IF(H62="","",VLOOKUP(H62,'Lookup 1'!$H$5:$M$82,6))</f>
        <v/>
      </c>
      <c r="J62" s="318"/>
      <c r="K62" s="28">
        <f>IF(H62="",0,VLOOKUP(H62,'Lookup 1'!$H$5:$M$82,3))</f>
        <v>0</v>
      </c>
      <c r="L62" s="28">
        <f t="shared" si="0"/>
        <v>0</v>
      </c>
      <c r="M62" s="28">
        <f>IF(H62="",0,VLOOKUP(H62,'Lookup 1'!$H$5:$M$82,2))</f>
        <v>0</v>
      </c>
      <c r="N62" s="28">
        <f t="shared" si="1"/>
        <v>0</v>
      </c>
      <c r="O62" s="4">
        <f t="shared" si="2"/>
        <v>0</v>
      </c>
      <c r="P62" s="318"/>
      <c r="Q62" s="146" t="str">
        <f t="shared" si="6"/>
        <v/>
      </c>
      <c r="R62" s="325"/>
      <c r="S62" s="318"/>
      <c r="T62" s="318"/>
      <c r="U62" s="318"/>
      <c r="V62" s="218" t="str">
        <f t="shared" si="3"/>
        <v/>
      </c>
      <c r="W62" s="218" t="str">
        <f t="shared" si="4"/>
        <v/>
      </c>
      <c r="X62" s="330"/>
    </row>
    <row r="63" spans="1:24" x14ac:dyDescent="0.25">
      <c r="A63" s="316"/>
      <c r="B63" s="317"/>
      <c r="C63" s="328"/>
      <c r="D63" s="318"/>
      <c r="E63" s="318"/>
      <c r="F63" s="318"/>
      <c r="G63" s="145" t="str">
        <f t="shared" si="5"/>
        <v/>
      </c>
      <c r="H63" s="316"/>
      <c r="I63" s="28" t="str">
        <f>IF(H63="","",VLOOKUP(H63,'Lookup 1'!$H$5:$M$82,6))</f>
        <v/>
      </c>
      <c r="J63" s="318"/>
      <c r="K63" s="28">
        <f>IF(H63="",0,VLOOKUP(H63,'Lookup 1'!$H$5:$M$82,3))</f>
        <v>0</v>
      </c>
      <c r="L63" s="28">
        <f t="shared" si="0"/>
        <v>0</v>
      </c>
      <c r="M63" s="28">
        <f>IF(H63="",0,VLOOKUP(H63,'Lookup 1'!$H$5:$M$82,2))</f>
        <v>0</v>
      </c>
      <c r="N63" s="28">
        <f t="shared" si="1"/>
        <v>0</v>
      </c>
      <c r="O63" s="4">
        <f t="shared" si="2"/>
        <v>0</v>
      </c>
      <c r="P63" s="318"/>
      <c r="Q63" s="146" t="str">
        <f t="shared" si="6"/>
        <v/>
      </c>
      <c r="R63" s="325"/>
      <c r="S63" s="318"/>
      <c r="T63" s="318"/>
      <c r="U63" s="318"/>
      <c r="V63" s="218" t="str">
        <f t="shared" si="3"/>
        <v/>
      </c>
      <c r="W63" s="218" t="str">
        <f t="shared" si="4"/>
        <v/>
      </c>
      <c r="X63" s="330"/>
    </row>
    <row r="64" spans="1:24" x14ac:dyDescent="0.25">
      <c r="A64" s="316"/>
      <c r="B64" s="317"/>
      <c r="C64" s="328"/>
      <c r="D64" s="318"/>
      <c r="E64" s="318"/>
      <c r="F64" s="318"/>
      <c r="G64" s="145" t="str">
        <f t="shared" si="5"/>
        <v/>
      </c>
      <c r="H64" s="316"/>
      <c r="I64" s="28" t="str">
        <f>IF(H64="","",VLOOKUP(H64,'Lookup 1'!$H$5:$M$82,6))</f>
        <v/>
      </c>
      <c r="J64" s="318"/>
      <c r="K64" s="28">
        <f>IF(H64="",0,VLOOKUP(H64,'Lookup 1'!$H$5:$M$82,3))</f>
        <v>0</v>
      </c>
      <c r="L64" s="28">
        <f t="shared" si="0"/>
        <v>0</v>
      </c>
      <c r="M64" s="28">
        <f>IF(H64="",0,VLOOKUP(H64,'Lookup 1'!$H$5:$M$82,2))</f>
        <v>0</v>
      </c>
      <c r="N64" s="28">
        <f t="shared" si="1"/>
        <v>0</v>
      </c>
      <c r="O64" s="4">
        <f t="shared" si="2"/>
        <v>0</v>
      </c>
      <c r="P64" s="318"/>
      <c r="Q64" s="146" t="str">
        <f t="shared" si="6"/>
        <v/>
      </c>
      <c r="R64" s="325"/>
      <c r="S64" s="318"/>
      <c r="T64" s="318"/>
      <c r="U64" s="318"/>
      <c r="V64" s="218" t="str">
        <f t="shared" si="3"/>
        <v/>
      </c>
      <c r="W64" s="218" t="str">
        <f t="shared" si="4"/>
        <v/>
      </c>
      <c r="X64" s="330"/>
    </row>
    <row r="65" spans="1:24" x14ac:dyDescent="0.25">
      <c r="A65" s="316"/>
      <c r="B65" s="317"/>
      <c r="C65" s="328"/>
      <c r="D65" s="318"/>
      <c r="E65" s="318"/>
      <c r="F65" s="318"/>
      <c r="G65" s="145" t="str">
        <f t="shared" si="5"/>
        <v/>
      </c>
      <c r="H65" s="316"/>
      <c r="I65" s="28" t="str">
        <f>IF(H65="","",VLOOKUP(H65,'Lookup 1'!$H$5:$M$82,6))</f>
        <v/>
      </c>
      <c r="J65" s="318"/>
      <c r="K65" s="28">
        <f>IF(H65="",0,VLOOKUP(H65,'Lookup 1'!$H$5:$M$82,3))</f>
        <v>0</v>
      </c>
      <c r="L65" s="28">
        <f t="shared" si="0"/>
        <v>0</v>
      </c>
      <c r="M65" s="28">
        <f>IF(H65="",0,VLOOKUP(H65,'Lookup 1'!$H$5:$M$82,2))</f>
        <v>0</v>
      </c>
      <c r="N65" s="28">
        <f t="shared" si="1"/>
        <v>0</v>
      </c>
      <c r="O65" s="4">
        <f t="shared" si="2"/>
        <v>0</v>
      </c>
      <c r="P65" s="318"/>
      <c r="Q65" s="146" t="str">
        <f t="shared" si="6"/>
        <v/>
      </c>
      <c r="R65" s="325"/>
      <c r="S65" s="318"/>
      <c r="T65" s="318"/>
      <c r="U65" s="318"/>
      <c r="V65" s="218" t="str">
        <f t="shared" si="3"/>
        <v/>
      </c>
      <c r="W65" s="218" t="str">
        <f t="shared" si="4"/>
        <v/>
      </c>
      <c r="X65" s="330"/>
    </row>
    <row r="66" spans="1:24" ht="15.75" thickBot="1" x14ac:dyDescent="0.3">
      <c r="A66" s="319"/>
      <c r="B66" s="320"/>
      <c r="C66" s="329"/>
      <c r="D66" s="321"/>
      <c r="E66" s="321"/>
      <c r="F66" s="321"/>
      <c r="G66" s="147" t="str">
        <f>IFERROR((D66-E66)/(F66-E66),"")</f>
        <v/>
      </c>
      <c r="H66" s="319"/>
      <c r="I66" s="2" t="str">
        <f>IF(H66="","",VLOOKUP(H66,'Lookup 1'!$H$5:$M$82,6))</f>
        <v/>
      </c>
      <c r="J66" s="321"/>
      <c r="K66" s="2">
        <f>IF(H66="",0,VLOOKUP(H66,'Lookup 1'!$H$5:$M$82,3))</f>
        <v>0</v>
      </c>
      <c r="L66" s="2">
        <f t="shared" si="0"/>
        <v>0</v>
      </c>
      <c r="M66" s="2">
        <f>IF(H66="",0,VLOOKUP(H66,'Lookup 1'!$H$5:$M$82,2))</f>
        <v>0</v>
      </c>
      <c r="N66" s="2">
        <f t="shared" si="1"/>
        <v>0</v>
      </c>
      <c r="O66" s="148">
        <f t="shared" si="2"/>
        <v>0</v>
      </c>
      <c r="P66" s="321"/>
      <c r="Q66" s="149" t="str">
        <f>IFERROR(O66/P66,"")</f>
        <v/>
      </c>
      <c r="R66" s="326"/>
      <c r="S66" s="321"/>
      <c r="T66" s="321"/>
      <c r="U66" s="321"/>
      <c r="V66" s="219" t="str">
        <f t="shared" si="3"/>
        <v/>
      </c>
      <c r="W66" s="219" t="str">
        <f t="shared" si="4"/>
        <v/>
      </c>
      <c r="X66" s="331"/>
    </row>
    <row r="68" spans="1:24" x14ac:dyDescent="0.25">
      <c r="A68" t="s">
        <v>1031</v>
      </c>
    </row>
    <row r="71" spans="1:24" x14ac:dyDescent="0.25">
      <c r="S71" s="150"/>
    </row>
  </sheetData>
  <sheetProtection algorithmName="SHA-512" hashValue="pGk6H+wm9nVYIlRp1Uo6ni9WynP0kxZc25A/9mLTO+sbKJ040jOPswnTOhY4/yj1Js91IkJubtGAk1SCtF+pUQ==" saltValue="/gsTih09vQSuTzOvL5Ls+w==" spinCount="100000" sheet="1" objects="1" scenarios="1"/>
  <mergeCells count="13">
    <mergeCell ref="R10:U10"/>
    <mergeCell ref="M1:N1"/>
    <mergeCell ref="U1:V1"/>
    <mergeCell ref="C9:G9"/>
    <mergeCell ref="H9:Q9"/>
    <mergeCell ref="R9:X9"/>
    <mergeCell ref="D10:F10"/>
    <mergeCell ref="H10:J10"/>
    <mergeCell ref="K10:L10"/>
    <mergeCell ref="M10:N10"/>
    <mergeCell ref="O10:Q10"/>
    <mergeCell ref="C8:Q8"/>
    <mergeCell ref="R8:X8"/>
  </mergeCells>
  <pageMargins left="0.7" right="0.7" top="0.75" bottom="0.75" header="0.3" footer="0.3"/>
  <pageSetup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74EB255-FE0A-4410-AF24-03FE5D165929}">
          <x14:formula1>
            <xm:f>'Lookup 1'!$H$5:$H$82</xm:f>
          </x14:formula1>
          <xm:sqref>H12:H66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2A5D2-FEA8-4FD5-A4F1-B95ED0F5BD34}">
  <sheetPr>
    <tabColor theme="0"/>
    <pageSetUpPr fitToPage="1"/>
  </sheetPr>
  <dimension ref="A1:AG35"/>
  <sheetViews>
    <sheetView zoomScale="115" zoomScaleNormal="115" workbookViewId="0">
      <selection activeCell="A2" sqref="A2:H2"/>
    </sheetView>
  </sheetViews>
  <sheetFormatPr defaultRowHeight="15" x14ac:dyDescent="0.25"/>
  <sheetData>
    <row r="1" spans="1:33" ht="7.5" customHeight="1" x14ac:dyDescent="0.2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row>
    <row r="2" spans="1:33" ht="26.25" customHeight="1" x14ac:dyDescent="0.25">
      <c r="A2" s="447" t="s">
        <v>266</v>
      </c>
      <c r="B2" s="447"/>
      <c r="C2" s="447"/>
      <c r="D2" s="447"/>
      <c r="E2" s="447"/>
      <c r="F2" s="447"/>
      <c r="G2" s="447"/>
      <c r="H2" s="447"/>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row>
    <row r="3" spans="1:33" ht="11.45" customHeight="1" x14ac:dyDescent="0.3">
      <c r="A3" s="234"/>
      <c r="B3" s="235"/>
      <c r="C3" s="235"/>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row>
    <row r="4" spans="1:33" ht="18.75" customHeight="1" x14ac:dyDescent="0.3">
      <c r="A4" s="236" t="s">
        <v>369</v>
      </c>
      <c r="B4" s="237"/>
      <c r="C4" s="235"/>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row>
    <row r="5" spans="1:33" ht="18.75" customHeight="1" x14ac:dyDescent="0.3">
      <c r="A5" s="236" t="s">
        <v>368</v>
      </c>
      <c r="B5" s="237"/>
      <c r="C5" s="235"/>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row>
    <row r="6" spans="1:33" ht="18.75" customHeight="1" x14ac:dyDescent="0.3">
      <c r="A6" s="236" t="s">
        <v>468</v>
      </c>
      <c r="B6" s="237"/>
      <c r="C6" s="235"/>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row>
    <row r="7" spans="1:33" ht="18.75" customHeight="1" x14ac:dyDescent="0.3">
      <c r="A7" s="238" t="s">
        <v>1136</v>
      </c>
      <c r="B7" s="237"/>
      <c r="C7" s="235"/>
      <c r="D7" s="233"/>
      <c r="E7" s="233"/>
      <c r="F7" s="233"/>
      <c r="G7" s="233"/>
      <c r="H7" s="233"/>
      <c r="I7" s="233"/>
      <c r="J7" s="233"/>
      <c r="K7" s="233"/>
      <c r="L7" s="233"/>
      <c r="M7" s="233"/>
      <c r="N7" s="239"/>
      <c r="O7" s="233"/>
      <c r="P7" s="233"/>
      <c r="Q7" s="233"/>
      <c r="R7" s="233"/>
      <c r="S7" s="233"/>
      <c r="T7" s="233"/>
      <c r="U7" s="233"/>
      <c r="V7" s="233"/>
      <c r="W7" s="233"/>
      <c r="X7" s="233"/>
      <c r="Y7" s="233"/>
      <c r="Z7" s="233"/>
      <c r="AA7" s="233"/>
      <c r="AB7" s="233"/>
      <c r="AC7" s="233"/>
      <c r="AD7" s="233"/>
      <c r="AE7" s="233"/>
      <c r="AF7" s="233"/>
      <c r="AG7" s="233"/>
    </row>
    <row r="8" spans="1:33" ht="18.75" customHeight="1" x14ac:dyDescent="0.25">
      <c r="A8" s="449" t="s">
        <v>1189</v>
      </c>
      <c r="B8" s="449"/>
      <c r="C8" s="449"/>
      <c r="D8" s="449"/>
      <c r="E8" s="449"/>
      <c r="F8" s="449"/>
      <c r="G8" s="449"/>
      <c r="H8" s="449"/>
      <c r="I8" s="449"/>
      <c r="J8" s="449"/>
      <c r="K8" s="449"/>
      <c r="L8" s="239"/>
      <c r="M8" s="239"/>
      <c r="N8" s="239"/>
      <c r="O8" s="233"/>
      <c r="P8" s="233"/>
      <c r="Q8" s="233"/>
      <c r="R8" s="233"/>
      <c r="S8" s="233"/>
      <c r="T8" s="233"/>
      <c r="U8" s="233"/>
      <c r="V8" s="233"/>
      <c r="W8" s="233"/>
      <c r="X8" s="233"/>
      <c r="Y8" s="233"/>
      <c r="Z8" s="233"/>
      <c r="AA8" s="233"/>
      <c r="AB8" s="233"/>
      <c r="AC8" s="233"/>
      <c r="AD8" s="233"/>
      <c r="AE8" s="233"/>
      <c r="AF8" s="233"/>
      <c r="AG8" s="233"/>
    </row>
    <row r="9" spans="1:33" ht="18.600000000000001" customHeight="1" x14ac:dyDescent="0.3">
      <c r="A9" s="448" t="s">
        <v>457</v>
      </c>
      <c r="B9" s="448"/>
      <c r="C9" s="448"/>
      <c r="D9" s="448"/>
      <c r="E9" s="448"/>
      <c r="F9" s="448"/>
      <c r="G9" s="448"/>
      <c r="H9" s="448"/>
      <c r="I9" s="448"/>
      <c r="J9" s="448"/>
      <c r="K9" s="448"/>
      <c r="L9" s="448"/>
      <c r="M9" s="448"/>
      <c r="N9" s="233"/>
      <c r="O9" s="233"/>
      <c r="P9" s="233"/>
      <c r="Q9" s="233"/>
      <c r="R9" s="233"/>
      <c r="S9" s="233"/>
      <c r="T9" s="233"/>
      <c r="U9" s="233"/>
      <c r="V9" s="233"/>
      <c r="W9" s="233"/>
      <c r="X9" s="233"/>
      <c r="Y9" s="233"/>
      <c r="Z9" s="233"/>
      <c r="AA9" s="233"/>
      <c r="AB9" s="233"/>
      <c r="AC9" s="233"/>
      <c r="AD9" s="233"/>
      <c r="AE9" s="233"/>
      <c r="AF9" s="233"/>
      <c r="AG9" s="233"/>
    </row>
    <row r="10" spans="1:33" ht="18.600000000000001" customHeight="1" x14ac:dyDescent="0.3">
      <c r="A10" s="292" t="s">
        <v>1137</v>
      </c>
      <c r="B10" s="291"/>
      <c r="C10" s="288"/>
      <c r="D10" s="288"/>
      <c r="E10" s="288"/>
      <c r="F10" s="288"/>
      <c r="G10" s="288"/>
      <c r="H10" s="288"/>
      <c r="I10" s="288"/>
      <c r="J10" s="288"/>
      <c r="K10" s="288"/>
      <c r="L10" s="288"/>
      <c r="M10" s="288"/>
      <c r="N10" s="233"/>
      <c r="O10" s="233"/>
      <c r="P10" s="233"/>
      <c r="Q10" s="233"/>
      <c r="R10" s="233"/>
      <c r="S10" s="233"/>
      <c r="T10" s="233"/>
      <c r="U10" s="233"/>
      <c r="V10" s="233"/>
      <c r="W10" s="233"/>
      <c r="X10" s="233"/>
      <c r="Y10" s="233"/>
      <c r="Z10" s="233"/>
      <c r="AA10" s="233"/>
      <c r="AB10" s="233"/>
      <c r="AC10" s="233"/>
      <c r="AD10" s="233"/>
      <c r="AE10" s="233"/>
      <c r="AF10" s="233"/>
      <c r="AG10" s="233"/>
    </row>
    <row r="11" spans="1:33" ht="18.75" customHeight="1" x14ac:dyDescent="0.3">
      <c r="A11" s="236" t="s">
        <v>469</v>
      </c>
      <c r="B11" s="237"/>
      <c r="C11" s="235"/>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row>
    <row r="12" spans="1:33" ht="18.75" customHeight="1" x14ac:dyDescent="0.3">
      <c r="A12" s="236" t="s">
        <v>470</v>
      </c>
      <c r="B12" s="237"/>
      <c r="C12" s="235"/>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row>
    <row r="13" spans="1:33" ht="18.75" customHeight="1" x14ac:dyDescent="0.3">
      <c r="A13" s="236" t="s">
        <v>505</v>
      </c>
      <c r="B13" s="237"/>
      <c r="C13" s="235"/>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row>
    <row r="14" spans="1:33" ht="18.75" customHeight="1" x14ac:dyDescent="0.3">
      <c r="A14" s="289" t="s">
        <v>1038</v>
      </c>
      <c r="B14" s="237"/>
      <c r="C14" s="235"/>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row>
    <row r="15" spans="1:33" x14ac:dyDescent="0.25">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row>
    <row r="16" spans="1:33" x14ac:dyDescent="0.25">
      <c r="A16" s="233"/>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row>
    <row r="17" spans="1:33" x14ac:dyDescent="0.25">
      <c r="A17" s="233"/>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row>
    <row r="18" spans="1:33" x14ac:dyDescent="0.25">
      <c r="A18" s="233"/>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row>
    <row r="19" spans="1:33" x14ac:dyDescent="0.25">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row>
    <row r="20" spans="1:33" x14ac:dyDescent="0.25">
      <c r="A20" s="233"/>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row>
    <row r="21" spans="1:33" x14ac:dyDescent="0.25">
      <c r="A21" s="233"/>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row>
    <row r="22" spans="1:33" x14ac:dyDescent="0.25">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row>
    <row r="23" spans="1:33" x14ac:dyDescent="0.25">
      <c r="A23" s="233"/>
      <c r="B23" s="233"/>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row>
    <row r="24" spans="1:33" x14ac:dyDescent="0.25">
      <c r="A24" s="233"/>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row>
    <row r="25" spans="1:33" x14ac:dyDescent="0.25">
      <c r="A25" s="233"/>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row>
    <row r="26" spans="1:33" x14ac:dyDescent="0.25">
      <c r="A26" s="233"/>
      <c r="B26" s="233"/>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row>
    <row r="27" spans="1:33" x14ac:dyDescent="0.25">
      <c r="A27" s="233"/>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row>
    <row r="28" spans="1:33" x14ac:dyDescent="0.25">
      <c r="A28" s="233"/>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row>
    <row r="29" spans="1:33" x14ac:dyDescent="0.25">
      <c r="A29" s="233"/>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row>
    <row r="30" spans="1:33" x14ac:dyDescent="0.25">
      <c r="A30" s="233"/>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row>
    <row r="31" spans="1:33" x14ac:dyDescent="0.25">
      <c r="A31" s="233"/>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row>
    <row r="32" spans="1:33" x14ac:dyDescent="0.25">
      <c r="A32" s="233"/>
      <c r="B32" s="233"/>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row>
    <row r="33" spans="1:33" x14ac:dyDescent="0.25">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row>
    <row r="34" spans="1:33" x14ac:dyDescent="0.25">
      <c r="A34" s="233"/>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row>
    <row r="35" spans="1:33" x14ac:dyDescent="0.25">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row>
  </sheetData>
  <sheetProtection algorithmName="SHA-512" hashValue="LOXhhoyNAGpTUesI7AfYMajbfTfCskHhF3sXXG6EGYfSpOz3hTxOBBsA5fxxTsEKFE8wzsUG6+7R1mWlgWcpfg==" saltValue="6nHb0edpexMMzYeNBU335A==" spinCount="100000" sheet="1" objects="1" scenarios="1"/>
  <mergeCells count="3">
    <mergeCell ref="A2:H2"/>
    <mergeCell ref="A9:M9"/>
    <mergeCell ref="A8:K8"/>
  </mergeCells>
  <hyperlinks>
    <hyperlink ref="A9" location="'OA Calibration'!A1" display="    c.  Ventilation amount and control with completed Outside Air Calibration document" xr:uid="{A0CC6916-B556-4B05-B4DD-3BA35C0830AE}"/>
    <hyperlink ref="A8:I8" location="'All Trends'!A1" display="                     i. Annotated Trends Showing Proper Sequence Operation" xr:uid="{DAE332E9-B6A9-4A2F-8661-A4AF16FBBFD6}"/>
    <hyperlink ref="A8:K8" location="Trends!A1" display="                     i. Annotated Trends Showing Proper Added/Improved Sequence Operation" xr:uid="{7B9D1BFF-2992-4A72-B95B-27523569CBC8}"/>
  </hyperlinks>
  <pageMargins left="0.7" right="0.7" top="0.75" bottom="0.75" header="0.3" footer="0.3"/>
  <pageSetup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42E6-2DB4-4349-9201-84A7BE234FDF}">
  <sheetPr>
    <tabColor theme="0"/>
  </sheetPr>
  <dimension ref="A1:A500"/>
  <sheetViews>
    <sheetView zoomScale="115" zoomScaleNormal="115" workbookViewId="0"/>
  </sheetViews>
  <sheetFormatPr defaultRowHeight="15" x14ac:dyDescent="0.25"/>
  <sheetData>
    <row r="1" spans="1:1" ht="26.25" x14ac:dyDescent="0.4">
      <c r="A1" s="271" t="s">
        <v>597</v>
      </c>
    </row>
    <row r="2" spans="1:1" x14ac:dyDescent="0.25">
      <c r="A2" s="155" t="s">
        <v>34</v>
      </c>
    </row>
    <row r="3" spans="1:1" x14ac:dyDescent="0.25">
      <c r="A3" t="s">
        <v>841</v>
      </c>
    </row>
    <row r="4" spans="1:1" x14ac:dyDescent="0.25">
      <c r="A4" t="s">
        <v>834</v>
      </c>
    </row>
    <row r="5" spans="1:1" x14ac:dyDescent="0.25">
      <c r="A5" t="s">
        <v>835</v>
      </c>
    </row>
    <row r="6" spans="1:1" x14ac:dyDescent="0.25">
      <c r="A6" t="s">
        <v>836</v>
      </c>
    </row>
    <row r="7" spans="1:1" x14ac:dyDescent="0.25">
      <c r="A7" t="s">
        <v>837</v>
      </c>
    </row>
    <row r="8" spans="1:1" x14ac:dyDescent="0.25">
      <c r="A8" t="s">
        <v>838</v>
      </c>
    </row>
    <row r="9" spans="1:1" x14ac:dyDescent="0.25">
      <c r="A9" t="s">
        <v>839</v>
      </c>
    </row>
    <row r="10" spans="1:1" x14ac:dyDescent="0.25">
      <c r="A10" t="s">
        <v>840</v>
      </c>
    </row>
    <row r="11" spans="1:1" x14ac:dyDescent="0.25">
      <c r="A11" t="s">
        <v>571</v>
      </c>
    </row>
    <row r="12" spans="1:1" x14ac:dyDescent="0.25">
      <c r="A12" t="s">
        <v>567</v>
      </c>
    </row>
    <row r="13" spans="1:1" x14ac:dyDescent="0.25">
      <c r="A13" t="s">
        <v>568</v>
      </c>
    </row>
    <row r="14" spans="1:1" x14ac:dyDescent="0.25">
      <c r="A14" t="s">
        <v>569</v>
      </c>
    </row>
    <row r="15" spans="1:1" x14ac:dyDescent="0.25">
      <c r="A15" t="s">
        <v>570</v>
      </c>
    </row>
    <row r="18" spans="1:1" x14ac:dyDescent="0.25">
      <c r="A18" s="155" t="s">
        <v>573</v>
      </c>
    </row>
    <row r="19" spans="1:1" x14ac:dyDescent="0.25">
      <c r="A19" t="s">
        <v>581</v>
      </c>
    </row>
    <row r="20" spans="1:1" x14ac:dyDescent="0.25">
      <c r="A20" t="s">
        <v>574</v>
      </c>
    </row>
    <row r="21" spans="1:1" x14ac:dyDescent="0.25">
      <c r="A21" t="s">
        <v>575</v>
      </c>
    </row>
    <row r="22" spans="1:1" x14ac:dyDescent="0.25">
      <c r="A22" t="s">
        <v>576</v>
      </c>
    </row>
    <row r="23" spans="1:1" x14ac:dyDescent="0.25">
      <c r="A23" t="s">
        <v>577</v>
      </c>
    </row>
    <row r="24" spans="1:1" x14ac:dyDescent="0.25">
      <c r="A24" t="s">
        <v>578</v>
      </c>
    </row>
    <row r="25" spans="1:1" x14ac:dyDescent="0.25">
      <c r="A25" t="s">
        <v>579</v>
      </c>
    </row>
    <row r="26" spans="1:1" x14ac:dyDescent="0.25">
      <c r="A26" t="s">
        <v>580</v>
      </c>
    </row>
    <row r="29" spans="1:1" x14ac:dyDescent="0.25">
      <c r="A29" s="155" t="s">
        <v>583</v>
      </c>
    </row>
    <row r="30" spans="1:1" x14ac:dyDescent="0.25">
      <c r="A30" t="s">
        <v>584</v>
      </c>
    </row>
    <row r="31" spans="1:1" x14ac:dyDescent="0.25">
      <c r="A31" t="s">
        <v>566</v>
      </c>
    </row>
    <row r="34" spans="1:1" x14ac:dyDescent="0.25">
      <c r="A34" s="155" t="s">
        <v>585</v>
      </c>
    </row>
    <row r="35" spans="1:1" x14ac:dyDescent="0.25">
      <c r="A35" t="s">
        <v>596</v>
      </c>
    </row>
    <row r="36" spans="1:1" x14ac:dyDescent="0.25">
      <c r="A36" t="s">
        <v>587</v>
      </c>
    </row>
    <row r="37" spans="1:1" x14ac:dyDescent="0.25">
      <c r="A37" t="s">
        <v>588</v>
      </c>
    </row>
    <row r="38" spans="1:1" x14ac:dyDescent="0.25">
      <c r="A38" t="s">
        <v>589</v>
      </c>
    </row>
    <row r="39" spans="1:1" x14ac:dyDescent="0.25">
      <c r="A39" t="s">
        <v>590</v>
      </c>
    </row>
    <row r="40" spans="1:1" x14ac:dyDescent="0.25">
      <c r="A40" t="s">
        <v>591</v>
      </c>
    </row>
    <row r="41" spans="1:1" x14ac:dyDescent="0.25">
      <c r="A41" t="s">
        <v>592</v>
      </c>
    </row>
    <row r="42" spans="1:1" x14ac:dyDescent="0.25">
      <c r="A42" s="125" t="s">
        <v>593</v>
      </c>
    </row>
    <row r="43" spans="1:1" x14ac:dyDescent="0.25">
      <c r="A43" t="s">
        <v>594</v>
      </c>
    </row>
    <row r="44" spans="1:1" x14ac:dyDescent="0.25">
      <c r="A44" t="s">
        <v>595</v>
      </c>
    </row>
    <row r="47" spans="1:1" x14ac:dyDescent="0.25">
      <c r="A47" s="155" t="s">
        <v>598</v>
      </c>
    </row>
    <row r="48" spans="1:1" x14ac:dyDescent="0.25">
      <c r="A48" t="s">
        <v>606</v>
      </c>
    </row>
    <row r="49" spans="1:1" x14ac:dyDescent="0.25">
      <c r="A49" t="s">
        <v>599</v>
      </c>
    </row>
    <row r="50" spans="1:1" x14ac:dyDescent="0.25">
      <c r="A50" t="s">
        <v>600</v>
      </c>
    </row>
    <row r="51" spans="1:1" x14ac:dyDescent="0.25">
      <c r="A51" t="s">
        <v>601</v>
      </c>
    </row>
    <row r="52" spans="1:1" x14ac:dyDescent="0.25">
      <c r="A52" t="s">
        <v>602</v>
      </c>
    </row>
    <row r="53" spans="1:1" x14ac:dyDescent="0.25">
      <c r="A53" t="s">
        <v>603</v>
      </c>
    </row>
    <row r="54" spans="1:1" x14ac:dyDescent="0.25">
      <c r="A54" t="s">
        <v>604</v>
      </c>
    </row>
    <row r="55" spans="1:1" x14ac:dyDescent="0.25">
      <c r="A55" t="s">
        <v>605</v>
      </c>
    </row>
    <row r="58" spans="1:1" x14ac:dyDescent="0.25">
      <c r="A58" s="155" t="s">
        <v>607</v>
      </c>
    </row>
    <row r="59" spans="1:1" x14ac:dyDescent="0.25">
      <c r="A59" s="125" t="s">
        <v>608</v>
      </c>
    </row>
    <row r="60" spans="1:1" x14ac:dyDescent="0.25">
      <c r="A60" t="s">
        <v>627</v>
      </c>
    </row>
    <row r="61" spans="1:1" x14ac:dyDescent="0.25">
      <c r="A61" t="s">
        <v>609</v>
      </c>
    </row>
    <row r="62" spans="1:1" x14ac:dyDescent="0.25">
      <c r="A62" t="s">
        <v>610</v>
      </c>
    </row>
    <row r="63" spans="1:1" x14ac:dyDescent="0.25">
      <c r="A63" t="s">
        <v>611</v>
      </c>
    </row>
    <row r="64" spans="1:1" x14ac:dyDescent="0.25">
      <c r="A64" t="s">
        <v>612</v>
      </c>
    </row>
    <row r="65" spans="1:1" x14ac:dyDescent="0.25">
      <c r="A65" t="s">
        <v>613</v>
      </c>
    </row>
    <row r="66" spans="1:1" x14ac:dyDescent="0.25">
      <c r="A66" t="s">
        <v>614</v>
      </c>
    </row>
    <row r="67" spans="1:1" x14ac:dyDescent="0.25">
      <c r="A67" t="s">
        <v>615</v>
      </c>
    </row>
    <row r="68" spans="1:1" x14ac:dyDescent="0.25">
      <c r="A68" s="125" t="s">
        <v>616</v>
      </c>
    </row>
    <row r="69" spans="1:1" x14ac:dyDescent="0.25">
      <c r="A69" t="s">
        <v>617</v>
      </c>
    </row>
    <row r="70" spans="1:1" x14ac:dyDescent="0.25">
      <c r="A70" t="s">
        <v>618</v>
      </c>
    </row>
    <row r="71" spans="1:1" x14ac:dyDescent="0.25">
      <c r="A71" t="s">
        <v>619</v>
      </c>
    </row>
    <row r="72" spans="1:1" x14ac:dyDescent="0.25">
      <c r="A72" t="s">
        <v>620</v>
      </c>
    </row>
    <row r="73" spans="1:1" x14ac:dyDescent="0.25">
      <c r="A73" t="s">
        <v>621</v>
      </c>
    </row>
    <row r="74" spans="1:1" x14ac:dyDescent="0.25">
      <c r="A74" t="s">
        <v>622</v>
      </c>
    </row>
    <row r="75" spans="1:1" x14ac:dyDescent="0.25">
      <c r="A75" t="s">
        <v>623</v>
      </c>
    </row>
    <row r="76" spans="1:1" x14ac:dyDescent="0.25">
      <c r="A76" t="s">
        <v>624</v>
      </c>
    </row>
    <row r="77" spans="1:1" x14ac:dyDescent="0.25">
      <c r="A77" t="s">
        <v>625</v>
      </c>
    </row>
    <row r="78" spans="1:1" x14ac:dyDescent="0.25">
      <c r="A78" t="s">
        <v>626</v>
      </c>
    </row>
    <row r="79" spans="1:1" x14ac:dyDescent="0.25">
      <c r="A79" t="s">
        <v>628</v>
      </c>
    </row>
    <row r="80" spans="1:1" x14ac:dyDescent="0.25">
      <c r="A80" t="s">
        <v>629</v>
      </c>
    </row>
    <row r="81" spans="1:1" x14ac:dyDescent="0.25">
      <c r="A81" t="s">
        <v>630</v>
      </c>
    </row>
    <row r="82" spans="1:1" x14ac:dyDescent="0.25">
      <c r="A82" t="s">
        <v>631</v>
      </c>
    </row>
    <row r="83" spans="1:1" x14ac:dyDescent="0.25">
      <c r="A83" t="s">
        <v>632</v>
      </c>
    </row>
    <row r="84" spans="1:1" x14ac:dyDescent="0.25">
      <c r="A84" t="s">
        <v>639</v>
      </c>
    </row>
    <row r="85" spans="1:1" x14ac:dyDescent="0.25">
      <c r="A85" t="s">
        <v>633</v>
      </c>
    </row>
    <row r="86" spans="1:1" x14ac:dyDescent="0.25">
      <c r="A86" t="s">
        <v>634</v>
      </c>
    </row>
    <row r="87" spans="1:1" x14ac:dyDescent="0.25">
      <c r="A87" t="s">
        <v>635</v>
      </c>
    </row>
    <row r="88" spans="1:1" x14ac:dyDescent="0.25">
      <c r="A88" t="s">
        <v>636</v>
      </c>
    </row>
    <row r="89" spans="1:1" x14ac:dyDescent="0.25">
      <c r="A89" t="s">
        <v>640</v>
      </c>
    </row>
    <row r="90" spans="1:1" x14ac:dyDescent="0.25">
      <c r="A90" t="s">
        <v>637</v>
      </c>
    </row>
    <row r="91" spans="1:1" x14ac:dyDescent="0.25">
      <c r="A91" t="s">
        <v>638</v>
      </c>
    </row>
    <row r="94" spans="1:1" x14ac:dyDescent="0.25">
      <c r="A94" s="155" t="s">
        <v>641</v>
      </c>
    </row>
    <row r="95" spans="1:1" x14ac:dyDescent="0.25">
      <c r="A95" t="s">
        <v>966</v>
      </c>
    </row>
    <row r="96" spans="1:1" x14ac:dyDescent="0.25">
      <c r="A96" t="s">
        <v>952</v>
      </c>
    </row>
    <row r="97" spans="1:1" x14ac:dyDescent="0.25">
      <c r="A97" t="s">
        <v>953</v>
      </c>
    </row>
    <row r="98" spans="1:1" x14ac:dyDescent="0.25">
      <c r="A98" t="s">
        <v>954</v>
      </c>
    </row>
    <row r="99" spans="1:1" x14ac:dyDescent="0.25">
      <c r="A99" t="s">
        <v>955</v>
      </c>
    </row>
    <row r="100" spans="1:1" x14ac:dyDescent="0.25">
      <c r="A100" t="s">
        <v>956</v>
      </c>
    </row>
    <row r="101" spans="1:1" x14ac:dyDescent="0.25">
      <c r="A101" t="s">
        <v>957</v>
      </c>
    </row>
    <row r="102" spans="1:1" x14ac:dyDescent="0.25">
      <c r="A102" t="s">
        <v>958</v>
      </c>
    </row>
    <row r="103" spans="1:1" x14ac:dyDescent="0.25">
      <c r="A103" t="s">
        <v>959</v>
      </c>
    </row>
    <row r="104" spans="1:1" x14ac:dyDescent="0.25">
      <c r="A104" t="s">
        <v>960</v>
      </c>
    </row>
    <row r="105" spans="1:1" x14ac:dyDescent="0.25">
      <c r="A105" t="s">
        <v>961</v>
      </c>
    </row>
    <row r="106" spans="1:1" x14ac:dyDescent="0.25">
      <c r="A106" t="s">
        <v>967</v>
      </c>
    </row>
    <row r="107" spans="1:1" x14ac:dyDescent="0.25">
      <c r="A107" t="s">
        <v>962</v>
      </c>
    </row>
    <row r="108" spans="1:1" x14ac:dyDescent="0.25">
      <c r="A108" t="s">
        <v>963</v>
      </c>
    </row>
    <row r="109" spans="1:1" x14ac:dyDescent="0.25">
      <c r="A109" t="s">
        <v>964</v>
      </c>
    </row>
    <row r="110" spans="1:1" x14ac:dyDescent="0.25">
      <c r="A110" t="s">
        <v>965</v>
      </c>
    </row>
    <row r="113" spans="1:1" x14ac:dyDescent="0.25">
      <c r="A113" s="155" t="s">
        <v>648</v>
      </c>
    </row>
    <row r="114" spans="1:1" x14ac:dyDescent="0.25">
      <c r="A114" t="s">
        <v>660</v>
      </c>
    </row>
    <row r="115" spans="1:1" x14ac:dyDescent="0.25">
      <c r="A115" t="s">
        <v>649</v>
      </c>
    </row>
    <row r="116" spans="1:1" x14ac:dyDescent="0.25">
      <c r="A116" t="s">
        <v>650</v>
      </c>
    </row>
    <row r="117" spans="1:1" x14ac:dyDescent="0.25">
      <c r="A117" t="s">
        <v>651</v>
      </c>
    </row>
    <row r="118" spans="1:1" x14ac:dyDescent="0.25">
      <c r="A118" t="s">
        <v>652</v>
      </c>
    </row>
    <row r="119" spans="1:1" x14ac:dyDescent="0.25">
      <c r="A119" t="s">
        <v>653</v>
      </c>
    </row>
    <row r="120" spans="1:1" x14ac:dyDescent="0.25">
      <c r="A120" t="s">
        <v>654</v>
      </c>
    </row>
    <row r="121" spans="1:1" x14ac:dyDescent="0.25">
      <c r="A121" t="s">
        <v>655</v>
      </c>
    </row>
    <row r="122" spans="1:1" x14ac:dyDescent="0.25">
      <c r="A122" t="s">
        <v>656</v>
      </c>
    </row>
    <row r="123" spans="1:1" x14ac:dyDescent="0.25">
      <c r="A123" t="s">
        <v>657</v>
      </c>
    </row>
    <row r="124" spans="1:1" x14ac:dyDescent="0.25">
      <c r="A124" t="s">
        <v>658</v>
      </c>
    </row>
    <row r="125" spans="1:1" x14ac:dyDescent="0.25">
      <c r="A125" t="s">
        <v>659</v>
      </c>
    </row>
    <row r="126" spans="1:1" x14ac:dyDescent="0.25">
      <c r="A126" t="s">
        <v>661</v>
      </c>
    </row>
    <row r="127" spans="1:1" x14ac:dyDescent="0.25">
      <c r="A127" t="s">
        <v>615</v>
      </c>
    </row>
    <row r="128" spans="1:1" x14ac:dyDescent="0.25">
      <c r="A128" t="s">
        <v>662</v>
      </c>
    </row>
    <row r="129" spans="1:1" x14ac:dyDescent="0.25">
      <c r="A129" t="s">
        <v>663</v>
      </c>
    </row>
    <row r="130" spans="1:1" x14ac:dyDescent="0.25">
      <c r="A130" t="s">
        <v>664</v>
      </c>
    </row>
    <row r="131" spans="1:1" x14ac:dyDescent="0.25">
      <c r="A131" t="s">
        <v>665</v>
      </c>
    </row>
    <row r="132" spans="1:1" x14ac:dyDescent="0.25">
      <c r="A132" t="s">
        <v>666</v>
      </c>
    </row>
    <row r="133" spans="1:1" x14ac:dyDescent="0.25">
      <c r="A133" t="s">
        <v>676</v>
      </c>
    </row>
    <row r="134" spans="1:1" x14ac:dyDescent="0.25">
      <c r="A134" t="s">
        <v>667</v>
      </c>
    </row>
    <row r="135" spans="1:1" x14ac:dyDescent="0.25">
      <c r="A135" t="s">
        <v>668</v>
      </c>
    </row>
    <row r="136" spans="1:1" x14ac:dyDescent="0.25">
      <c r="A136" t="s">
        <v>669</v>
      </c>
    </row>
    <row r="137" spans="1:1" x14ac:dyDescent="0.25">
      <c r="A137" t="s">
        <v>670</v>
      </c>
    </row>
    <row r="138" spans="1:1" x14ac:dyDescent="0.25">
      <c r="A138" t="s">
        <v>671</v>
      </c>
    </row>
    <row r="139" spans="1:1" x14ac:dyDescent="0.25">
      <c r="A139" t="s">
        <v>672</v>
      </c>
    </row>
    <row r="140" spans="1:1" x14ac:dyDescent="0.25">
      <c r="A140" t="s">
        <v>673</v>
      </c>
    </row>
    <row r="141" spans="1:1" x14ac:dyDescent="0.25">
      <c r="A141" t="s">
        <v>674</v>
      </c>
    </row>
    <row r="142" spans="1:1" x14ac:dyDescent="0.25">
      <c r="A142" t="s">
        <v>675</v>
      </c>
    </row>
    <row r="145" spans="1:1" x14ac:dyDescent="0.25">
      <c r="A145" s="155" t="s">
        <v>201</v>
      </c>
    </row>
    <row r="146" spans="1:1" x14ac:dyDescent="0.25">
      <c r="A146" t="s">
        <v>692</v>
      </c>
    </row>
    <row r="147" spans="1:1" x14ac:dyDescent="0.25">
      <c r="A147" t="s">
        <v>677</v>
      </c>
    </row>
    <row r="148" spans="1:1" x14ac:dyDescent="0.25">
      <c r="A148" t="s">
        <v>678</v>
      </c>
    </row>
    <row r="149" spans="1:1" x14ac:dyDescent="0.25">
      <c r="A149" t="s">
        <v>679</v>
      </c>
    </row>
    <row r="150" spans="1:1" x14ac:dyDescent="0.25">
      <c r="A150" t="s">
        <v>680</v>
      </c>
    </row>
    <row r="151" spans="1:1" x14ac:dyDescent="0.25">
      <c r="A151" t="s">
        <v>681</v>
      </c>
    </row>
    <row r="152" spans="1:1" x14ac:dyDescent="0.25">
      <c r="A152" t="s">
        <v>682</v>
      </c>
    </row>
    <row r="153" spans="1:1" x14ac:dyDescent="0.25">
      <c r="A153" t="s">
        <v>683</v>
      </c>
    </row>
    <row r="154" spans="1:1" x14ac:dyDescent="0.25">
      <c r="A154" t="s">
        <v>684</v>
      </c>
    </row>
    <row r="155" spans="1:1" x14ac:dyDescent="0.25">
      <c r="A155" t="s">
        <v>685</v>
      </c>
    </row>
    <row r="156" spans="1:1" x14ac:dyDescent="0.25">
      <c r="A156" t="s">
        <v>686</v>
      </c>
    </row>
    <row r="157" spans="1:1" x14ac:dyDescent="0.25">
      <c r="A157" t="s">
        <v>687</v>
      </c>
    </row>
    <row r="158" spans="1:1" x14ac:dyDescent="0.25">
      <c r="A158" t="s">
        <v>688</v>
      </c>
    </row>
    <row r="159" spans="1:1" x14ac:dyDescent="0.25">
      <c r="A159" t="s">
        <v>689</v>
      </c>
    </row>
    <row r="160" spans="1:1" x14ac:dyDescent="0.25">
      <c r="A160" t="s">
        <v>690</v>
      </c>
    </row>
    <row r="161" spans="1:1" x14ac:dyDescent="0.25">
      <c r="A161" t="s">
        <v>691</v>
      </c>
    </row>
    <row r="162" spans="1:1" x14ac:dyDescent="0.25">
      <c r="A162" t="s">
        <v>702</v>
      </c>
    </row>
    <row r="163" spans="1:1" x14ac:dyDescent="0.25">
      <c r="A163" t="s">
        <v>693</v>
      </c>
    </row>
    <row r="164" spans="1:1" x14ac:dyDescent="0.25">
      <c r="A164" t="s">
        <v>694</v>
      </c>
    </row>
    <row r="165" spans="1:1" x14ac:dyDescent="0.25">
      <c r="A165" t="s">
        <v>695</v>
      </c>
    </row>
    <row r="166" spans="1:1" x14ac:dyDescent="0.25">
      <c r="A166" t="s">
        <v>696</v>
      </c>
    </row>
    <row r="167" spans="1:1" x14ac:dyDescent="0.25">
      <c r="A167" t="s">
        <v>703</v>
      </c>
    </row>
    <row r="168" spans="1:1" x14ac:dyDescent="0.25">
      <c r="A168" t="s">
        <v>697</v>
      </c>
    </row>
    <row r="169" spans="1:1" x14ac:dyDescent="0.25">
      <c r="A169" t="s">
        <v>698</v>
      </c>
    </row>
    <row r="170" spans="1:1" x14ac:dyDescent="0.25">
      <c r="A170" t="s">
        <v>704</v>
      </c>
    </row>
    <row r="171" spans="1:1" x14ac:dyDescent="0.25">
      <c r="A171" t="s">
        <v>699</v>
      </c>
    </row>
    <row r="172" spans="1:1" x14ac:dyDescent="0.25">
      <c r="A172" t="s">
        <v>700</v>
      </c>
    </row>
    <row r="173" spans="1:1" x14ac:dyDescent="0.25">
      <c r="A173" t="s">
        <v>701</v>
      </c>
    </row>
    <row r="174" spans="1:1" x14ac:dyDescent="0.25">
      <c r="A174" t="s">
        <v>922</v>
      </c>
    </row>
    <row r="175" spans="1:1" x14ac:dyDescent="0.25">
      <c r="A175" t="s">
        <v>920</v>
      </c>
    </row>
    <row r="176" spans="1:1" x14ac:dyDescent="0.25">
      <c r="A176" t="s">
        <v>921</v>
      </c>
    </row>
    <row r="177" spans="1:1" x14ac:dyDescent="0.25">
      <c r="A177" t="s">
        <v>923</v>
      </c>
    </row>
    <row r="178" spans="1:1" x14ac:dyDescent="0.25">
      <c r="A178" t="s">
        <v>924</v>
      </c>
    </row>
    <row r="179" spans="1:1" x14ac:dyDescent="0.25">
      <c r="A179" t="s">
        <v>925</v>
      </c>
    </row>
    <row r="180" spans="1:1" x14ac:dyDescent="0.25">
      <c r="A180" t="s">
        <v>926</v>
      </c>
    </row>
    <row r="181" spans="1:1" x14ac:dyDescent="0.25">
      <c r="A181" t="s">
        <v>927</v>
      </c>
    </row>
    <row r="182" spans="1:1" x14ac:dyDescent="0.25">
      <c r="A182" t="s">
        <v>928</v>
      </c>
    </row>
    <row r="183" spans="1:1" x14ac:dyDescent="0.25">
      <c r="A183" t="s">
        <v>929</v>
      </c>
    </row>
    <row r="184" spans="1:1" x14ac:dyDescent="0.25">
      <c r="A184" t="s">
        <v>930</v>
      </c>
    </row>
    <row r="185" spans="1:1" x14ac:dyDescent="0.25">
      <c r="A185" t="s">
        <v>931</v>
      </c>
    </row>
    <row r="186" spans="1:1" x14ac:dyDescent="0.25">
      <c r="A186" t="s">
        <v>932</v>
      </c>
    </row>
    <row r="187" spans="1:1" x14ac:dyDescent="0.25">
      <c r="A187" t="s">
        <v>933</v>
      </c>
    </row>
    <row r="188" spans="1:1" x14ac:dyDescent="0.25">
      <c r="A188" t="s">
        <v>934</v>
      </c>
    </row>
    <row r="189" spans="1:1" x14ac:dyDescent="0.25">
      <c r="A189" t="s">
        <v>935</v>
      </c>
    </row>
    <row r="190" spans="1:1" x14ac:dyDescent="0.25">
      <c r="A190" t="s">
        <v>936</v>
      </c>
    </row>
    <row r="191" spans="1:1" x14ac:dyDescent="0.25">
      <c r="A191" t="s">
        <v>937</v>
      </c>
    </row>
    <row r="192" spans="1:1" x14ac:dyDescent="0.25">
      <c r="A192" t="s">
        <v>938</v>
      </c>
    </row>
    <row r="193" spans="1:1" x14ac:dyDescent="0.25">
      <c r="A193" t="s">
        <v>939</v>
      </c>
    </row>
    <row r="194" spans="1:1" x14ac:dyDescent="0.25">
      <c r="A194" t="s">
        <v>940</v>
      </c>
    </row>
    <row r="195" spans="1:1" x14ac:dyDescent="0.25">
      <c r="A195" t="s">
        <v>941</v>
      </c>
    </row>
    <row r="196" spans="1:1" x14ac:dyDescent="0.25">
      <c r="A196" t="s">
        <v>942</v>
      </c>
    </row>
    <row r="197" spans="1:1" x14ac:dyDescent="0.25">
      <c r="A197" t="s">
        <v>943</v>
      </c>
    </row>
    <row r="198" spans="1:1" x14ac:dyDescent="0.25">
      <c r="A198" t="s">
        <v>944</v>
      </c>
    </row>
    <row r="199" spans="1:1" x14ac:dyDescent="0.25">
      <c r="A199" t="s">
        <v>945</v>
      </c>
    </row>
    <row r="200" spans="1:1" x14ac:dyDescent="0.25">
      <c r="A200" t="s">
        <v>946</v>
      </c>
    </row>
    <row r="201" spans="1:1" x14ac:dyDescent="0.25">
      <c r="A201" t="s">
        <v>947</v>
      </c>
    </row>
    <row r="204" spans="1:1" x14ac:dyDescent="0.25">
      <c r="A204" s="155" t="s">
        <v>705</v>
      </c>
    </row>
    <row r="205" spans="1:1" x14ac:dyDescent="0.25">
      <c r="A205" t="s">
        <v>710</v>
      </c>
    </row>
    <row r="206" spans="1:1" x14ac:dyDescent="0.25">
      <c r="A206" t="s">
        <v>706</v>
      </c>
    </row>
    <row r="207" spans="1:1" x14ac:dyDescent="0.25">
      <c r="A207" t="s">
        <v>707</v>
      </c>
    </row>
    <row r="208" spans="1:1" x14ac:dyDescent="0.25">
      <c r="A208" s="125" t="s">
        <v>593</v>
      </c>
    </row>
    <row r="209" spans="1:1" x14ac:dyDescent="0.25">
      <c r="A209" t="s">
        <v>708</v>
      </c>
    </row>
    <row r="210" spans="1:1" x14ac:dyDescent="0.25">
      <c r="A210" t="s">
        <v>709</v>
      </c>
    </row>
    <row r="211" spans="1:1" x14ac:dyDescent="0.25">
      <c r="A211" t="s">
        <v>664</v>
      </c>
    </row>
    <row r="214" spans="1:1" x14ac:dyDescent="0.25">
      <c r="A214" s="155" t="s">
        <v>711</v>
      </c>
    </row>
    <row r="215" spans="1:1" x14ac:dyDescent="0.25">
      <c r="A215" t="s">
        <v>724</v>
      </c>
    </row>
    <row r="216" spans="1:1" x14ac:dyDescent="0.25">
      <c r="A216" t="s">
        <v>712</v>
      </c>
    </row>
    <row r="217" spans="1:1" x14ac:dyDescent="0.25">
      <c r="A217" t="s">
        <v>713</v>
      </c>
    </row>
    <row r="218" spans="1:1" x14ac:dyDescent="0.25">
      <c r="A218" t="s">
        <v>714</v>
      </c>
    </row>
    <row r="219" spans="1:1" x14ac:dyDescent="0.25">
      <c r="A219" t="s">
        <v>715</v>
      </c>
    </row>
    <row r="220" spans="1:1" x14ac:dyDescent="0.25">
      <c r="A220" s="125" t="s">
        <v>616</v>
      </c>
    </row>
    <row r="221" spans="1:1" x14ac:dyDescent="0.25">
      <c r="A221" t="s">
        <v>716</v>
      </c>
    </row>
    <row r="222" spans="1:1" x14ac:dyDescent="0.25">
      <c r="A222" t="s">
        <v>717</v>
      </c>
    </row>
    <row r="223" spans="1:1" x14ac:dyDescent="0.25">
      <c r="A223" t="s">
        <v>718</v>
      </c>
    </row>
    <row r="224" spans="1:1" x14ac:dyDescent="0.25">
      <c r="A224" t="s">
        <v>719</v>
      </c>
    </row>
    <row r="225" spans="1:1" x14ac:dyDescent="0.25">
      <c r="A225" t="s">
        <v>720</v>
      </c>
    </row>
    <row r="226" spans="1:1" x14ac:dyDescent="0.25">
      <c r="A226" t="s">
        <v>721</v>
      </c>
    </row>
    <row r="227" spans="1:1" x14ac:dyDescent="0.25">
      <c r="A227" t="s">
        <v>722</v>
      </c>
    </row>
    <row r="228" spans="1:1" x14ac:dyDescent="0.25">
      <c r="A228" t="s">
        <v>723</v>
      </c>
    </row>
    <row r="231" spans="1:1" x14ac:dyDescent="0.25">
      <c r="A231" s="155" t="s">
        <v>758</v>
      </c>
    </row>
    <row r="232" spans="1:1" x14ac:dyDescent="0.25">
      <c r="A232" t="s">
        <v>756</v>
      </c>
    </row>
    <row r="233" spans="1:1" x14ac:dyDescent="0.25">
      <c r="A233" t="s">
        <v>726</v>
      </c>
    </row>
    <row r="234" spans="1:1" x14ac:dyDescent="0.25">
      <c r="A234" t="s">
        <v>727</v>
      </c>
    </row>
    <row r="235" spans="1:1" x14ac:dyDescent="0.25">
      <c r="A235" t="s">
        <v>728</v>
      </c>
    </row>
    <row r="236" spans="1:1" x14ac:dyDescent="0.25">
      <c r="A236" t="s">
        <v>729</v>
      </c>
    </row>
    <row r="237" spans="1:1" x14ac:dyDescent="0.25">
      <c r="A237" s="125" t="s">
        <v>593</v>
      </c>
    </row>
    <row r="238" spans="1:1" x14ac:dyDescent="0.25">
      <c r="A238" t="s">
        <v>730</v>
      </c>
    </row>
    <row r="239" spans="1:1" x14ac:dyDescent="0.25">
      <c r="A239" t="s">
        <v>731</v>
      </c>
    </row>
    <row r="240" spans="1:1" x14ac:dyDescent="0.25">
      <c r="A240" t="s">
        <v>732</v>
      </c>
    </row>
    <row r="241" spans="1:1" x14ac:dyDescent="0.25">
      <c r="A241" t="s">
        <v>733</v>
      </c>
    </row>
    <row r="242" spans="1:1" x14ac:dyDescent="0.25">
      <c r="A242" t="s">
        <v>734</v>
      </c>
    </row>
    <row r="243" spans="1:1" x14ac:dyDescent="0.25">
      <c r="A243" t="s">
        <v>735</v>
      </c>
    </row>
    <row r="244" spans="1:1" x14ac:dyDescent="0.25">
      <c r="A244" t="s">
        <v>736</v>
      </c>
    </row>
    <row r="245" spans="1:1" x14ac:dyDescent="0.25">
      <c r="A245" t="s">
        <v>737</v>
      </c>
    </row>
    <row r="246" spans="1:1" x14ac:dyDescent="0.25">
      <c r="A246" t="s">
        <v>738</v>
      </c>
    </row>
    <row r="247" spans="1:1" x14ac:dyDescent="0.25">
      <c r="A247" t="s">
        <v>739</v>
      </c>
    </row>
    <row r="248" spans="1:1" x14ac:dyDescent="0.25">
      <c r="A248" t="s">
        <v>740</v>
      </c>
    </row>
    <row r="249" spans="1:1" x14ac:dyDescent="0.25">
      <c r="A249" t="s">
        <v>741</v>
      </c>
    </row>
    <row r="250" spans="1:1" x14ac:dyDescent="0.25">
      <c r="A250" t="s">
        <v>742</v>
      </c>
    </row>
    <row r="251" spans="1:1" x14ac:dyDescent="0.25">
      <c r="A251" t="s">
        <v>743</v>
      </c>
    </row>
    <row r="252" spans="1:1" x14ac:dyDescent="0.25">
      <c r="A252" t="s">
        <v>744</v>
      </c>
    </row>
    <row r="253" spans="1:1" x14ac:dyDescent="0.25">
      <c r="A253" t="s">
        <v>745</v>
      </c>
    </row>
    <row r="254" spans="1:1" x14ac:dyDescent="0.25">
      <c r="A254" t="s">
        <v>746</v>
      </c>
    </row>
    <row r="255" spans="1:1" x14ac:dyDescent="0.25">
      <c r="A255" t="s">
        <v>747</v>
      </c>
    </row>
    <row r="256" spans="1:1" x14ac:dyDescent="0.25">
      <c r="A256" t="s">
        <v>748</v>
      </c>
    </row>
    <row r="257" spans="1:1" x14ac:dyDescent="0.25">
      <c r="A257" t="s">
        <v>749</v>
      </c>
    </row>
    <row r="258" spans="1:1" x14ac:dyDescent="0.25">
      <c r="A258" t="s">
        <v>750</v>
      </c>
    </row>
    <row r="259" spans="1:1" x14ac:dyDescent="0.25">
      <c r="A259" t="s">
        <v>751</v>
      </c>
    </row>
    <row r="260" spans="1:1" x14ac:dyDescent="0.25">
      <c r="A260" t="s">
        <v>752</v>
      </c>
    </row>
    <row r="261" spans="1:1" x14ac:dyDescent="0.25">
      <c r="A261" t="s">
        <v>753</v>
      </c>
    </row>
    <row r="262" spans="1:1" x14ac:dyDescent="0.25">
      <c r="A262" t="s">
        <v>754</v>
      </c>
    </row>
    <row r="263" spans="1:1" x14ac:dyDescent="0.25">
      <c r="A263" t="s">
        <v>755</v>
      </c>
    </row>
    <row r="266" spans="1:1" x14ac:dyDescent="0.25">
      <c r="A266" s="155" t="s">
        <v>766</v>
      </c>
    </row>
    <row r="267" spans="1:1" x14ac:dyDescent="0.25">
      <c r="A267" t="s">
        <v>765</v>
      </c>
    </row>
    <row r="268" spans="1:1" x14ac:dyDescent="0.25">
      <c r="A268" t="s">
        <v>759</v>
      </c>
    </row>
    <row r="269" spans="1:1" x14ac:dyDescent="0.25">
      <c r="A269" t="s">
        <v>760</v>
      </c>
    </row>
    <row r="270" spans="1:1" x14ac:dyDescent="0.25">
      <c r="A270" t="s">
        <v>761</v>
      </c>
    </row>
    <row r="271" spans="1:1" x14ac:dyDescent="0.25">
      <c r="A271" t="s">
        <v>762</v>
      </c>
    </row>
    <row r="272" spans="1:1" x14ac:dyDescent="0.25">
      <c r="A272" t="s">
        <v>763</v>
      </c>
    </row>
    <row r="273" spans="1:1" x14ac:dyDescent="0.25">
      <c r="A273" t="s">
        <v>764</v>
      </c>
    </row>
    <row r="276" spans="1:1" x14ac:dyDescent="0.25">
      <c r="A276" s="155" t="s">
        <v>971</v>
      </c>
    </row>
    <row r="277" spans="1:1" x14ac:dyDescent="0.25">
      <c r="A277" t="s">
        <v>774</v>
      </c>
    </row>
    <row r="278" spans="1:1" x14ac:dyDescent="0.25">
      <c r="A278" t="s">
        <v>768</v>
      </c>
    </row>
    <row r="279" spans="1:1" x14ac:dyDescent="0.25">
      <c r="A279" t="s">
        <v>769</v>
      </c>
    </row>
    <row r="280" spans="1:1" x14ac:dyDescent="0.25">
      <c r="A280" t="s">
        <v>770</v>
      </c>
    </row>
    <row r="281" spans="1:1" x14ac:dyDescent="0.25">
      <c r="A281" t="s">
        <v>771</v>
      </c>
    </row>
    <row r="282" spans="1:1" x14ac:dyDescent="0.25">
      <c r="A282" t="s">
        <v>772</v>
      </c>
    </row>
    <row r="283" spans="1:1" x14ac:dyDescent="0.25">
      <c r="A283" t="s">
        <v>773</v>
      </c>
    </row>
    <row r="286" spans="1:1" x14ac:dyDescent="0.25">
      <c r="A286" s="155" t="s">
        <v>775</v>
      </c>
    </row>
    <row r="287" spans="1:1" x14ac:dyDescent="0.25">
      <c r="A287" t="s">
        <v>789</v>
      </c>
    </row>
    <row r="288" spans="1:1" x14ac:dyDescent="0.25">
      <c r="A288" t="s">
        <v>776</v>
      </c>
    </row>
    <row r="289" spans="1:1" x14ac:dyDescent="0.25">
      <c r="A289" t="s">
        <v>777</v>
      </c>
    </row>
    <row r="290" spans="1:1" x14ac:dyDescent="0.25">
      <c r="A290" t="s">
        <v>778</v>
      </c>
    </row>
    <row r="291" spans="1:1" x14ac:dyDescent="0.25">
      <c r="A291" t="s">
        <v>779</v>
      </c>
    </row>
    <row r="292" spans="1:1" x14ac:dyDescent="0.25">
      <c r="A292" t="s">
        <v>780</v>
      </c>
    </row>
    <row r="293" spans="1:1" x14ac:dyDescent="0.25">
      <c r="A293" t="s">
        <v>781</v>
      </c>
    </row>
    <row r="294" spans="1:1" x14ac:dyDescent="0.25">
      <c r="A294" t="s">
        <v>782</v>
      </c>
    </row>
    <row r="295" spans="1:1" x14ac:dyDescent="0.25">
      <c r="A295" t="s">
        <v>783</v>
      </c>
    </row>
    <row r="296" spans="1:1" x14ac:dyDescent="0.25">
      <c r="A296" t="s">
        <v>784</v>
      </c>
    </row>
    <row r="297" spans="1:1" x14ac:dyDescent="0.25">
      <c r="A297" t="s">
        <v>785</v>
      </c>
    </row>
    <row r="298" spans="1:1" x14ac:dyDescent="0.25">
      <c r="A298" t="s">
        <v>786</v>
      </c>
    </row>
    <row r="299" spans="1:1" x14ac:dyDescent="0.25">
      <c r="A299" t="s">
        <v>787</v>
      </c>
    </row>
    <row r="300" spans="1:1" x14ac:dyDescent="0.25">
      <c r="A300" t="s">
        <v>788</v>
      </c>
    </row>
    <row r="301" spans="1:1" x14ac:dyDescent="0.25">
      <c r="A301" t="s">
        <v>793</v>
      </c>
    </row>
    <row r="302" spans="1:1" x14ac:dyDescent="0.25">
      <c r="A302" t="s">
        <v>790</v>
      </c>
    </row>
    <row r="303" spans="1:1" x14ac:dyDescent="0.25">
      <c r="A303" t="s">
        <v>791</v>
      </c>
    </row>
    <row r="304" spans="1:1" x14ac:dyDescent="0.25">
      <c r="A304" t="s">
        <v>792</v>
      </c>
    </row>
    <row r="307" spans="1:1" x14ac:dyDescent="0.25">
      <c r="A307" s="155" t="s">
        <v>977</v>
      </c>
    </row>
    <row r="308" spans="1:1" x14ac:dyDescent="0.25">
      <c r="A308" t="s">
        <v>974</v>
      </c>
    </row>
    <row r="309" spans="1:1" x14ac:dyDescent="0.25">
      <c r="A309" t="s">
        <v>975</v>
      </c>
    </row>
    <row r="310" spans="1:1" x14ac:dyDescent="0.25">
      <c r="A310" t="s">
        <v>976</v>
      </c>
    </row>
    <row r="311" spans="1:1" x14ac:dyDescent="0.25">
      <c r="A311" t="s">
        <v>973</v>
      </c>
    </row>
    <row r="312" spans="1:1" x14ac:dyDescent="0.25">
      <c r="A312" s="125" t="s">
        <v>989</v>
      </c>
    </row>
    <row r="314" spans="1:1" x14ac:dyDescent="0.25">
      <c r="A314" s="155" t="s">
        <v>831</v>
      </c>
    </row>
    <row r="315" spans="1:1" x14ac:dyDescent="0.25">
      <c r="A315" t="s">
        <v>832</v>
      </c>
    </row>
    <row r="316" spans="1:1" x14ac:dyDescent="0.25">
      <c r="A316" t="s">
        <v>796</v>
      </c>
    </row>
    <row r="317" spans="1:1" x14ac:dyDescent="0.25">
      <c r="A317" t="s">
        <v>797</v>
      </c>
    </row>
    <row r="318" spans="1:1" x14ac:dyDescent="0.25">
      <c r="A318" t="s">
        <v>798</v>
      </c>
    </row>
    <row r="319" spans="1:1" x14ac:dyDescent="0.25">
      <c r="A319" t="s">
        <v>799</v>
      </c>
    </row>
    <row r="320" spans="1:1" x14ac:dyDescent="0.25">
      <c r="A320" t="s">
        <v>800</v>
      </c>
    </row>
    <row r="321" spans="1:1" x14ac:dyDescent="0.25">
      <c r="A321" t="s">
        <v>801</v>
      </c>
    </row>
    <row r="322" spans="1:1" x14ac:dyDescent="0.25">
      <c r="A322" s="125" t="s">
        <v>616</v>
      </c>
    </row>
    <row r="323" spans="1:1" x14ac:dyDescent="0.25">
      <c r="A323" t="s">
        <v>802</v>
      </c>
    </row>
    <row r="324" spans="1:1" x14ac:dyDescent="0.25">
      <c r="A324" t="s">
        <v>803</v>
      </c>
    </row>
    <row r="325" spans="1:1" x14ac:dyDescent="0.25">
      <c r="A325" t="s">
        <v>804</v>
      </c>
    </row>
    <row r="326" spans="1:1" x14ac:dyDescent="0.25">
      <c r="A326" t="s">
        <v>805</v>
      </c>
    </row>
    <row r="327" spans="1:1" x14ac:dyDescent="0.25">
      <c r="A327" t="s">
        <v>806</v>
      </c>
    </row>
    <row r="328" spans="1:1" x14ac:dyDescent="0.25">
      <c r="A328" t="s">
        <v>807</v>
      </c>
    </row>
    <row r="329" spans="1:1" x14ac:dyDescent="0.25">
      <c r="A329" t="s">
        <v>808</v>
      </c>
    </row>
    <row r="330" spans="1:1" x14ac:dyDescent="0.25">
      <c r="A330" t="s">
        <v>809</v>
      </c>
    </row>
    <row r="331" spans="1:1" x14ac:dyDescent="0.25">
      <c r="A331" t="s">
        <v>810</v>
      </c>
    </row>
    <row r="332" spans="1:1" x14ac:dyDescent="0.25">
      <c r="A332" t="s">
        <v>811</v>
      </c>
    </row>
    <row r="333" spans="1:1" x14ac:dyDescent="0.25">
      <c r="A333" t="s">
        <v>812</v>
      </c>
    </row>
    <row r="334" spans="1:1" x14ac:dyDescent="0.25">
      <c r="A334" t="s">
        <v>813</v>
      </c>
    </row>
    <row r="335" spans="1:1" x14ac:dyDescent="0.25">
      <c r="A335" t="s">
        <v>814</v>
      </c>
    </row>
    <row r="336" spans="1:1" x14ac:dyDescent="0.25">
      <c r="A336" t="s">
        <v>815</v>
      </c>
    </row>
    <row r="337" spans="1:1" x14ac:dyDescent="0.25">
      <c r="A337" t="s">
        <v>816</v>
      </c>
    </row>
    <row r="338" spans="1:1" x14ac:dyDescent="0.25">
      <c r="A338" t="s">
        <v>817</v>
      </c>
    </row>
    <row r="339" spans="1:1" x14ac:dyDescent="0.25">
      <c r="A339" t="s">
        <v>818</v>
      </c>
    </row>
    <row r="340" spans="1:1" x14ac:dyDescent="0.25">
      <c r="A340" t="s">
        <v>819</v>
      </c>
    </row>
    <row r="341" spans="1:1" x14ac:dyDescent="0.25">
      <c r="A341" t="s">
        <v>820</v>
      </c>
    </row>
    <row r="342" spans="1:1" x14ac:dyDescent="0.25">
      <c r="A342" t="s">
        <v>821</v>
      </c>
    </row>
    <row r="343" spans="1:1" x14ac:dyDescent="0.25">
      <c r="A343" s="125" t="s">
        <v>593</v>
      </c>
    </row>
    <row r="344" spans="1:1" x14ac:dyDescent="0.25">
      <c r="A344" t="s">
        <v>822</v>
      </c>
    </row>
    <row r="345" spans="1:1" x14ac:dyDescent="0.25">
      <c r="A345" t="s">
        <v>823</v>
      </c>
    </row>
    <row r="346" spans="1:1" x14ac:dyDescent="0.25">
      <c r="A346" t="s">
        <v>824</v>
      </c>
    </row>
    <row r="347" spans="1:1" x14ac:dyDescent="0.25">
      <c r="A347" t="s">
        <v>825</v>
      </c>
    </row>
    <row r="348" spans="1:1" x14ac:dyDescent="0.25">
      <c r="A348" t="s">
        <v>826</v>
      </c>
    </row>
    <row r="349" spans="1:1" x14ac:dyDescent="0.25">
      <c r="A349" t="s">
        <v>827</v>
      </c>
    </row>
    <row r="350" spans="1:1" x14ac:dyDescent="0.25">
      <c r="A350" t="s">
        <v>828</v>
      </c>
    </row>
    <row r="351" spans="1:1" x14ac:dyDescent="0.25">
      <c r="A351" t="s">
        <v>829</v>
      </c>
    </row>
    <row r="352" spans="1:1" x14ac:dyDescent="0.25">
      <c r="A352" t="s">
        <v>830</v>
      </c>
    </row>
    <row r="355" spans="1:1" x14ac:dyDescent="0.25">
      <c r="A355" s="155" t="s">
        <v>972</v>
      </c>
    </row>
    <row r="356" spans="1:1" x14ac:dyDescent="0.25">
      <c r="A356" s="125" t="s">
        <v>979</v>
      </c>
    </row>
    <row r="357" spans="1:1" x14ac:dyDescent="0.25">
      <c r="A357" t="s">
        <v>981</v>
      </c>
    </row>
    <row r="358" spans="1:1" x14ac:dyDescent="0.25">
      <c r="A358" t="s">
        <v>982</v>
      </c>
    </row>
    <row r="359" spans="1:1" x14ac:dyDescent="0.25">
      <c r="A359" t="s">
        <v>983</v>
      </c>
    </row>
    <row r="360" spans="1:1" x14ac:dyDescent="0.25">
      <c r="A360" t="s">
        <v>984</v>
      </c>
    </row>
    <row r="361" spans="1:1" x14ac:dyDescent="0.25">
      <c r="A361" s="125" t="s">
        <v>980</v>
      </c>
    </row>
    <row r="362" spans="1:1" x14ac:dyDescent="0.25">
      <c r="A362" t="s">
        <v>985</v>
      </c>
    </row>
    <row r="363" spans="1:1" x14ac:dyDescent="0.25">
      <c r="A363" t="s">
        <v>986</v>
      </c>
    </row>
    <row r="364" spans="1:1" x14ac:dyDescent="0.25">
      <c r="A364" t="s">
        <v>987</v>
      </c>
    </row>
    <row r="365" spans="1:1" x14ac:dyDescent="0.25">
      <c r="A365" t="s">
        <v>988</v>
      </c>
    </row>
    <row r="366" spans="1:1" x14ac:dyDescent="0.25">
      <c r="A366" s="125" t="s">
        <v>978</v>
      </c>
    </row>
    <row r="369" spans="1:1" x14ac:dyDescent="0.25">
      <c r="A369" s="155" t="s">
        <v>349</v>
      </c>
    </row>
    <row r="370" spans="1:1" x14ac:dyDescent="0.25">
      <c r="A370" t="s">
        <v>849</v>
      </c>
    </row>
    <row r="371" spans="1:1" x14ac:dyDescent="0.25">
      <c r="A371" t="s">
        <v>843</v>
      </c>
    </row>
    <row r="372" spans="1:1" x14ac:dyDescent="0.25">
      <c r="A372" t="s">
        <v>844</v>
      </c>
    </row>
    <row r="373" spans="1:1" x14ac:dyDescent="0.25">
      <c r="A373" t="s">
        <v>845</v>
      </c>
    </row>
    <row r="374" spans="1:1" x14ac:dyDescent="0.25">
      <c r="A374" t="s">
        <v>846</v>
      </c>
    </row>
    <row r="375" spans="1:1" x14ac:dyDescent="0.25">
      <c r="A375" t="s">
        <v>847</v>
      </c>
    </row>
    <row r="376" spans="1:1" x14ac:dyDescent="0.25">
      <c r="A376" t="s">
        <v>848</v>
      </c>
    </row>
    <row r="379" spans="1:1" x14ac:dyDescent="0.25">
      <c r="A379" s="155" t="s">
        <v>850</v>
      </c>
    </row>
    <row r="380" spans="1:1" x14ac:dyDescent="0.25">
      <c r="A380" t="s">
        <v>864</v>
      </c>
    </row>
    <row r="381" spans="1:1" x14ac:dyDescent="0.25">
      <c r="A381" t="s">
        <v>851</v>
      </c>
    </row>
    <row r="382" spans="1:1" x14ac:dyDescent="0.25">
      <c r="A382" t="s">
        <v>852</v>
      </c>
    </row>
    <row r="383" spans="1:1" x14ac:dyDescent="0.25">
      <c r="A383" t="s">
        <v>853</v>
      </c>
    </row>
    <row r="384" spans="1:1" x14ac:dyDescent="0.25">
      <c r="A384" s="125" t="s">
        <v>593</v>
      </c>
    </row>
    <row r="385" spans="1:1" x14ac:dyDescent="0.25">
      <c r="A385" t="s">
        <v>854</v>
      </c>
    </row>
    <row r="386" spans="1:1" x14ac:dyDescent="0.25">
      <c r="A386" t="s">
        <v>855</v>
      </c>
    </row>
    <row r="387" spans="1:1" x14ac:dyDescent="0.25">
      <c r="A387" t="s">
        <v>856</v>
      </c>
    </row>
    <row r="388" spans="1:1" x14ac:dyDescent="0.25">
      <c r="A388" t="s">
        <v>857</v>
      </c>
    </row>
    <row r="389" spans="1:1" x14ac:dyDescent="0.25">
      <c r="A389" t="s">
        <v>865</v>
      </c>
    </row>
    <row r="390" spans="1:1" x14ac:dyDescent="0.25">
      <c r="A390" t="s">
        <v>858</v>
      </c>
    </row>
    <row r="391" spans="1:1" x14ac:dyDescent="0.25">
      <c r="A391" t="s">
        <v>859</v>
      </c>
    </row>
    <row r="392" spans="1:1" x14ac:dyDescent="0.25">
      <c r="A392" t="s">
        <v>860</v>
      </c>
    </row>
    <row r="393" spans="1:1" x14ac:dyDescent="0.25">
      <c r="A393" t="s">
        <v>861</v>
      </c>
    </row>
    <row r="394" spans="1:1" x14ac:dyDescent="0.25">
      <c r="A394" t="s">
        <v>862</v>
      </c>
    </row>
    <row r="395" spans="1:1" x14ac:dyDescent="0.25">
      <c r="A395" t="s">
        <v>863</v>
      </c>
    </row>
    <row r="398" spans="1:1" x14ac:dyDescent="0.25">
      <c r="A398" s="155" t="s">
        <v>878</v>
      </c>
    </row>
    <row r="399" spans="1:1" x14ac:dyDescent="0.25">
      <c r="A399" t="s">
        <v>877</v>
      </c>
    </row>
    <row r="400" spans="1:1" x14ac:dyDescent="0.25">
      <c r="A400" t="s">
        <v>866</v>
      </c>
    </row>
    <row r="401" spans="1:1" x14ac:dyDescent="0.25">
      <c r="A401" t="s">
        <v>867</v>
      </c>
    </row>
    <row r="402" spans="1:1" x14ac:dyDescent="0.25">
      <c r="A402" t="s">
        <v>868</v>
      </c>
    </row>
    <row r="403" spans="1:1" x14ac:dyDescent="0.25">
      <c r="A403" t="s">
        <v>869</v>
      </c>
    </row>
    <row r="404" spans="1:1" x14ac:dyDescent="0.25">
      <c r="A404" t="s">
        <v>870</v>
      </c>
    </row>
    <row r="405" spans="1:1" x14ac:dyDescent="0.25">
      <c r="A405" t="s">
        <v>871</v>
      </c>
    </row>
    <row r="406" spans="1:1" x14ac:dyDescent="0.25">
      <c r="A406" t="s">
        <v>872</v>
      </c>
    </row>
    <row r="407" spans="1:1" x14ac:dyDescent="0.25">
      <c r="A407" t="s">
        <v>873</v>
      </c>
    </row>
    <row r="408" spans="1:1" x14ac:dyDescent="0.25">
      <c r="A408" t="s">
        <v>874</v>
      </c>
    </row>
    <row r="409" spans="1:1" x14ac:dyDescent="0.25">
      <c r="A409" t="s">
        <v>875</v>
      </c>
    </row>
    <row r="410" spans="1:1" x14ac:dyDescent="0.25">
      <c r="A410" t="s">
        <v>876</v>
      </c>
    </row>
    <row r="413" spans="1:1" x14ac:dyDescent="0.25">
      <c r="A413" s="155" t="s">
        <v>879</v>
      </c>
    </row>
    <row r="414" spans="1:1" x14ac:dyDescent="0.25">
      <c r="A414" t="s">
        <v>887</v>
      </c>
    </row>
    <row r="415" spans="1:1" x14ac:dyDescent="0.25">
      <c r="A415" t="s">
        <v>880</v>
      </c>
    </row>
    <row r="416" spans="1:1" x14ac:dyDescent="0.25">
      <c r="A416" t="s">
        <v>881</v>
      </c>
    </row>
    <row r="417" spans="1:1" x14ac:dyDescent="0.25">
      <c r="A417" t="s">
        <v>882</v>
      </c>
    </row>
    <row r="418" spans="1:1" x14ac:dyDescent="0.25">
      <c r="A418" t="s">
        <v>883</v>
      </c>
    </row>
    <row r="419" spans="1:1" x14ac:dyDescent="0.25">
      <c r="A419" t="s">
        <v>884</v>
      </c>
    </row>
    <row r="420" spans="1:1" x14ac:dyDescent="0.25">
      <c r="A420" t="s">
        <v>885</v>
      </c>
    </row>
    <row r="421" spans="1:1" x14ac:dyDescent="0.25">
      <c r="A421" t="s">
        <v>886</v>
      </c>
    </row>
    <row r="424" spans="1:1" x14ac:dyDescent="0.25">
      <c r="A424" s="155" t="s">
        <v>888</v>
      </c>
    </row>
    <row r="425" spans="1:1" x14ac:dyDescent="0.25">
      <c r="A425" t="s">
        <v>898</v>
      </c>
    </row>
    <row r="426" spans="1:1" x14ac:dyDescent="0.25">
      <c r="A426" t="s">
        <v>889</v>
      </c>
    </row>
    <row r="427" spans="1:1" x14ac:dyDescent="0.25">
      <c r="A427" t="s">
        <v>890</v>
      </c>
    </row>
    <row r="428" spans="1:1" x14ac:dyDescent="0.25">
      <c r="A428" t="s">
        <v>891</v>
      </c>
    </row>
    <row r="429" spans="1:1" x14ac:dyDescent="0.25">
      <c r="A429" t="s">
        <v>892</v>
      </c>
    </row>
    <row r="430" spans="1:1" x14ac:dyDescent="0.25">
      <c r="A430" t="s">
        <v>893</v>
      </c>
    </row>
    <row r="431" spans="1:1" x14ac:dyDescent="0.25">
      <c r="A431" t="s">
        <v>894</v>
      </c>
    </row>
    <row r="432" spans="1:1" x14ac:dyDescent="0.25">
      <c r="A432" t="s">
        <v>899</v>
      </c>
    </row>
    <row r="433" spans="1:1" x14ac:dyDescent="0.25">
      <c r="A433" t="s">
        <v>895</v>
      </c>
    </row>
    <row r="434" spans="1:1" x14ac:dyDescent="0.25">
      <c r="A434" t="s">
        <v>896</v>
      </c>
    </row>
    <row r="435" spans="1:1" ht="13.5" customHeight="1" x14ac:dyDescent="0.25">
      <c r="A435" t="s">
        <v>897</v>
      </c>
    </row>
    <row r="436" spans="1:1" ht="13.5" customHeight="1" x14ac:dyDescent="0.25"/>
    <row r="438" spans="1:1" x14ac:dyDescent="0.25">
      <c r="A438" s="155" t="s">
        <v>900</v>
      </c>
    </row>
    <row r="439" spans="1:1" x14ac:dyDescent="0.25">
      <c r="A439" t="s">
        <v>789</v>
      </c>
    </row>
    <row r="440" spans="1:1" x14ac:dyDescent="0.25">
      <c r="A440" t="s">
        <v>776</v>
      </c>
    </row>
    <row r="441" spans="1:1" x14ac:dyDescent="0.25">
      <c r="A441" t="s">
        <v>777</v>
      </c>
    </row>
    <row r="442" spans="1:1" x14ac:dyDescent="0.25">
      <c r="A442" t="s">
        <v>778</v>
      </c>
    </row>
    <row r="443" spans="1:1" x14ac:dyDescent="0.25">
      <c r="A443" t="s">
        <v>779</v>
      </c>
    </row>
    <row r="444" spans="1:1" x14ac:dyDescent="0.25">
      <c r="A444" t="s">
        <v>780</v>
      </c>
    </row>
    <row r="445" spans="1:1" x14ac:dyDescent="0.25">
      <c r="A445" t="s">
        <v>781</v>
      </c>
    </row>
    <row r="446" spans="1:1" x14ac:dyDescent="0.25">
      <c r="A446" t="s">
        <v>782</v>
      </c>
    </row>
    <row r="447" spans="1:1" x14ac:dyDescent="0.25">
      <c r="A447" t="s">
        <v>783</v>
      </c>
    </row>
    <row r="448" spans="1:1" x14ac:dyDescent="0.25">
      <c r="A448" t="s">
        <v>784</v>
      </c>
    </row>
    <row r="449" spans="1:1" x14ac:dyDescent="0.25">
      <c r="A449" t="s">
        <v>785</v>
      </c>
    </row>
    <row r="450" spans="1:1" x14ac:dyDescent="0.25">
      <c r="A450" t="s">
        <v>786</v>
      </c>
    </row>
    <row r="451" spans="1:1" x14ac:dyDescent="0.25">
      <c r="A451" t="s">
        <v>902</v>
      </c>
    </row>
    <row r="452" spans="1:1" x14ac:dyDescent="0.25">
      <c r="A452" t="s">
        <v>788</v>
      </c>
    </row>
    <row r="453" spans="1:1" x14ac:dyDescent="0.25">
      <c r="A453" t="s">
        <v>903</v>
      </c>
    </row>
    <row r="454" spans="1:1" x14ac:dyDescent="0.25">
      <c r="A454" t="s">
        <v>768</v>
      </c>
    </row>
    <row r="455" spans="1:1" x14ac:dyDescent="0.25">
      <c r="A455" t="s">
        <v>769</v>
      </c>
    </row>
    <row r="456" spans="1:1" x14ac:dyDescent="0.25">
      <c r="A456" t="s">
        <v>770</v>
      </c>
    </row>
    <row r="457" spans="1:1" x14ac:dyDescent="0.25">
      <c r="A457" t="s">
        <v>771</v>
      </c>
    </row>
    <row r="458" spans="1:1" x14ac:dyDescent="0.25">
      <c r="A458" t="s">
        <v>772</v>
      </c>
    </row>
    <row r="459" spans="1:1" x14ac:dyDescent="0.25">
      <c r="A459" t="s">
        <v>901</v>
      </c>
    </row>
    <row r="462" spans="1:1" x14ac:dyDescent="0.25">
      <c r="A462" s="155" t="s">
        <v>905</v>
      </c>
    </row>
    <row r="463" spans="1:1" x14ac:dyDescent="0.25">
      <c r="A463" t="s">
        <v>919</v>
      </c>
    </row>
    <row r="464" spans="1:1" x14ac:dyDescent="0.25">
      <c r="A464" t="s">
        <v>906</v>
      </c>
    </row>
    <row r="465" spans="1:1" x14ac:dyDescent="0.25">
      <c r="A465" t="s">
        <v>907</v>
      </c>
    </row>
    <row r="466" spans="1:1" x14ac:dyDescent="0.25">
      <c r="A466" t="s">
        <v>908</v>
      </c>
    </row>
    <row r="467" spans="1:1" x14ac:dyDescent="0.25">
      <c r="A467" t="s">
        <v>909</v>
      </c>
    </row>
    <row r="468" spans="1:1" x14ac:dyDescent="0.25">
      <c r="A468" t="s">
        <v>910</v>
      </c>
    </row>
    <row r="469" spans="1:1" x14ac:dyDescent="0.25">
      <c r="A469" t="s">
        <v>911</v>
      </c>
    </row>
    <row r="470" spans="1:1" x14ac:dyDescent="0.25">
      <c r="A470" t="s">
        <v>912</v>
      </c>
    </row>
    <row r="471" spans="1:1" x14ac:dyDescent="0.25">
      <c r="A471" t="s">
        <v>913</v>
      </c>
    </row>
    <row r="472" spans="1:1" x14ac:dyDescent="0.25">
      <c r="A472" t="s">
        <v>914</v>
      </c>
    </row>
    <row r="473" spans="1:1" x14ac:dyDescent="0.25">
      <c r="A473" t="s">
        <v>915</v>
      </c>
    </row>
    <row r="474" spans="1:1" x14ac:dyDescent="0.25">
      <c r="A474" t="s">
        <v>916</v>
      </c>
    </row>
    <row r="475" spans="1:1" x14ac:dyDescent="0.25">
      <c r="A475" t="s">
        <v>917</v>
      </c>
    </row>
    <row r="476" spans="1:1" x14ac:dyDescent="0.25">
      <c r="A476" t="s">
        <v>918</v>
      </c>
    </row>
    <row r="477" spans="1:1" x14ac:dyDescent="0.25">
      <c r="A477" t="s">
        <v>913</v>
      </c>
    </row>
    <row r="480" spans="1:1" x14ac:dyDescent="0.25">
      <c r="A480" s="155" t="s">
        <v>948</v>
      </c>
    </row>
    <row r="481" spans="1:1" x14ac:dyDescent="0.25">
      <c r="A481" t="s">
        <v>864</v>
      </c>
    </row>
    <row r="482" spans="1:1" x14ac:dyDescent="0.25">
      <c r="A482" t="s">
        <v>851</v>
      </c>
    </row>
    <row r="483" spans="1:1" x14ac:dyDescent="0.25">
      <c r="A483" t="s">
        <v>852</v>
      </c>
    </row>
    <row r="484" spans="1:1" x14ac:dyDescent="0.25">
      <c r="A484" t="s">
        <v>853</v>
      </c>
    </row>
    <row r="485" spans="1:1" x14ac:dyDescent="0.25">
      <c r="A485" t="s">
        <v>593</v>
      </c>
    </row>
    <row r="486" spans="1:1" x14ac:dyDescent="0.25">
      <c r="A486" t="s">
        <v>854</v>
      </c>
    </row>
    <row r="487" spans="1:1" x14ac:dyDescent="0.25">
      <c r="A487" t="s">
        <v>855</v>
      </c>
    </row>
    <row r="488" spans="1:1" x14ac:dyDescent="0.25">
      <c r="A488" t="s">
        <v>856</v>
      </c>
    </row>
    <row r="489" spans="1:1" x14ac:dyDescent="0.25">
      <c r="A489" t="s">
        <v>857</v>
      </c>
    </row>
    <row r="492" spans="1:1" x14ac:dyDescent="0.25">
      <c r="A492" s="155" t="s">
        <v>951</v>
      </c>
    </row>
    <row r="493" spans="1:1" x14ac:dyDescent="0.25">
      <c r="A493" t="s">
        <v>647</v>
      </c>
    </row>
    <row r="494" spans="1:1" x14ac:dyDescent="0.25">
      <c r="A494" t="s">
        <v>642</v>
      </c>
    </row>
    <row r="495" spans="1:1" x14ac:dyDescent="0.25">
      <c r="A495" t="s">
        <v>643</v>
      </c>
    </row>
    <row r="496" spans="1:1" x14ac:dyDescent="0.25">
      <c r="A496" t="s">
        <v>644</v>
      </c>
    </row>
    <row r="497" spans="1:1" x14ac:dyDescent="0.25">
      <c r="A497" t="s">
        <v>645</v>
      </c>
    </row>
    <row r="498" spans="1:1" x14ac:dyDescent="0.25">
      <c r="A498" t="s">
        <v>593</v>
      </c>
    </row>
    <row r="499" spans="1:1" x14ac:dyDescent="0.25">
      <c r="A499" t="s">
        <v>646</v>
      </c>
    </row>
    <row r="500" spans="1:1" x14ac:dyDescent="0.25">
      <c r="A500" t="s">
        <v>950</v>
      </c>
    </row>
  </sheetData>
  <sheetProtection algorithmName="SHA-512" hashValue="nRt/vyait9C/taLac5dBIlUkyJw18/grvgwtL2YqjKrq3S5L/xLxUuc7BI7u2B3r1q2/EIhQdfgGvoYyyC8nWA==" saltValue="E2BWvaafIF3VIjCncu1bQ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1C4A-1AE7-46FD-AB9D-7F5A75D15D11}">
  <sheetPr>
    <tabColor theme="0"/>
  </sheetPr>
  <dimension ref="A1:R321"/>
  <sheetViews>
    <sheetView zoomScale="85" zoomScaleNormal="85" workbookViewId="0">
      <selection sqref="A1:F1"/>
    </sheetView>
  </sheetViews>
  <sheetFormatPr defaultRowHeight="15" x14ac:dyDescent="0.25"/>
  <sheetData>
    <row r="1" spans="1:18" ht="26.25" x14ac:dyDescent="0.25">
      <c r="A1" s="450" t="s">
        <v>370</v>
      </c>
      <c r="B1" s="450"/>
      <c r="C1" s="450"/>
      <c r="D1" s="450"/>
      <c r="E1" s="450"/>
      <c r="F1" s="450"/>
      <c r="G1" s="290" t="s">
        <v>456</v>
      </c>
    </row>
    <row r="2" spans="1:18" ht="26.25" x14ac:dyDescent="0.25">
      <c r="A2" s="162"/>
    </row>
    <row r="3" spans="1:18" ht="28.5" x14ac:dyDescent="0.45">
      <c r="A3" s="160" t="s">
        <v>148</v>
      </c>
      <c r="K3" s="451" t="s">
        <v>550</v>
      </c>
      <c r="L3" s="451"/>
      <c r="M3" s="451"/>
      <c r="N3" s="451"/>
      <c r="O3" s="451"/>
      <c r="P3" s="451"/>
      <c r="Q3" s="451"/>
      <c r="R3" s="451"/>
    </row>
    <row r="4" spans="1:18" ht="15.75" x14ac:dyDescent="0.25">
      <c r="A4" s="161" t="s">
        <v>149</v>
      </c>
    </row>
    <row r="5" spans="1:18" ht="15.75" x14ac:dyDescent="0.25">
      <c r="A5" s="161" t="s">
        <v>150</v>
      </c>
    </row>
    <row r="6" spans="1:18" ht="15.75" x14ac:dyDescent="0.25">
      <c r="A6" s="161" t="s">
        <v>151</v>
      </c>
    </row>
    <row r="7" spans="1:18" ht="15.75" x14ac:dyDescent="0.25">
      <c r="A7" s="161" t="s">
        <v>152</v>
      </c>
    </row>
    <row r="8" spans="1:18" ht="15.75" x14ac:dyDescent="0.25">
      <c r="A8" s="161" t="s">
        <v>153</v>
      </c>
    </row>
    <row r="9" spans="1:18" ht="15.75" x14ac:dyDescent="0.25">
      <c r="A9" s="161"/>
    </row>
    <row r="10" spans="1:18" ht="26.25" x14ac:dyDescent="0.25">
      <c r="A10" s="160" t="s">
        <v>154</v>
      </c>
    </row>
    <row r="11" spans="1:18" ht="15.75" x14ac:dyDescent="0.25">
      <c r="A11" s="161" t="s">
        <v>155</v>
      </c>
    </row>
    <row r="12" spans="1:18" ht="15.75" x14ac:dyDescent="0.25">
      <c r="A12" s="161" t="s">
        <v>156</v>
      </c>
    </row>
    <row r="13" spans="1:18" ht="15.75" x14ac:dyDescent="0.25">
      <c r="A13" s="161" t="s">
        <v>157</v>
      </c>
    </row>
    <row r="14" spans="1:18" ht="15.75" x14ac:dyDescent="0.25">
      <c r="A14" s="161" t="s">
        <v>151</v>
      </c>
    </row>
    <row r="15" spans="1:18" ht="15.75" x14ac:dyDescent="0.25">
      <c r="A15" s="161" t="s">
        <v>152</v>
      </c>
    </row>
    <row r="16" spans="1:18" ht="15.75" x14ac:dyDescent="0.25">
      <c r="A16" s="161" t="s">
        <v>153</v>
      </c>
    </row>
    <row r="17" spans="1:1" ht="15.75" x14ac:dyDescent="0.25">
      <c r="A17" s="161" t="s">
        <v>158</v>
      </c>
    </row>
    <row r="18" spans="1:1" ht="15.75" x14ac:dyDescent="0.25">
      <c r="A18" s="161" t="s">
        <v>159</v>
      </c>
    </row>
    <row r="19" spans="1:1" ht="15.75" x14ac:dyDescent="0.25">
      <c r="A19" s="161"/>
    </row>
    <row r="20" spans="1:1" ht="26.25" x14ac:dyDescent="0.25">
      <c r="A20" s="160" t="s">
        <v>160</v>
      </c>
    </row>
    <row r="21" spans="1:1" ht="15.75" x14ac:dyDescent="0.25">
      <c r="A21" s="161" t="s">
        <v>149</v>
      </c>
    </row>
    <row r="22" spans="1:1" ht="15.75" x14ac:dyDescent="0.25">
      <c r="A22" s="161" t="s">
        <v>150</v>
      </c>
    </row>
    <row r="23" spans="1:1" ht="15.75" x14ac:dyDescent="0.25">
      <c r="A23" s="161" t="s">
        <v>151</v>
      </c>
    </row>
    <row r="24" spans="1:1" ht="15.75" x14ac:dyDescent="0.25">
      <c r="A24" s="161" t="s">
        <v>152</v>
      </c>
    </row>
    <row r="25" spans="1:1" ht="15.75" x14ac:dyDescent="0.25">
      <c r="A25" s="161" t="s">
        <v>153</v>
      </c>
    </row>
    <row r="26" spans="1:1" ht="15.75" x14ac:dyDescent="0.25">
      <c r="A26" s="161" t="s">
        <v>155</v>
      </c>
    </row>
    <row r="27" spans="1:1" ht="15.75" x14ac:dyDescent="0.25">
      <c r="A27" s="161" t="s">
        <v>161</v>
      </c>
    </row>
    <row r="28" spans="1:1" ht="15.75" x14ac:dyDescent="0.25">
      <c r="A28" s="161"/>
    </row>
    <row r="29" spans="1:1" ht="26.25" x14ac:dyDescent="0.25">
      <c r="A29" s="160" t="s">
        <v>162</v>
      </c>
    </row>
    <row r="30" spans="1:1" ht="15.75" x14ac:dyDescent="0.25">
      <c r="A30" s="161" t="s">
        <v>163</v>
      </c>
    </row>
    <row r="31" spans="1:1" ht="15.75" x14ac:dyDescent="0.25">
      <c r="A31" s="161" t="s">
        <v>164</v>
      </c>
    </row>
    <row r="32" spans="1:1" ht="15.75" x14ac:dyDescent="0.25">
      <c r="A32" s="161" t="s">
        <v>165</v>
      </c>
    </row>
    <row r="33" spans="1:1" ht="15.75" x14ac:dyDescent="0.25">
      <c r="A33" s="161" t="s">
        <v>151</v>
      </c>
    </row>
    <row r="34" spans="1:1" ht="15.75" x14ac:dyDescent="0.25">
      <c r="A34" s="161" t="s">
        <v>152</v>
      </c>
    </row>
    <row r="35" spans="1:1" ht="15.75" x14ac:dyDescent="0.25">
      <c r="A35" s="161" t="s">
        <v>153</v>
      </c>
    </row>
    <row r="36" spans="1:1" ht="26.25" x14ac:dyDescent="0.25">
      <c r="A36" s="160"/>
    </row>
    <row r="37" spans="1:1" ht="26.25" x14ac:dyDescent="0.25">
      <c r="A37" s="160" t="s">
        <v>166</v>
      </c>
    </row>
    <row r="38" spans="1:1" ht="15.75" x14ac:dyDescent="0.25">
      <c r="A38" s="161" t="s">
        <v>167</v>
      </c>
    </row>
    <row r="39" spans="1:1" ht="15.75" x14ac:dyDescent="0.25">
      <c r="A39" s="161" t="s">
        <v>168</v>
      </c>
    </row>
    <row r="40" spans="1:1" ht="15.75" x14ac:dyDescent="0.25">
      <c r="A40" s="161" t="s">
        <v>169</v>
      </c>
    </row>
    <row r="41" spans="1:1" ht="15.75" x14ac:dyDescent="0.25">
      <c r="A41" s="161" t="s">
        <v>170</v>
      </c>
    </row>
    <row r="42" spans="1:1" ht="15.75" x14ac:dyDescent="0.25">
      <c r="A42" s="161" t="s">
        <v>171</v>
      </c>
    </row>
    <row r="43" spans="1:1" ht="15.75" x14ac:dyDescent="0.25">
      <c r="A43" s="161" t="s">
        <v>172</v>
      </c>
    </row>
    <row r="44" spans="1:1" ht="15.75" x14ac:dyDescent="0.25">
      <c r="A44" s="161"/>
    </row>
    <row r="45" spans="1:1" ht="26.25" x14ac:dyDescent="0.25">
      <c r="A45" s="160" t="s">
        <v>173</v>
      </c>
    </row>
    <row r="46" spans="1:1" ht="15.75" x14ac:dyDescent="0.25">
      <c r="A46" s="161" t="s">
        <v>155</v>
      </c>
    </row>
    <row r="47" spans="1:1" ht="15.75" x14ac:dyDescent="0.25">
      <c r="A47" s="161" t="s">
        <v>174</v>
      </c>
    </row>
    <row r="48" spans="1:1" ht="15.75" x14ac:dyDescent="0.25">
      <c r="A48" s="161" t="s">
        <v>175</v>
      </c>
    </row>
    <row r="49" spans="1:1" ht="15.75" x14ac:dyDescent="0.25">
      <c r="A49" s="161" t="s">
        <v>176</v>
      </c>
    </row>
    <row r="50" spans="1:1" ht="15.75" x14ac:dyDescent="0.25">
      <c r="A50" s="161" t="s">
        <v>170</v>
      </c>
    </row>
    <row r="51" spans="1:1" ht="15.75" x14ac:dyDescent="0.25">
      <c r="A51" s="161" t="s">
        <v>177</v>
      </c>
    </row>
    <row r="52" spans="1:1" ht="15.75" x14ac:dyDescent="0.25">
      <c r="A52" s="161" t="s">
        <v>165</v>
      </c>
    </row>
    <row r="53" spans="1:1" ht="15.75" x14ac:dyDescent="0.25">
      <c r="A53" s="161" t="s">
        <v>178</v>
      </c>
    </row>
    <row r="54" spans="1:1" ht="15.75" x14ac:dyDescent="0.25">
      <c r="A54" s="161" t="s">
        <v>179</v>
      </c>
    </row>
    <row r="55" spans="1:1" ht="15.75" x14ac:dyDescent="0.25">
      <c r="A55" s="161"/>
    </row>
    <row r="56" spans="1:1" ht="26.25" x14ac:dyDescent="0.25">
      <c r="A56" s="160" t="s">
        <v>180</v>
      </c>
    </row>
    <row r="57" spans="1:1" ht="15.75" x14ac:dyDescent="0.25">
      <c r="A57" s="161" t="s">
        <v>181</v>
      </c>
    </row>
    <row r="58" spans="1:1" ht="15.75" x14ac:dyDescent="0.25">
      <c r="A58" s="161" t="s">
        <v>182</v>
      </c>
    </row>
    <row r="59" spans="1:1" ht="15.75" x14ac:dyDescent="0.25">
      <c r="A59" s="161" t="s">
        <v>155</v>
      </c>
    </row>
    <row r="60" spans="1:1" ht="15.75" x14ac:dyDescent="0.25">
      <c r="A60" s="161" t="s">
        <v>183</v>
      </c>
    </row>
    <row r="61" spans="1:1" ht="15.75" x14ac:dyDescent="0.25">
      <c r="A61" s="161" t="s">
        <v>184</v>
      </c>
    </row>
    <row r="62" spans="1:1" ht="15.75" x14ac:dyDescent="0.25">
      <c r="A62" s="161" t="s">
        <v>177</v>
      </c>
    </row>
    <row r="63" spans="1:1" ht="15.75" x14ac:dyDescent="0.25">
      <c r="A63" s="161" t="s">
        <v>185</v>
      </c>
    </row>
    <row r="64" spans="1:1" ht="15.75" x14ac:dyDescent="0.25">
      <c r="A64" s="161"/>
    </row>
    <row r="65" spans="1:1" ht="26.25" x14ac:dyDescent="0.25">
      <c r="A65" s="160" t="s">
        <v>186</v>
      </c>
    </row>
    <row r="66" spans="1:1" ht="15.75" x14ac:dyDescent="0.25">
      <c r="A66" s="161" t="s">
        <v>187</v>
      </c>
    </row>
    <row r="67" spans="1:1" ht="15.75" x14ac:dyDescent="0.25">
      <c r="A67" s="161" t="s">
        <v>188</v>
      </c>
    </row>
    <row r="68" spans="1:1" ht="15.75" x14ac:dyDescent="0.25">
      <c r="A68" s="161" t="s">
        <v>189</v>
      </c>
    </row>
    <row r="69" spans="1:1" ht="15.75" x14ac:dyDescent="0.25">
      <c r="A69" s="161" t="s">
        <v>190</v>
      </c>
    </row>
    <row r="70" spans="1:1" ht="15.75" x14ac:dyDescent="0.25">
      <c r="A70" s="161" t="s">
        <v>191</v>
      </c>
    </row>
    <row r="71" spans="1:1" ht="15.75" x14ac:dyDescent="0.25">
      <c r="A71" s="161" t="s">
        <v>192</v>
      </c>
    </row>
    <row r="72" spans="1:1" ht="15.75" x14ac:dyDescent="0.25">
      <c r="A72" s="161" t="s">
        <v>193</v>
      </c>
    </row>
    <row r="73" spans="1:1" ht="15.75" x14ac:dyDescent="0.25">
      <c r="A73" s="161" t="s">
        <v>194</v>
      </c>
    </row>
    <row r="74" spans="1:1" ht="15.75" x14ac:dyDescent="0.25">
      <c r="A74" s="161" t="s">
        <v>185</v>
      </c>
    </row>
    <row r="75" spans="1:1" ht="15.75" x14ac:dyDescent="0.25">
      <c r="A75" s="161" t="s">
        <v>195</v>
      </c>
    </row>
    <row r="76" spans="1:1" ht="15.75" x14ac:dyDescent="0.25">
      <c r="A76" s="161"/>
    </row>
    <row r="77" spans="1:1" ht="26.25" x14ac:dyDescent="0.25">
      <c r="A77" s="160" t="s">
        <v>196</v>
      </c>
    </row>
    <row r="78" spans="1:1" ht="15.75" x14ac:dyDescent="0.25">
      <c r="A78" s="161" t="s">
        <v>197</v>
      </c>
    </row>
    <row r="79" spans="1:1" ht="15.75" x14ac:dyDescent="0.25">
      <c r="A79" s="161" t="s">
        <v>198</v>
      </c>
    </row>
    <row r="80" spans="1:1" ht="15.75" x14ac:dyDescent="0.25">
      <c r="A80" s="161" t="s">
        <v>199</v>
      </c>
    </row>
    <row r="81" spans="1:1" ht="15.75" x14ac:dyDescent="0.25">
      <c r="A81" s="161" t="s">
        <v>168</v>
      </c>
    </row>
    <row r="82" spans="1:1" ht="15.75" x14ac:dyDescent="0.25">
      <c r="A82" s="161" t="s">
        <v>200</v>
      </c>
    </row>
    <row r="83" spans="1:1" ht="15.75" x14ac:dyDescent="0.25">
      <c r="A83" s="161" t="s">
        <v>163</v>
      </c>
    </row>
    <row r="84" spans="1:1" ht="15.75" x14ac:dyDescent="0.25">
      <c r="A84" s="161"/>
    </row>
    <row r="85" spans="1:1" ht="26.25" x14ac:dyDescent="0.25">
      <c r="A85" s="160" t="s">
        <v>201</v>
      </c>
    </row>
    <row r="86" spans="1:1" ht="15.75" x14ac:dyDescent="0.25">
      <c r="A86" s="161" t="s">
        <v>165</v>
      </c>
    </row>
    <row r="87" spans="1:1" ht="15.75" x14ac:dyDescent="0.25">
      <c r="A87" s="161" t="s">
        <v>178</v>
      </c>
    </row>
    <row r="88" spans="1:1" ht="15.75" x14ac:dyDescent="0.25">
      <c r="A88" s="161" t="s">
        <v>177</v>
      </c>
    </row>
    <row r="89" spans="1:1" ht="15.75" x14ac:dyDescent="0.25">
      <c r="A89" s="161" t="s">
        <v>155</v>
      </c>
    </row>
    <row r="90" spans="1:1" ht="15.75" x14ac:dyDescent="0.25">
      <c r="A90" s="161" t="s">
        <v>202</v>
      </c>
    </row>
    <row r="91" spans="1:1" ht="15.75" x14ac:dyDescent="0.25">
      <c r="A91" s="161" t="s">
        <v>163</v>
      </c>
    </row>
    <row r="92" spans="1:1" ht="15.75" x14ac:dyDescent="0.25">
      <c r="A92" s="161" t="s">
        <v>164</v>
      </c>
    </row>
    <row r="93" spans="1:1" ht="15.75" x14ac:dyDescent="0.25">
      <c r="A93" s="161" t="s">
        <v>203</v>
      </c>
    </row>
    <row r="94" spans="1:1" ht="15.75" x14ac:dyDescent="0.25">
      <c r="A94" s="161" t="s">
        <v>204</v>
      </c>
    </row>
    <row r="95" spans="1:1" ht="15.75" x14ac:dyDescent="0.25">
      <c r="A95" s="161" t="s">
        <v>205</v>
      </c>
    </row>
    <row r="96" spans="1:1" ht="15.75" x14ac:dyDescent="0.25">
      <c r="A96" s="161" t="s">
        <v>206</v>
      </c>
    </row>
    <row r="97" spans="1:1" ht="15.75" x14ac:dyDescent="0.25">
      <c r="A97" s="161"/>
    </row>
    <row r="98" spans="1:1" ht="26.25" x14ac:dyDescent="0.25">
      <c r="A98" s="160" t="s">
        <v>207</v>
      </c>
    </row>
    <row r="99" spans="1:1" ht="15.75" x14ac:dyDescent="0.25">
      <c r="A99" s="161" t="s">
        <v>191</v>
      </c>
    </row>
    <row r="100" spans="1:1" ht="15.75" x14ac:dyDescent="0.25">
      <c r="A100" s="161" t="s">
        <v>208</v>
      </c>
    </row>
    <row r="101" spans="1:1" ht="15.75" x14ac:dyDescent="0.25">
      <c r="A101" s="161" t="s">
        <v>209</v>
      </c>
    </row>
    <row r="102" spans="1:1" ht="15.75" x14ac:dyDescent="0.25">
      <c r="A102" s="161" t="s">
        <v>210</v>
      </c>
    </row>
    <row r="103" spans="1:1" ht="15.75" x14ac:dyDescent="0.25">
      <c r="A103" s="161" t="s">
        <v>185</v>
      </c>
    </row>
    <row r="104" spans="1:1" ht="15.75" x14ac:dyDescent="0.25">
      <c r="A104" s="161" t="s">
        <v>211</v>
      </c>
    </row>
    <row r="105" spans="1:1" ht="15.75" x14ac:dyDescent="0.25">
      <c r="A105" s="161" t="s">
        <v>212</v>
      </c>
    </row>
    <row r="106" spans="1:1" ht="15.75" x14ac:dyDescent="0.25">
      <c r="A106" s="161" t="s">
        <v>195</v>
      </c>
    </row>
    <row r="107" spans="1:1" ht="15.75" x14ac:dyDescent="0.25">
      <c r="A107" s="161" t="s">
        <v>213</v>
      </c>
    </row>
    <row r="109" spans="1:1" ht="28.5" x14ac:dyDescent="0.25">
      <c r="A109" s="226" t="s">
        <v>104</v>
      </c>
    </row>
    <row r="110" spans="1:1" ht="28.5" x14ac:dyDescent="0.25">
      <c r="A110" s="226"/>
    </row>
    <row r="111" spans="1:1" ht="26.25" x14ac:dyDescent="0.25">
      <c r="A111" s="160" t="s">
        <v>281</v>
      </c>
    </row>
    <row r="112" spans="1:1" ht="15.75" x14ac:dyDescent="0.25">
      <c r="A112" s="161" t="s">
        <v>282</v>
      </c>
    </row>
    <row r="113" spans="1:1" ht="15.75" x14ac:dyDescent="0.25">
      <c r="A113" s="161" t="s">
        <v>283</v>
      </c>
    </row>
    <row r="114" spans="1:1" ht="15.75" x14ac:dyDescent="0.25">
      <c r="A114" s="161" t="s">
        <v>284</v>
      </c>
    </row>
    <row r="115" spans="1:1" ht="15.75" x14ac:dyDescent="0.25">
      <c r="A115" s="161" t="s">
        <v>285</v>
      </c>
    </row>
    <row r="116" spans="1:1" ht="15.75" x14ac:dyDescent="0.25">
      <c r="A116" s="161" t="s">
        <v>210</v>
      </c>
    </row>
    <row r="117" spans="1:1" ht="15.75" x14ac:dyDescent="0.25">
      <c r="A117" s="161" t="s">
        <v>286</v>
      </c>
    </row>
    <row r="118" spans="1:1" ht="15.75" x14ac:dyDescent="0.25">
      <c r="A118" s="161" t="s">
        <v>287</v>
      </c>
    </row>
    <row r="119" spans="1:1" ht="15.75" x14ac:dyDescent="0.25">
      <c r="A119" s="161" t="s">
        <v>288</v>
      </c>
    </row>
    <row r="120" spans="1:1" ht="15.75" x14ac:dyDescent="0.25">
      <c r="A120" s="161" t="s">
        <v>165</v>
      </c>
    </row>
    <row r="121" spans="1:1" ht="15.75" x14ac:dyDescent="0.25">
      <c r="A121" s="161" t="s">
        <v>289</v>
      </c>
    </row>
    <row r="122" spans="1:1" ht="15.75" x14ac:dyDescent="0.25">
      <c r="A122" s="161"/>
    </row>
    <row r="123" spans="1:1" ht="26.25" x14ac:dyDescent="0.25">
      <c r="A123" s="160" t="s">
        <v>290</v>
      </c>
    </row>
    <row r="124" spans="1:1" ht="15.75" x14ac:dyDescent="0.25">
      <c r="A124" s="161" t="s">
        <v>291</v>
      </c>
    </row>
    <row r="125" spans="1:1" ht="15.75" x14ac:dyDescent="0.25">
      <c r="A125" s="161" t="s">
        <v>292</v>
      </c>
    </row>
    <row r="126" spans="1:1" ht="15.75" x14ac:dyDescent="0.25">
      <c r="A126" s="161" t="s">
        <v>293</v>
      </c>
    </row>
    <row r="127" spans="1:1" ht="15.75" x14ac:dyDescent="0.25">
      <c r="A127" s="161" t="s">
        <v>294</v>
      </c>
    </row>
    <row r="128" spans="1:1" ht="15.75" x14ac:dyDescent="0.25">
      <c r="A128" s="161" t="s">
        <v>295</v>
      </c>
    </row>
    <row r="129" spans="1:1" ht="15.75" x14ac:dyDescent="0.25">
      <c r="A129" s="161" t="s">
        <v>296</v>
      </c>
    </row>
    <row r="130" spans="1:1" ht="15.75" x14ac:dyDescent="0.25">
      <c r="A130" s="161" t="s">
        <v>297</v>
      </c>
    </row>
    <row r="131" spans="1:1" ht="15.75" x14ac:dyDescent="0.25">
      <c r="A131" s="161" t="s">
        <v>298</v>
      </c>
    </row>
    <row r="132" spans="1:1" ht="15.75" x14ac:dyDescent="0.25">
      <c r="A132" s="161" t="s">
        <v>299</v>
      </c>
    </row>
    <row r="133" spans="1:1" ht="15.75" x14ac:dyDescent="0.25">
      <c r="A133" s="161"/>
    </row>
    <row r="134" spans="1:1" ht="26.25" x14ac:dyDescent="0.25">
      <c r="A134" s="160" t="s">
        <v>300</v>
      </c>
    </row>
    <row r="135" spans="1:1" ht="15.75" x14ac:dyDescent="0.25">
      <c r="A135" s="161" t="s">
        <v>301</v>
      </c>
    </row>
    <row r="136" spans="1:1" ht="15.75" x14ac:dyDescent="0.25">
      <c r="A136" s="161" t="s">
        <v>302</v>
      </c>
    </row>
    <row r="137" spans="1:1" ht="15.75" x14ac:dyDescent="0.25">
      <c r="A137" s="161" t="s">
        <v>303</v>
      </c>
    </row>
    <row r="138" spans="1:1" ht="15.75" x14ac:dyDescent="0.25">
      <c r="A138" s="161" t="s">
        <v>304</v>
      </c>
    </row>
    <row r="139" spans="1:1" ht="15.75" x14ac:dyDescent="0.25">
      <c r="A139" s="161" t="s">
        <v>305</v>
      </c>
    </row>
    <row r="140" spans="1:1" ht="15.75" x14ac:dyDescent="0.25">
      <c r="A140" s="161" t="s">
        <v>306</v>
      </c>
    </row>
    <row r="141" spans="1:1" ht="15.75" x14ac:dyDescent="0.25">
      <c r="A141" s="161" t="s">
        <v>307</v>
      </c>
    </row>
    <row r="142" spans="1:1" ht="15.75" x14ac:dyDescent="0.25">
      <c r="A142" s="161" t="s">
        <v>308</v>
      </c>
    </row>
    <row r="143" spans="1:1" ht="15.75" x14ac:dyDescent="0.25">
      <c r="A143" s="161" t="s">
        <v>165</v>
      </c>
    </row>
    <row r="144" spans="1:1" ht="15.75" x14ac:dyDescent="0.25">
      <c r="A144" s="161" t="s">
        <v>309</v>
      </c>
    </row>
    <row r="145" spans="1:1" ht="15.75" x14ac:dyDescent="0.25">
      <c r="A145" s="161" t="s">
        <v>310</v>
      </c>
    </row>
    <row r="146" spans="1:1" ht="15.75" x14ac:dyDescent="0.25">
      <c r="A146" s="161" t="s">
        <v>311</v>
      </c>
    </row>
    <row r="147" spans="1:1" ht="15.75" x14ac:dyDescent="0.25">
      <c r="A147" s="161"/>
    </row>
    <row r="148" spans="1:1" ht="26.25" x14ac:dyDescent="0.25">
      <c r="A148" s="160" t="s">
        <v>312</v>
      </c>
    </row>
    <row r="149" spans="1:1" ht="15.75" x14ac:dyDescent="0.25">
      <c r="A149" s="161" t="s">
        <v>313</v>
      </c>
    </row>
    <row r="150" spans="1:1" ht="15.75" x14ac:dyDescent="0.25">
      <c r="A150" s="161" t="s">
        <v>314</v>
      </c>
    </row>
    <row r="151" spans="1:1" ht="15.75" x14ac:dyDescent="0.25">
      <c r="A151" s="161" t="s">
        <v>315</v>
      </c>
    </row>
    <row r="152" spans="1:1" ht="15.75" x14ac:dyDescent="0.25">
      <c r="A152" s="161" t="s">
        <v>316</v>
      </c>
    </row>
    <row r="153" spans="1:1" ht="15.75" x14ac:dyDescent="0.25">
      <c r="A153" s="161" t="s">
        <v>317</v>
      </c>
    </row>
    <row r="154" spans="1:1" ht="15.75" x14ac:dyDescent="0.25">
      <c r="A154" s="161" t="s">
        <v>318</v>
      </c>
    </row>
    <row r="155" spans="1:1" ht="15.75" x14ac:dyDescent="0.25">
      <c r="A155" s="161" t="s">
        <v>165</v>
      </c>
    </row>
    <row r="156" spans="1:1" ht="15.75" x14ac:dyDescent="0.25">
      <c r="A156" s="161" t="s">
        <v>309</v>
      </c>
    </row>
    <row r="157" spans="1:1" ht="15.75" x14ac:dyDescent="0.25">
      <c r="A157" s="161" t="s">
        <v>319</v>
      </c>
    </row>
    <row r="158" spans="1:1" ht="15.75" x14ac:dyDescent="0.25">
      <c r="A158" s="161"/>
    </row>
    <row r="159" spans="1:1" ht="26.25" x14ac:dyDescent="0.25">
      <c r="A159" s="160" t="s">
        <v>320</v>
      </c>
    </row>
    <row r="160" spans="1:1" ht="15.75" x14ac:dyDescent="0.25">
      <c r="A160" s="161" t="s">
        <v>321</v>
      </c>
    </row>
    <row r="161" spans="1:1" ht="15.75" x14ac:dyDescent="0.25">
      <c r="A161" s="161" t="s">
        <v>322</v>
      </c>
    </row>
    <row r="162" spans="1:1" ht="15.75" x14ac:dyDescent="0.25">
      <c r="A162" s="161" t="s">
        <v>323</v>
      </c>
    </row>
    <row r="163" spans="1:1" ht="15.75" x14ac:dyDescent="0.25">
      <c r="A163" s="161" t="s">
        <v>324</v>
      </c>
    </row>
    <row r="164" spans="1:1" ht="15.75" x14ac:dyDescent="0.25">
      <c r="A164" s="161" t="s">
        <v>325</v>
      </c>
    </row>
    <row r="165" spans="1:1" ht="15.75" x14ac:dyDescent="0.25">
      <c r="A165" s="161" t="s">
        <v>326</v>
      </c>
    </row>
    <row r="166" spans="1:1" ht="15.75" x14ac:dyDescent="0.25">
      <c r="A166" s="161" t="s">
        <v>327</v>
      </c>
    </row>
    <row r="167" spans="1:1" ht="15.75" x14ac:dyDescent="0.25">
      <c r="A167" s="161" t="s">
        <v>328</v>
      </c>
    </row>
    <row r="168" spans="1:1" ht="15.75" x14ac:dyDescent="0.25">
      <c r="A168" s="161" t="s">
        <v>329</v>
      </c>
    </row>
    <row r="169" spans="1:1" ht="15.75" x14ac:dyDescent="0.25">
      <c r="A169" s="161" t="s">
        <v>330</v>
      </c>
    </row>
    <row r="170" spans="1:1" ht="15.75" x14ac:dyDescent="0.25">
      <c r="A170" s="161"/>
    </row>
    <row r="171" spans="1:1" ht="26.25" x14ac:dyDescent="0.25">
      <c r="A171" s="160" t="s">
        <v>331</v>
      </c>
    </row>
    <row r="172" spans="1:1" ht="15.75" x14ac:dyDescent="0.25">
      <c r="A172" s="161" t="s">
        <v>332</v>
      </c>
    </row>
    <row r="173" spans="1:1" ht="15.75" x14ac:dyDescent="0.25">
      <c r="A173" s="161" t="s">
        <v>333</v>
      </c>
    </row>
    <row r="174" spans="1:1" ht="15.75" x14ac:dyDescent="0.25">
      <c r="A174" s="161" t="s">
        <v>334</v>
      </c>
    </row>
    <row r="175" spans="1:1" ht="15.75" x14ac:dyDescent="0.25">
      <c r="A175" s="161" t="s">
        <v>335</v>
      </c>
    </row>
    <row r="176" spans="1:1" ht="15.75" x14ac:dyDescent="0.25">
      <c r="A176" s="161" t="s">
        <v>336</v>
      </c>
    </row>
    <row r="177" spans="1:1" ht="15.75" x14ac:dyDescent="0.25">
      <c r="A177" s="161" t="s">
        <v>337</v>
      </c>
    </row>
    <row r="178" spans="1:1" ht="15.75" x14ac:dyDescent="0.25">
      <c r="A178" s="161" t="s">
        <v>338</v>
      </c>
    </row>
    <row r="179" spans="1:1" ht="15.75" x14ac:dyDescent="0.25">
      <c r="A179" s="161" t="s">
        <v>339</v>
      </c>
    </row>
    <row r="180" spans="1:1" ht="15.75" x14ac:dyDescent="0.25">
      <c r="A180" s="161" t="s">
        <v>329</v>
      </c>
    </row>
    <row r="181" spans="1:1" ht="15.75" x14ac:dyDescent="0.25">
      <c r="A181" s="161" t="s">
        <v>340</v>
      </c>
    </row>
    <row r="182" spans="1:1" ht="15.75" x14ac:dyDescent="0.25">
      <c r="A182" s="161"/>
    </row>
    <row r="183" spans="1:1" ht="26.25" x14ac:dyDescent="0.25">
      <c r="A183" s="160" t="s">
        <v>341</v>
      </c>
    </row>
    <row r="184" spans="1:1" ht="15.75" x14ac:dyDescent="0.25">
      <c r="A184" s="161" t="s">
        <v>165</v>
      </c>
    </row>
    <row r="185" spans="1:1" ht="15.75" x14ac:dyDescent="0.25">
      <c r="A185" s="161" t="s">
        <v>342</v>
      </c>
    </row>
    <row r="186" spans="1:1" ht="15.75" x14ac:dyDescent="0.25">
      <c r="A186" s="161" t="s">
        <v>343</v>
      </c>
    </row>
    <row r="187" spans="1:1" ht="15.75" x14ac:dyDescent="0.25">
      <c r="A187" s="161" t="s">
        <v>338</v>
      </c>
    </row>
    <row r="188" spans="1:1" ht="15.75" x14ac:dyDescent="0.25">
      <c r="A188" s="161" t="s">
        <v>327</v>
      </c>
    </row>
    <row r="189" spans="1:1" ht="15.75" x14ac:dyDescent="0.25">
      <c r="A189" s="161" t="s">
        <v>344</v>
      </c>
    </row>
    <row r="190" spans="1:1" ht="15.75" x14ac:dyDescent="0.25">
      <c r="A190" s="161" t="s">
        <v>345</v>
      </c>
    </row>
    <row r="191" spans="1:1" ht="15.75" x14ac:dyDescent="0.25">
      <c r="A191" s="161" t="s">
        <v>346</v>
      </c>
    </row>
    <row r="192" spans="1:1" ht="15.75" x14ac:dyDescent="0.25">
      <c r="A192" s="161" t="s">
        <v>347</v>
      </c>
    </row>
    <row r="193" spans="1:1" ht="15.75" x14ac:dyDescent="0.25">
      <c r="A193" s="161" t="s">
        <v>348</v>
      </c>
    </row>
    <row r="194" spans="1:1" ht="15.75" x14ac:dyDescent="0.25">
      <c r="A194" s="161"/>
    </row>
    <row r="195" spans="1:1" ht="26.25" x14ac:dyDescent="0.25">
      <c r="A195" s="160" t="s">
        <v>349</v>
      </c>
    </row>
    <row r="196" spans="1:1" ht="15.75" x14ac:dyDescent="0.25">
      <c r="A196" s="161" t="s">
        <v>350</v>
      </c>
    </row>
    <row r="197" spans="1:1" ht="15.75" x14ac:dyDescent="0.25">
      <c r="A197" s="161" t="s">
        <v>351</v>
      </c>
    </row>
    <row r="198" spans="1:1" ht="15.75" x14ac:dyDescent="0.25">
      <c r="A198" s="161" t="s">
        <v>352</v>
      </c>
    </row>
    <row r="199" spans="1:1" ht="15.75" x14ac:dyDescent="0.25">
      <c r="A199" s="161" t="s">
        <v>353</v>
      </c>
    </row>
    <row r="200" spans="1:1" ht="15.75" x14ac:dyDescent="0.25">
      <c r="A200" s="161" t="s">
        <v>335</v>
      </c>
    </row>
    <row r="201" spans="1:1" ht="15.75" x14ac:dyDescent="0.25">
      <c r="A201" s="161" t="s">
        <v>336</v>
      </c>
    </row>
    <row r="202" spans="1:1" ht="15.75" x14ac:dyDescent="0.25">
      <c r="A202" s="161" t="s">
        <v>337</v>
      </c>
    </row>
    <row r="203" spans="1:1" ht="15.75" x14ac:dyDescent="0.25">
      <c r="A203" s="161" t="s">
        <v>310</v>
      </c>
    </row>
    <row r="204" spans="1:1" ht="15.75" x14ac:dyDescent="0.25">
      <c r="A204" s="161" t="s">
        <v>311</v>
      </c>
    </row>
    <row r="205" spans="1:1" ht="15.75" x14ac:dyDescent="0.25">
      <c r="A205" s="161" t="s">
        <v>354</v>
      </c>
    </row>
    <row r="206" spans="1:1" ht="15.75" x14ac:dyDescent="0.25">
      <c r="A206" s="161" t="s">
        <v>355</v>
      </c>
    </row>
    <row r="208" spans="1:1" ht="33" x14ac:dyDescent="0.25">
      <c r="A208" s="229" t="s">
        <v>279</v>
      </c>
    </row>
    <row r="210" spans="1:1" ht="26.25" x14ac:dyDescent="0.25">
      <c r="A210" s="162" t="s">
        <v>373</v>
      </c>
    </row>
    <row r="211" spans="1:1" x14ac:dyDescent="0.25">
      <c r="A211" s="230"/>
    </row>
    <row r="212" spans="1:1" ht="16.5" x14ac:dyDescent="0.25">
      <c r="A212" s="231" t="s">
        <v>374</v>
      </c>
    </row>
    <row r="213" spans="1:1" ht="16.5" x14ac:dyDescent="0.25">
      <c r="A213" s="231" t="s">
        <v>375</v>
      </c>
    </row>
    <row r="214" spans="1:1" ht="16.5" x14ac:dyDescent="0.25">
      <c r="A214" s="231" t="s">
        <v>376</v>
      </c>
    </row>
    <row r="215" spans="1:1" ht="16.5" x14ac:dyDescent="0.25">
      <c r="A215" s="231" t="s">
        <v>189</v>
      </c>
    </row>
    <row r="216" spans="1:1" ht="16.5" x14ac:dyDescent="0.25">
      <c r="A216" s="231" t="s">
        <v>377</v>
      </c>
    </row>
    <row r="217" spans="1:1" ht="16.5" x14ac:dyDescent="0.25">
      <c r="A217" s="231" t="s">
        <v>378</v>
      </c>
    </row>
    <row r="218" spans="1:1" ht="16.5" x14ac:dyDescent="0.25">
      <c r="A218" s="231" t="s">
        <v>379</v>
      </c>
    </row>
    <row r="219" spans="1:1" ht="16.5" x14ac:dyDescent="0.25">
      <c r="A219" s="231" t="s">
        <v>380</v>
      </c>
    </row>
    <row r="220" spans="1:1" ht="16.5" x14ac:dyDescent="0.25">
      <c r="A220" s="231" t="s">
        <v>381</v>
      </c>
    </row>
    <row r="221" spans="1:1" ht="16.5" x14ac:dyDescent="0.25">
      <c r="A221" s="231" t="s">
        <v>185</v>
      </c>
    </row>
    <row r="223" spans="1:1" ht="16.5" x14ac:dyDescent="0.25">
      <c r="A223" s="232" t="s">
        <v>447</v>
      </c>
    </row>
    <row r="225" spans="1:1" ht="26.25" x14ac:dyDescent="0.25">
      <c r="A225" s="162" t="s">
        <v>448</v>
      </c>
    </row>
    <row r="226" spans="1:1" x14ac:dyDescent="0.25">
      <c r="A226" s="230"/>
    </row>
    <row r="227" spans="1:1" ht="16.5" x14ac:dyDescent="0.25">
      <c r="A227" s="231" t="s">
        <v>382</v>
      </c>
    </row>
    <row r="228" spans="1:1" ht="16.5" x14ac:dyDescent="0.25">
      <c r="A228" s="231" t="s">
        <v>383</v>
      </c>
    </row>
    <row r="229" spans="1:1" ht="16.5" x14ac:dyDescent="0.25">
      <c r="A229" s="231" t="s">
        <v>384</v>
      </c>
    </row>
    <row r="230" spans="1:1" ht="16.5" x14ac:dyDescent="0.25">
      <c r="A230" s="231" t="s">
        <v>385</v>
      </c>
    </row>
    <row r="231" spans="1:1" ht="16.5" x14ac:dyDescent="0.25">
      <c r="A231" s="231" t="s">
        <v>386</v>
      </c>
    </row>
    <row r="232" spans="1:1" ht="16.5" x14ac:dyDescent="0.25">
      <c r="A232" s="231" t="s">
        <v>387</v>
      </c>
    </row>
    <row r="233" spans="1:1" ht="16.5" x14ac:dyDescent="0.25">
      <c r="A233" s="231" t="s">
        <v>388</v>
      </c>
    </row>
    <row r="234" spans="1:1" ht="16.5" x14ac:dyDescent="0.25">
      <c r="A234" s="231" t="s">
        <v>389</v>
      </c>
    </row>
    <row r="235" spans="1:1" ht="16.5" x14ac:dyDescent="0.25">
      <c r="A235" s="231" t="s">
        <v>390</v>
      </c>
    </row>
    <row r="237" spans="1:1" ht="26.25" x14ac:dyDescent="0.25">
      <c r="A237" s="162" t="s">
        <v>449</v>
      </c>
    </row>
    <row r="238" spans="1:1" x14ac:dyDescent="0.25">
      <c r="A238" s="230"/>
    </row>
    <row r="239" spans="1:1" ht="16.5" x14ac:dyDescent="0.25">
      <c r="A239" s="231" t="s">
        <v>391</v>
      </c>
    </row>
    <row r="240" spans="1:1" ht="16.5" x14ac:dyDescent="0.25">
      <c r="A240" s="231" t="s">
        <v>392</v>
      </c>
    </row>
    <row r="241" spans="1:1" ht="16.5" x14ac:dyDescent="0.25">
      <c r="A241" s="231" t="s">
        <v>393</v>
      </c>
    </row>
    <row r="242" spans="1:1" ht="16.5" x14ac:dyDescent="0.25">
      <c r="A242" s="231" t="s">
        <v>394</v>
      </c>
    </row>
    <row r="243" spans="1:1" ht="16.5" x14ac:dyDescent="0.25">
      <c r="A243" s="231" t="s">
        <v>395</v>
      </c>
    </row>
    <row r="244" spans="1:1" ht="16.5" x14ac:dyDescent="0.25">
      <c r="A244" s="231" t="s">
        <v>177</v>
      </c>
    </row>
    <row r="245" spans="1:1" ht="16.5" x14ac:dyDescent="0.25">
      <c r="A245" s="231" t="s">
        <v>165</v>
      </c>
    </row>
    <row r="247" spans="1:1" ht="26.25" x14ac:dyDescent="0.25">
      <c r="A247" s="162" t="s">
        <v>450</v>
      </c>
    </row>
    <row r="248" spans="1:1" x14ac:dyDescent="0.25">
      <c r="A248" s="230"/>
    </row>
    <row r="249" spans="1:1" ht="16.5" x14ac:dyDescent="0.25">
      <c r="A249" s="231" t="s">
        <v>396</v>
      </c>
    </row>
    <row r="250" spans="1:1" ht="16.5" x14ac:dyDescent="0.25">
      <c r="A250" s="231" t="s">
        <v>397</v>
      </c>
    </row>
    <row r="251" spans="1:1" ht="16.5" x14ac:dyDescent="0.25">
      <c r="A251" s="231" t="s">
        <v>398</v>
      </c>
    </row>
    <row r="252" spans="1:1" ht="16.5" x14ac:dyDescent="0.25">
      <c r="A252" s="231" t="s">
        <v>399</v>
      </c>
    </row>
    <row r="253" spans="1:1" ht="16.5" x14ac:dyDescent="0.25">
      <c r="A253" s="231" t="s">
        <v>400</v>
      </c>
    </row>
    <row r="254" spans="1:1" ht="16.5" x14ac:dyDescent="0.25">
      <c r="A254" s="231" t="s">
        <v>401</v>
      </c>
    </row>
    <row r="255" spans="1:1" ht="16.5" x14ac:dyDescent="0.25">
      <c r="A255" s="231" t="s">
        <v>402</v>
      </c>
    </row>
    <row r="256" spans="1:1" ht="16.5" x14ac:dyDescent="0.25">
      <c r="A256" s="231" t="s">
        <v>403</v>
      </c>
    </row>
    <row r="257" spans="1:1" ht="16.5" x14ac:dyDescent="0.25">
      <c r="A257" s="231" t="s">
        <v>404</v>
      </c>
    </row>
    <row r="259" spans="1:1" ht="26.25" x14ac:dyDescent="0.25">
      <c r="A259" s="162" t="s">
        <v>451</v>
      </c>
    </row>
    <row r="260" spans="1:1" x14ac:dyDescent="0.25">
      <c r="A260" s="230"/>
    </row>
    <row r="261" spans="1:1" ht="16.5" x14ac:dyDescent="0.25">
      <c r="A261" s="231" t="s">
        <v>405</v>
      </c>
    </row>
    <row r="262" spans="1:1" ht="16.5" x14ac:dyDescent="0.25">
      <c r="A262" s="231" t="s">
        <v>406</v>
      </c>
    </row>
    <row r="263" spans="1:1" ht="16.5" x14ac:dyDescent="0.25">
      <c r="A263" s="231" t="s">
        <v>306</v>
      </c>
    </row>
    <row r="264" spans="1:1" ht="16.5" x14ac:dyDescent="0.25">
      <c r="A264" s="231" t="s">
        <v>307</v>
      </c>
    </row>
    <row r="265" spans="1:1" ht="16.5" x14ac:dyDescent="0.25">
      <c r="A265" s="231" t="s">
        <v>407</v>
      </c>
    </row>
    <row r="266" spans="1:1" ht="16.5" x14ac:dyDescent="0.25">
      <c r="A266" s="231" t="s">
        <v>408</v>
      </c>
    </row>
    <row r="267" spans="1:1" ht="16.5" x14ac:dyDescent="0.25">
      <c r="A267" s="231" t="s">
        <v>409</v>
      </c>
    </row>
    <row r="268" spans="1:1" ht="16.5" x14ac:dyDescent="0.25">
      <c r="A268" s="231" t="s">
        <v>410</v>
      </c>
    </row>
    <row r="269" spans="1:1" ht="16.5" x14ac:dyDescent="0.25">
      <c r="A269" s="231" t="s">
        <v>411</v>
      </c>
    </row>
    <row r="270" spans="1:1" ht="16.5" x14ac:dyDescent="0.25">
      <c r="A270" s="231" t="s">
        <v>412</v>
      </c>
    </row>
    <row r="271" spans="1:1" ht="16.5" x14ac:dyDescent="0.25">
      <c r="A271" s="231" t="s">
        <v>413</v>
      </c>
    </row>
    <row r="272" spans="1:1" ht="16.5" x14ac:dyDescent="0.25">
      <c r="A272" s="231" t="s">
        <v>414</v>
      </c>
    </row>
    <row r="274" spans="1:1" ht="26.25" x14ac:dyDescent="0.25">
      <c r="A274" s="162" t="s">
        <v>452</v>
      </c>
    </row>
    <row r="275" spans="1:1" x14ac:dyDescent="0.25">
      <c r="A275" s="230"/>
    </row>
    <row r="276" spans="1:1" ht="16.5" x14ac:dyDescent="0.25">
      <c r="A276" s="231" t="s">
        <v>415</v>
      </c>
    </row>
    <row r="277" spans="1:1" ht="16.5" x14ac:dyDescent="0.25">
      <c r="A277" s="231" t="s">
        <v>416</v>
      </c>
    </row>
    <row r="278" spans="1:1" ht="16.5" x14ac:dyDescent="0.25">
      <c r="A278" s="231" t="s">
        <v>417</v>
      </c>
    </row>
    <row r="279" spans="1:1" ht="16.5" x14ac:dyDescent="0.25">
      <c r="A279" s="231" t="s">
        <v>418</v>
      </c>
    </row>
    <row r="280" spans="1:1" ht="16.5" x14ac:dyDescent="0.25">
      <c r="A280" s="231" t="s">
        <v>419</v>
      </c>
    </row>
    <row r="281" spans="1:1" ht="16.5" x14ac:dyDescent="0.25">
      <c r="A281" s="231" t="s">
        <v>420</v>
      </c>
    </row>
    <row r="283" spans="1:1" ht="26.25" x14ac:dyDescent="0.25">
      <c r="A283" s="162" t="s">
        <v>453</v>
      </c>
    </row>
    <row r="284" spans="1:1" x14ac:dyDescent="0.25">
      <c r="A284" s="230"/>
    </row>
    <row r="285" spans="1:1" ht="16.5" x14ac:dyDescent="0.25">
      <c r="A285" s="231" t="s">
        <v>421</v>
      </c>
    </row>
    <row r="286" spans="1:1" ht="16.5" x14ac:dyDescent="0.25">
      <c r="A286" s="231" t="s">
        <v>422</v>
      </c>
    </row>
    <row r="287" spans="1:1" ht="16.5" x14ac:dyDescent="0.25">
      <c r="A287" s="231" t="s">
        <v>423</v>
      </c>
    </row>
    <row r="288" spans="1:1" ht="16.5" x14ac:dyDescent="0.25">
      <c r="A288" s="231" t="s">
        <v>424</v>
      </c>
    </row>
    <row r="289" spans="1:1" ht="16.5" x14ac:dyDescent="0.25">
      <c r="A289" s="231" t="s">
        <v>425</v>
      </c>
    </row>
    <row r="290" spans="1:1" ht="16.5" x14ac:dyDescent="0.25">
      <c r="A290" s="231" t="s">
        <v>426</v>
      </c>
    </row>
    <row r="291" spans="1:1" ht="16.5" x14ac:dyDescent="0.25">
      <c r="A291" s="231" t="s">
        <v>427</v>
      </c>
    </row>
    <row r="292" spans="1:1" ht="16.5" x14ac:dyDescent="0.25">
      <c r="A292" s="231" t="s">
        <v>428</v>
      </c>
    </row>
    <row r="294" spans="1:1" ht="26.25" x14ac:dyDescent="0.25">
      <c r="A294" s="162" t="s">
        <v>454</v>
      </c>
    </row>
    <row r="296" spans="1:1" ht="16.5" x14ac:dyDescent="0.25">
      <c r="A296" s="231" t="s">
        <v>429</v>
      </c>
    </row>
    <row r="297" spans="1:1" ht="16.5" x14ac:dyDescent="0.25">
      <c r="A297" s="231" t="s">
        <v>430</v>
      </c>
    </row>
    <row r="298" spans="1:1" ht="16.5" x14ac:dyDescent="0.25">
      <c r="A298" s="231" t="s">
        <v>431</v>
      </c>
    </row>
    <row r="299" spans="1:1" ht="16.5" x14ac:dyDescent="0.25">
      <c r="A299" s="231" t="s">
        <v>432</v>
      </c>
    </row>
    <row r="300" spans="1:1" ht="16.5" x14ac:dyDescent="0.25">
      <c r="A300" s="231" t="s">
        <v>177</v>
      </c>
    </row>
    <row r="301" spans="1:1" ht="16.5" x14ac:dyDescent="0.25">
      <c r="A301" s="231" t="s">
        <v>165</v>
      </c>
    </row>
    <row r="302" spans="1:1" ht="16.5" x14ac:dyDescent="0.25">
      <c r="A302" s="231" t="s">
        <v>178</v>
      </c>
    </row>
    <row r="303" spans="1:1" ht="16.5" x14ac:dyDescent="0.25">
      <c r="A303" s="231" t="s">
        <v>433</v>
      </c>
    </row>
    <row r="304" spans="1:1" ht="16.5" x14ac:dyDescent="0.25">
      <c r="A304" s="231" t="s">
        <v>434</v>
      </c>
    </row>
    <row r="305" spans="1:1" ht="16.5" x14ac:dyDescent="0.25">
      <c r="A305" s="231" t="s">
        <v>435</v>
      </c>
    </row>
    <row r="306" spans="1:1" ht="16.5" x14ac:dyDescent="0.25">
      <c r="A306" s="231" t="s">
        <v>436</v>
      </c>
    </row>
    <row r="307" spans="1:1" ht="16.5" x14ac:dyDescent="0.25">
      <c r="A307" s="231" t="s">
        <v>437</v>
      </c>
    </row>
    <row r="309" spans="1:1" ht="26.25" x14ac:dyDescent="0.25">
      <c r="A309" s="162" t="s">
        <v>455</v>
      </c>
    </row>
    <row r="311" spans="1:1" ht="16.5" x14ac:dyDescent="0.25">
      <c r="A311" s="231" t="s">
        <v>438</v>
      </c>
    </row>
    <row r="312" spans="1:1" ht="16.5" x14ac:dyDescent="0.25">
      <c r="A312" s="231" t="s">
        <v>304</v>
      </c>
    </row>
    <row r="313" spans="1:1" ht="16.5" x14ac:dyDescent="0.25">
      <c r="A313" s="231" t="s">
        <v>305</v>
      </c>
    </row>
    <row r="314" spans="1:1" ht="16.5" x14ac:dyDescent="0.25">
      <c r="A314" s="231" t="s">
        <v>439</v>
      </c>
    </row>
    <row r="315" spans="1:1" ht="16.5" x14ac:dyDescent="0.25">
      <c r="A315" s="231" t="s">
        <v>440</v>
      </c>
    </row>
    <row r="316" spans="1:1" ht="16.5" x14ac:dyDescent="0.25">
      <c r="A316" s="231" t="s">
        <v>441</v>
      </c>
    </row>
    <row r="317" spans="1:1" ht="16.5" x14ac:dyDescent="0.25">
      <c r="A317" s="231" t="s">
        <v>442</v>
      </c>
    </row>
    <row r="318" spans="1:1" ht="16.5" x14ac:dyDescent="0.25">
      <c r="A318" s="231" t="s">
        <v>443</v>
      </c>
    </row>
    <row r="319" spans="1:1" ht="16.5" x14ac:dyDescent="0.25">
      <c r="A319" s="231" t="s">
        <v>444</v>
      </c>
    </row>
    <row r="320" spans="1:1" ht="16.5" x14ac:dyDescent="0.25">
      <c r="A320" s="231" t="s">
        <v>445</v>
      </c>
    </row>
    <row r="321" spans="1:1" ht="16.5" x14ac:dyDescent="0.25">
      <c r="A321" s="231" t="s">
        <v>446</v>
      </c>
    </row>
  </sheetData>
  <sheetProtection algorithmName="SHA-512" hashValue="Cwpfw4iCKW0il//pFC6QpZAv9HPzqV71pyRsGHgEA4PgeZC8Ii7IVbuPdHn/L62oDlLwSc6RH08vwII8hIKoaA==" saltValue="Wq9n1RDqdHR/RzYWJNjjCA==" spinCount="100000" sheet="1" objects="1" scenarios="1"/>
  <mergeCells count="2">
    <mergeCell ref="A1:F1"/>
    <mergeCell ref="K3:R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35DA-E80A-4ED7-900F-418098C39AE1}">
  <sheetPr>
    <tabColor theme="8" tint="-0.249977111117893"/>
    <pageSetUpPr fitToPage="1"/>
  </sheetPr>
  <dimension ref="A1:I46"/>
  <sheetViews>
    <sheetView zoomScale="115" zoomScaleNormal="115" workbookViewId="0">
      <selection sqref="A1:I1"/>
    </sheetView>
  </sheetViews>
  <sheetFormatPr defaultRowHeight="15" x14ac:dyDescent="0.25"/>
  <cols>
    <col min="1" max="1" width="14" customWidth="1"/>
    <col min="9" max="9" width="16.85546875" customWidth="1"/>
  </cols>
  <sheetData>
    <row r="1" spans="1:9" ht="18.75" x14ac:dyDescent="0.3">
      <c r="A1" s="461" t="s">
        <v>1181</v>
      </c>
      <c r="B1" s="461"/>
      <c r="C1" s="461"/>
      <c r="D1" s="461"/>
      <c r="E1" s="461"/>
      <c r="F1" s="461"/>
      <c r="G1" s="461"/>
      <c r="H1" s="461"/>
      <c r="I1" s="461"/>
    </row>
    <row r="2" spans="1:9" x14ac:dyDescent="0.25">
      <c r="A2" s="125" t="s">
        <v>40</v>
      </c>
      <c r="B2" s="125">
        <f>Worksheet!B2</f>
        <v>0</v>
      </c>
    </row>
    <row r="3" spans="1:9" x14ac:dyDescent="0.25">
      <c r="A3" s="125" t="s">
        <v>514</v>
      </c>
      <c r="B3" s="125"/>
    </row>
    <row r="4" spans="1:9" x14ac:dyDescent="0.25">
      <c r="A4" s="125" t="s">
        <v>515</v>
      </c>
      <c r="B4" s="125"/>
    </row>
    <row r="5" spans="1:9" x14ac:dyDescent="0.25">
      <c r="A5" s="125" t="s">
        <v>1006</v>
      </c>
      <c r="B5" s="125"/>
    </row>
    <row r="6" spans="1:9" x14ac:dyDescent="0.25">
      <c r="A6" s="125" t="s">
        <v>1007</v>
      </c>
      <c r="B6" s="125"/>
    </row>
    <row r="7" spans="1:9" x14ac:dyDescent="0.25">
      <c r="A7" s="125"/>
      <c r="B7" s="125"/>
    </row>
    <row r="8" spans="1:9" x14ac:dyDescent="0.25">
      <c r="A8" s="125" t="s">
        <v>516</v>
      </c>
      <c r="B8" s="125"/>
    </row>
    <row r="9" spans="1:9" x14ac:dyDescent="0.25">
      <c r="A9" t="s">
        <v>512</v>
      </c>
    </row>
    <row r="10" spans="1:9" x14ac:dyDescent="0.25">
      <c r="A10" s="452"/>
      <c r="B10" s="453"/>
      <c r="C10" s="453"/>
      <c r="D10" s="453"/>
      <c r="E10" s="453"/>
      <c r="F10" s="453"/>
      <c r="G10" s="453"/>
      <c r="H10" s="453"/>
      <c r="I10" s="454"/>
    </row>
    <row r="11" spans="1:9" x14ac:dyDescent="0.25">
      <c r="A11" s="455"/>
      <c r="B11" s="456"/>
      <c r="C11" s="456"/>
      <c r="D11" s="456"/>
      <c r="E11" s="456"/>
      <c r="F11" s="456"/>
      <c r="G11" s="456"/>
      <c r="H11" s="456"/>
      <c r="I11" s="457"/>
    </row>
    <row r="12" spans="1:9" x14ac:dyDescent="0.25">
      <c r="A12" s="458"/>
      <c r="B12" s="459"/>
      <c r="C12" s="459"/>
      <c r="D12" s="459"/>
      <c r="E12" s="459"/>
      <c r="F12" s="459"/>
      <c r="G12" s="459"/>
      <c r="H12" s="459"/>
      <c r="I12" s="460"/>
    </row>
    <row r="13" spans="1:9" x14ac:dyDescent="0.25">
      <c r="A13" s="93"/>
      <c r="B13" s="93"/>
      <c r="C13" s="93"/>
      <c r="D13" s="93"/>
      <c r="E13" s="93"/>
      <c r="F13" s="93"/>
      <c r="G13" s="93"/>
      <c r="H13" s="93"/>
      <c r="I13" s="93"/>
    </row>
    <row r="14" spans="1:9" x14ac:dyDescent="0.25">
      <c r="A14" t="s">
        <v>510</v>
      </c>
    </row>
    <row r="15" spans="1:9" x14ac:dyDescent="0.25">
      <c r="A15" s="452"/>
      <c r="B15" s="453"/>
      <c r="C15" s="453"/>
      <c r="D15" s="453"/>
      <c r="E15" s="453"/>
      <c r="F15" s="453"/>
      <c r="G15" s="453"/>
      <c r="H15" s="453"/>
      <c r="I15" s="454"/>
    </row>
    <row r="16" spans="1:9" x14ac:dyDescent="0.25">
      <c r="A16" s="455"/>
      <c r="B16" s="456"/>
      <c r="C16" s="456"/>
      <c r="D16" s="456"/>
      <c r="E16" s="456"/>
      <c r="F16" s="456"/>
      <c r="G16" s="456"/>
      <c r="H16" s="456"/>
      <c r="I16" s="457"/>
    </row>
    <row r="17" spans="1:9" x14ac:dyDescent="0.25">
      <c r="A17" s="458"/>
      <c r="B17" s="459"/>
      <c r="C17" s="459"/>
      <c r="D17" s="459"/>
      <c r="E17" s="459"/>
      <c r="F17" s="459"/>
      <c r="G17" s="459"/>
      <c r="H17" s="459"/>
      <c r="I17" s="460"/>
    </row>
    <row r="18" spans="1:9" x14ac:dyDescent="0.25">
      <c r="A18" s="93"/>
      <c r="B18" s="93"/>
      <c r="C18" s="93"/>
      <c r="D18" s="93"/>
      <c r="E18" s="93"/>
      <c r="F18" s="93"/>
      <c r="G18" s="93"/>
      <c r="H18" s="93"/>
      <c r="I18" s="93"/>
    </row>
    <row r="19" spans="1:9" x14ac:dyDescent="0.25">
      <c r="A19" t="s">
        <v>1192</v>
      </c>
    </row>
    <row r="20" spans="1:9" x14ac:dyDescent="0.25">
      <c r="A20" s="452"/>
      <c r="B20" s="453"/>
      <c r="C20" s="453"/>
      <c r="D20" s="453"/>
      <c r="E20" s="453"/>
      <c r="F20" s="453"/>
      <c r="G20" s="453"/>
      <c r="H20" s="453"/>
      <c r="I20" s="454"/>
    </row>
    <row r="21" spans="1:9" x14ac:dyDescent="0.25">
      <c r="A21" s="455"/>
      <c r="B21" s="456"/>
      <c r="C21" s="456"/>
      <c r="D21" s="456"/>
      <c r="E21" s="456"/>
      <c r="F21" s="456"/>
      <c r="G21" s="456"/>
      <c r="H21" s="456"/>
      <c r="I21" s="457"/>
    </row>
    <row r="22" spans="1:9" x14ac:dyDescent="0.25">
      <c r="A22" s="458"/>
      <c r="B22" s="459"/>
      <c r="C22" s="459"/>
      <c r="D22" s="459"/>
      <c r="E22" s="459"/>
      <c r="F22" s="459"/>
      <c r="G22" s="459"/>
      <c r="H22" s="459"/>
      <c r="I22" s="460"/>
    </row>
    <row r="24" spans="1:9" x14ac:dyDescent="0.25">
      <c r="A24" t="s">
        <v>513</v>
      </c>
    </row>
    <row r="25" spans="1:9" x14ac:dyDescent="0.25">
      <c r="A25" s="452"/>
      <c r="B25" s="453"/>
      <c r="C25" s="453"/>
      <c r="D25" s="453"/>
      <c r="E25" s="453"/>
      <c r="F25" s="453"/>
      <c r="G25" s="453"/>
      <c r="H25" s="453"/>
      <c r="I25" s="454"/>
    </row>
    <row r="26" spans="1:9" x14ac:dyDescent="0.25">
      <c r="A26" s="455"/>
      <c r="B26" s="456"/>
      <c r="C26" s="456"/>
      <c r="D26" s="456"/>
      <c r="E26" s="456"/>
      <c r="F26" s="456"/>
      <c r="G26" s="456"/>
      <c r="H26" s="456"/>
      <c r="I26" s="457"/>
    </row>
    <row r="27" spans="1:9" x14ac:dyDescent="0.25">
      <c r="A27" s="458"/>
      <c r="B27" s="459"/>
      <c r="C27" s="459"/>
      <c r="D27" s="459"/>
      <c r="E27" s="459"/>
      <c r="F27" s="459"/>
      <c r="G27" s="459"/>
      <c r="H27" s="459"/>
      <c r="I27" s="460"/>
    </row>
    <row r="29" spans="1:9" x14ac:dyDescent="0.25">
      <c r="A29" t="s">
        <v>1032</v>
      </c>
    </row>
    <row r="30" spans="1:9" x14ac:dyDescent="0.25">
      <c r="A30" s="452"/>
      <c r="B30" s="453"/>
      <c r="C30" s="453"/>
      <c r="D30" s="453"/>
      <c r="E30" s="453"/>
      <c r="F30" s="453"/>
      <c r="G30" s="453"/>
      <c r="H30" s="453"/>
      <c r="I30" s="454"/>
    </row>
    <row r="31" spans="1:9" x14ac:dyDescent="0.25">
      <c r="A31" s="455"/>
      <c r="B31" s="456"/>
      <c r="C31" s="456"/>
      <c r="D31" s="456"/>
      <c r="E31" s="456"/>
      <c r="F31" s="456"/>
      <c r="G31" s="456"/>
      <c r="H31" s="456"/>
      <c r="I31" s="457"/>
    </row>
    <row r="32" spans="1:9" x14ac:dyDescent="0.25">
      <c r="A32" s="458"/>
      <c r="B32" s="459"/>
      <c r="C32" s="459"/>
      <c r="D32" s="459"/>
      <c r="E32" s="459"/>
      <c r="F32" s="459"/>
      <c r="G32" s="459"/>
      <c r="H32" s="459"/>
      <c r="I32" s="460"/>
    </row>
    <row r="34" spans="1:9" x14ac:dyDescent="0.25">
      <c r="A34" t="s">
        <v>465</v>
      </c>
    </row>
    <row r="35" spans="1:9" x14ac:dyDescent="0.25">
      <c r="A35" t="s">
        <v>466</v>
      </c>
    </row>
    <row r="36" spans="1:9" x14ac:dyDescent="0.25">
      <c r="A36" s="452"/>
      <c r="B36" s="453"/>
      <c r="C36" s="453"/>
      <c r="D36" s="453"/>
      <c r="E36" s="453"/>
      <c r="F36" s="453"/>
      <c r="G36" s="453"/>
      <c r="H36" s="453"/>
      <c r="I36" s="454"/>
    </row>
    <row r="37" spans="1:9" x14ac:dyDescent="0.25">
      <c r="A37" s="455"/>
      <c r="B37" s="456"/>
      <c r="C37" s="456"/>
      <c r="D37" s="456"/>
      <c r="E37" s="456"/>
      <c r="F37" s="456"/>
      <c r="G37" s="456"/>
      <c r="H37" s="456"/>
      <c r="I37" s="457"/>
    </row>
    <row r="38" spans="1:9" x14ac:dyDescent="0.25">
      <c r="A38" s="458"/>
      <c r="B38" s="459"/>
      <c r="C38" s="459"/>
      <c r="D38" s="459"/>
      <c r="E38" s="459"/>
      <c r="F38" s="459"/>
      <c r="G38" s="459"/>
      <c r="H38" s="459"/>
      <c r="I38" s="460"/>
    </row>
    <row r="40" spans="1:9" x14ac:dyDescent="0.25">
      <c r="A40" t="s">
        <v>1000</v>
      </c>
    </row>
    <row r="41" spans="1:9" x14ac:dyDescent="0.25">
      <c r="A41" s="462"/>
      <c r="B41" s="463"/>
      <c r="C41" s="463"/>
      <c r="D41" s="463"/>
      <c r="E41" s="463"/>
      <c r="F41" s="463"/>
      <c r="G41" s="463"/>
      <c r="H41" s="463"/>
      <c r="I41" s="464"/>
    </row>
    <row r="43" spans="1:9" x14ac:dyDescent="0.25">
      <c r="A43" t="s">
        <v>1193</v>
      </c>
    </row>
    <row r="44" spans="1:9" x14ac:dyDescent="0.25">
      <c r="A44" s="452"/>
      <c r="B44" s="453"/>
      <c r="C44" s="453"/>
      <c r="D44" s="453"/>
      <c r="E44" s="453"/>
      <c r="F44" s="453"/>
      <c r="G44" s="453"/>
      <c r="H44" s="453"/>
      <c r="I44" s="454"/>
    </row>
    <row r="45" spans="1:9" x14ac:dyDescent="0.25">
      <c r="A45" s="455"/>
      <c r="B45" s="456"/>
      <c r="C45" s="456"/>
      <c r="D45" s="456"/>
      <c r="E45" s="456"/>
      <c r="F45" s="456"/>
      <c r="G45" s="456"/>
      <c r="H45" s="456"/>
      <c r="I45" s="457"/>
    </row>
    <row r="46" spans="1:9" x14ac:dyDescent="0.25">
      <c r="A46" s="458"/>
      <c r="B46" s="459"/>
      <c r="C46" s="459"/>
      <c r="D46" s="459"/>
      <c r="E46" s="459"/>
      <c r="F46" s="459"/>
      <c r="G46" s="459"/>
      <c r="H46" s="459"/>
      <c r="I46" s="460"/>
    </row>
  </sheetData>
  <sheetProtection algorithmName="SHA-512" hashValue="EkN4U2r68fzOCdpbJLX0Pm8zO5aoKwvYdjzW/2/mWqJ+YQTcPmm7sQnTHNOFngywhiN/374cLikDrU/Q0/+RWw==" saltValue="UEfxiFRpan66YtwtvM5QEg==" spinCount="100000" sheet="1" objects="1" scenarios="1"/>
  <mergeCells count="9">
    <mergeCell ref="A44:I46"/>
    <mergeCell ref="A36:I38"/>
    <mergeCell ref="A10:I12"/>
    <mergeCell ref="A1:I1"/>
    <mergeCell ref="A15:I17"/>
    <mergeCell ref="A20:I22"/>
    <mergeCell ref="A25:I27"/>
    <mergeCell ref="A30:I32"/>
    <mergeCell ref="A41:I41"/>
  </mergeCells>
  <pageMargins left="0.7" right="0.7" top="0.75" bottom="0.75" header="0.3" footer="0.3"/>
  <pageSetup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58E4-16AE-406F-A867-018648DFC955}">
  <sheetPr>
    <tabColor theme="8" tint="-0.249977111117893"/>
    <pageSetUpPr fitToPage="1"/>
  </sheetPr>
  <dimension ref="A1:BB34"/>
  <sheetViews>
    <sheetView zoomScale="89" workbookViewId="0">
      <selection activeCell="F4" sqref="F4:P6"/>
    </sheetView>
  </sheetViews>
  <sheetFormatPr defaultRowHeight="15" x14ac:dyDescent="0.25"/>
  <cols>
    <col min="1" max="1" width="25.5703125" customWidth="1"/>
    <col min="2" max="2" width="33.5703125" customWidth="1"/>
    <col min="3" max="3" width="25.28515625" customWidth="1"/>
    <col min="4" max="4" width="14.7109375" customWidth="1"/>
    <col min="5" max="5" width="4.140625" customWidth="1"/>
    <col min="15" max="15" width="6.28515625" customWidth="1"/>
    <col min="16" max="17" width="3.85546875" customWidth="1"/>
    <col min="25" max="25" width="6.42578125" customWidth="1"/>
    <col min="26" max="26" width="5.85546875" customWidth="1"/>
    <col min="28" max="28" width="5.140625" customWidth="1"/>
    <col min="39" max="39" width="13.7109375" customWidth="1"/>
    <col min="40" max="40" width="14.28515625" bestFit="1" customWidth="1"/>
    <col min="42" max="42" width="32.28515625" customWidth="1"/>
    <col min="44" max="44" width="11" customWidth="1"/>
  </cols>
  <sheetData>
    <row r="1" spans="1:51" ht="15.75" thickBot="1" x14ac:dyDescent="0.3"/>
    <row r="2" spans="1:51" ht="29.25" thickBot="1" x14ac:dyDescent="0.5">
      <c r="A2" s="465" t="s">
        <v>548</v>
      </c>
      <c r="B2" s="466"/>
      <c r="C2" s="466"/>
      <c r="D2" s="467"/>
      <c r="F2" s="465" t="s">
        <v>534</v>
      </c>
      <c r="G2" s="505"/>
      <c r="H2" s="505"/>
      <c r="I2" s="505"/>
      <c r="J2" s="505"/>
      <c r="K2" s="505"/>
      <c r="L2" s="505"/>
      <c r="M2" s="505"/>
      <c r="N2" s="505"/>
      <c r="O2" s="505"/>
      <c r="P2" s="505"/>
      <c r="Q2" s="505"/>
      <c r="R2" s="505"/>
      <c r="S2" s="505"/>
      <c r="T2" s="505"/>
      <c r="U2" s="505"/>
      <c r="V2" s="505"/>
      <c r="W2" s="505"/>
      <c r="X2" s="505"/>
      <c r="Y2" s="505"/>
      <c r="Z2" s="505"/>
      <c r="AA2" s="505"/>
      <c r="AB2" s="506"/>
    </row>
    <row r="3" spans="1:51" ht="15.75" thickBot="1" x14ac:dyDescent="0.3">
      <c r="A3" s="246" t="s">
        <v>495</v>
      </c>
      <c r="D3" s="44"/>
      <c r="F3" s="125" t="s">
        <v>358</v>
      </c>
      <c r="R3" s="125" t="s">
        <v>361</v>
      </c>
    </row>
    <row r="4" spans="1:51" ht="16.5" customHeight="1" thickBot="1" x14ac:dyDescent="0.3">
      <c r="A4" s="58" t="s">
        <v>235</v>
      </c>
      <c r="B4" s="163" t="s">
        <v>231</v>
      </c>
      <c r="C4" s="156" t="s">
        <v>232</v>
      </c>
      <c r="D4" s="165">
        <v>10049</v>
      </c>
      <c r="F4" s="482" t="s">
        <v>359</v>
      </c>
      <c r="G4" s="483"/>
      <c r="H4" s="483"/>
      <c r="I4" s="483"/>
      <c r="J4" s="483"/>
      <c r="K4" s="483"/>
      <c r="L4" s="483"/>
      <c r="M4" s="483"/>
      <c r="N4" s="483"/>
      <c r="O4" s="483"/>
      <c r="P4" s="484"/>
      <c r="R4" s="491" t="s">
        <v>362</v>
      </c>
      <c r="S4" s="492"/>
      <c r="T4" s="492"/>
      <c r="U4" s="492"/>
      <c r="V4" s="492"/>
      <c r="W4" s="492"/>
      <c r="X4" s="492"/>
      <c r="Y4" s="492"/>
      <c r="Z4" s="492"/>
      <c r="AA4" s="492"/>
      <c r="AB4" s="493"/>
      <c r="AC4" s="253"/>
      <c r="AD4" s="253"/>
      <c r="AE4" s="253"/>
      <c r="AF4" s="253"/>
      <c r="AG4" s="253"/>
      <c r="AH4" s="253"/>
      <c r="AI4" s="253"/>
      <c r="AJ4" s="253"/>
      <c r="AK4" s="253"/>
      <c r="AQ4" s="30"/>
      <c r="AR4" s="468"/>
      <c r="AS4" s="468"/>
      <c r="AT4" s="468"/>
      <c r="AU4" s="29"/>
      <c r="AW4" s="469"/>
      <c r="AX4" s="469"/>
      <c r="AY4" s="469"/>
    </row>
    <row r="5" spans="1:51" ht="16.5" customHeight="1" x14ac:dyDescent="0.25">
      <c r="A5" s="54" t="s">
        <v>233</v>
      </c>
      <c r="B5" s="164" t="s">
        <v>236</v>
      </c>
      <c r="C5" t="s">
        <v>234</v>
      </c>
      <c r="D5" s="166"/>
      <c r="F5" s="485"/>
      <c r="G5" s="486"/>
      <c r="H5" s="486"/>
      <c r="I5" s="486"/>
      <c r="J5" s="486"/>
      <c r="K5" s="486"/>
      <c r="L5" s="486"/>
      <c r="M5" s="486"/>
      <c r="N5" s="486"/>
      <c r="O5" s="486"/>
      <c r="P5" s="487"/>
      <c r="AQ5" s="263"/>
      <c r="AR5" s="264"/>
      <c r="AS5" s="264"/>
      <c r="AT5" s="264"/>
      <c r="AU5" s="29"/>
      <c r="AV5" s="263"/>
      <c r="AW5" s="264"/>
      <c r="AX5" s="264"/>
      <c r="AY5" s="264"/>
    </row>
    <row r="6" spans="1:51" ht="15.75" thickBot="1" x14ac:dyDescent="0.3">
      <c r="A6" s="54"/>
      <c r="D6" s="44"/>
      <c r="F6" s="488"/>
      <c r="G6" s="489"/>
      <c r="H6" s="489"/>
      <c r="I6" s="489"/>
      <c r="J6" s="489"/>
      <c r="K6" s="489"/>
      <c r="L6" s="489"/>
      <c r="M6" s="489"/>
      <c r="N6" s="489"/>
      <c r="O6" s="489"/>
      <c r="P6" s="490"/>
      <c r="R6" s="125" t="s">
        <v>363</v>
      </c>
      <c r="AQ6" s="263"/>
      <c r="AR6" s="263"/>
      <c r="AS6" s="263"/>
      <c r="AT6" s="263"/>
      <c r="AU6" s="29"/>
      <c r="AV6" s="263"/>
      <c r="AW6" s="263"/>
      <c r="AX6" s="263"/>
      <c r="AY6" s="263"/>
    </row>
    <row r="7" spans="1:51" ht="15.75" customHeight="1" thickBot="1" x14ac:dyDescent="0.3">
      <c r="A7" s="54" t="s">
        <v>215</v>
      </c>
      <c r="B7" s="168">
        <f>Worksheet!D28</f>
        <v>0</v>
      </c>
      <c r="C7" t="s">
        <v>216</v>
      </c>
      <c r="D7" s="166" t="s">
        <v>238</v>
      </c>
      <c r="R7" s="494" t="s">
        <v>364</v>
      </c>
      <c r="S7" s="495"/>
      <c r="T7" s="495"/>
      <c r="U7" s="495"/>
      <c r="V7" s="495"/>
      <c r="W7" s="495"/>
      <c r="X7" s="495"/>
      <c r="Y7" s="495"/>
      <c r="Z7" s="495"/>
      <c r="AA7" s="495"/>
      <c r="AB7" s="496"/>
      <c r="AC7" s="252"/>
      <c r="AD7" s="252"/>
      <c r="AE7" s="252"/>
      <c r="AF7" s="252"/>
      <c r="AG7" s="252"/>
      <c r="AH7" s="252"/>
      <c r="AI7" s="252"/>
      <c r="AJ7" s="252"/>
      <c r="AK7" s="252"/>
      <c r="AN7" t="s">
        <v>243</v>
      </c>
      <c r="AO7" t="s">
        <v>248</v>
      </c>
      <c r="AP7" t="s">
        <v>244</v>
      </c>
      <c r="AQ7" s="265"/>
      <c r="AR7" s="266"/>
      <c r="AU7" s="29"/>
      <c r="AV7" s="93"/>
      <c r="AW7" s="267"/>
      <c r="AX7" s="267"/>
      <c r="AY7" s="267"/>
    </row>
    <row r="8" spans="1:51" ht="15.75" thickBot="1" x14ac:dyDescent="0.3">
      <c r="A8" s="54" t="s">
        <v>217</v>
      </c>
      <c r="B8" s="169">
        <f>D10*Worksheet!E39</f>
        <v>0</v>
      </c>
      <c r="C8" t="s">
        <v>218</v>
      </c>
      <c r="D8" s="166">
        <v>10</v>
      </c>
      <c r="F8" s="125" t="s">
        <v>360</v>
      </c>
      <c r="AM8" t="s">
        <v>245</v>
      </c>
      <c r="AN8" s="174">
        <f>AV30*B8/100</f>
        <v>0</v>
      </c>
      <c r="AO8" s="175" t="str">
        <f>IFERROR(AN8/(AN8+AN9),"")</f>
        <v/>
      </c>
      <c r="AP8" t="s">
        <v>482</v>
      </c>
      <c r="AQ8" s="265"/>
      <c r="AR8" s="266"/>
      <c r="AU8" s="29"/>
      <c r="AV8" s="93"/>
      <c r="AW8" s="267"/>
      <c r="AX8" s="267"/>
      <c r="AY8" s="267"/>
    </row>
    <row r="9" spans="1:51" ht="15.75" customHeight="1" thickBot="1" x14ac:dyDescent="0.3">
      <c r="A9" s="54" t="s">
        <v>219</v>
      </c>
      <c r="B9" s="164">
        <v>10</v>
      </c>
      <c r="C9" t="s">
        <v>220</v>
      </c>
      <c r="D9" s="166">
        <v>10</v>
      </c>
      <c r="F9" s="482" t="s">
        <v>1197</v>
      </c>
      <c r="G9" s="497"/>
      <c r="H9" s="497"/>
      <c r="I9" s="497"/>
      <c r="J9" s="497"/>
      <c r="K9" s="497"/>
      <c r="L9" s="497"/>
      <c r="M9" s="497"/>
      <c r="N9" s="497"/>
      <c r="O9" s="497"/>
      <c r="P9" s="498"/>
      <c r="R9" s="125" t="s">
        <v>365</v>
      </c>
      <c r="AM9" t="s">
        <v>242</v>
      </c>
      <c r="AN9" s="84">
        <f>AZ30*B14</f>
        <v>0</v>
      </c>
      <c r="AO9" s="175" t="str">
        <f>IFERROR(AN9/(AN8+AN9),"")</f>
        <v/>
      </c>
      <c r="AP9" t="s">
        <v>482</v>
      </c>
      <c r="AQ9" s="265"/>
      <c r="AR9" s="266"/>
      <c r="AU9" s="29"/>
      <c r="AV9" s="93"/>
      <c r="AW9" s="267"/>
      <c r="AX9" s="267"/>
      <c r="AY9" s="267"/>
    </row>
    <row r="10" spans="1:51" ht="15" customHeight="1" x14ac:dyDescent="0.25">
      <c r="A10" s="54" t="s">
        <v>221</v>
      </c>
      <c r="B10" s="168">
        <f>Worksheet!D28</f>
        <v>0</v>
      </c>
      <c r="C10" t="s">
        <v>222</v>
      </c>
      <c r="D10" s="177">
        <f>AnnualkWhs-SUMIF(Worksheet!C21:C24,"kWh",Worksheet!B21:B24)</f>
        <v>0</v>
      </c>
      <c r="F10" s="499"/>
      <c r="G10" s="500"/>
      <c r="H10" s="500"/>
      <c r="I10" s="500"/>
      <c r="J10" s="500"/>
      <c r="K10" s="500"/>
      <c r="L10" s="500"/>
      <c r="M10" s="500"/>
      <c r="N10" s="500"/>
      <c r="O10" s="500"/>
      <c r="P10" s="501"/>
      <c r="R10" s="482" t="s">
        <v>1196</v>
      </c>
      <c r="S10" s="497"/>
      <c r="T10" s="497"/>
      <c r="U10" s="497"/>
      <c r="V10" s="497"/>
      <c r="W10" s="497"/>
      <c r="X10" s="497"/>
      <c r="Y10" s="497"/>
      <c r="Z10" s="497"/>
      <c r="AA10" s="497"/>
      <c r="AB10" s="498"/>
      <c r="AC10" s="254"/>
      <c r="AD10" s="254"/>
      <c r="AE10" s="254"/>
      <c r="AF10" s="254"/>
      <c r="AG10" s="254"/>
      <c r="AH10" s="254"/>
      <c r="AI10" s="254"/>
      <c r="AJ10" s="254"/>
      <c r="AK10" s="254"/>
      <c r="AQ10" s="265"/>
      <c r="AR10" s="266"/>
      <c r="AU10" s="29"/>
      <c r="AV10" s="93"/>
      <c r="AW10" s="267"/>
      <c r="AX10" s="267"/>
      <c r="AY10" s="267"/>
    </row>
    <row r="11" spans="1:51" ht="15.75" thickBot="1" x14ac:dyDescent="0.3">
      <c r="A11" s="54" t="s">
        <v>240</v>
      </c>
      <c r="B11" s="171" t="s">
        <v>241</v>
      </c>
      <c r="D11" s="44"/>
      <c r="F11" s="499"/>
      <c r="G11" s="500"/>
      <c r="H11" s="500"/>
      <c r="I11" s="500"/>
      <c r="J11" s="500"/>
      <c r="K11" s="500"/>
      <c r="L11" s="500"/>
      <c r="M11" s="500"/>
      <c r="N11" s="500"/>
      <c r="O11" s="500"/>
      <c r="P11" s="501"/>
      <c r="R11" s="502"/>
      <c r="S11" s="503"/>
      <c r="T11" s="503"/>
      <c r="U11" s="503"/>
      <c r="V11" s="503"/>
      <c r="W11" s="503"/>
      <c r="X11" s="503"/>
      <c r="Y11" s="503"/>
      <c r="Z11" s="503"/>
      <c r="AA11" s="503"/>
      <c r="AB11" s="504"/>
      <c r="AC11" s="254"/>
      <c r="AD11" s="254"/>
      <c r="AE11" s="254"/>
      <c r="AF11" s="254"/>
      <c r="AG11" s="254"/>
      <c r="AH11" s="254"/>
      <c r="AI11" s="254"/>
      <c r="AJ11" s="254"/>
      <c r="AK11" s="254"/>
      <c r="AM11" t="s">
        <v>246</v>
      </c>
      <c r="AN11" s="174">
        <f>B24*AV30/100</f>
        <v>0</v>
      </c>
      <c r="AO11" s="175" t="e">
        <f>AN11/(AN11+AN12)</f>
        <v>#DIV/0!</v>
      </c>
      <c r="AP11" s="173" t="e">
        <f>AO11*(0.5*TotCost-(B7+B13))</f>
        <v>#DIV/0!</v>
      </c>
      <c r="AQ11" s="265"/>
      <c r="AR11" s="266"/>
      <c r="AU11" s="29"/>
      <c r="AV11" s="93"/>
      <c r="AW11" s="267"/>
      <c r="AX11" s="267"/>
      <c r="AY11" s="267"/>
    </row>
    <row r="12" spans="1:51" x14ac:dyDescent="0.25">
      <c r="A12" s="54"/>
      <c r="D12" s="44"/>
      <c r="F12" s="499"/>
      <c r="G12" s="500"/>
      <c r="H12" s="500"/>
      <c r="I12" s="500"/>
      <c r="J12" s="500"/>
      <c r="K12" s="500"/>
      <c r="L12" s="500"/>
      <c r="M12" s="500"/>
      <c r="N12" s="500"/>
      <c r="O12" s="500"/>
      <c r="P12" s="501"/>
      <c r="AM12" t="s">
        <v>247</v>
      </c>
      <c r="AN12" s="174">
        <f>AZ30*B30</f>
        <v>0</v>
      </c>
      <c r="AO12" s="175" t="e">
        <f>AN12/(AN12+AN11)</f>
        <v>#DIV/0!</v>
      </c>
      <c r="AP12" s="173" t="e">
        <f>AO12*(0.5*TotCost-(B7+B13))</f>
        <v>#DIV/0!</v>
      </c>
      <c r="AQ12" s="265"/>
      <c r="AR12" s="266"/>
      <c r="AU12" s="29"/>
      <c r="AV12" s="93"/>
      <c r="AW12" s="267"/>
      <c r="AX12" s="267"/>
      <c r="AY12" s="267"/>
    </row>
    <row r="13" spans="1:51" x14ac:dyDescent="0.25">
      <c r="A13" s="54" t="s">
        <v>223</v>
      </c>
      <c r="B13" s="168">
        <f>Worksheet!D29</f>
        <v>0</v>
      </c>
      <c r="C13" t="s">
        <v>224</v>
      </c>
      <c r="D13" s="166" t="s">
        <v>239</v>
      </c>
      <c r="F13" s="499"/>
      <c r="G13" s="500"/>
      <c r="H13" s="500"/>
      <c r="I13" s="500"/>
      <c r="J13" s="500"/>
      <c r="K13" s="500"/>
      <c r="L13" s="500"/>
      <c r="M13" s="500"/>
      <c r="N13" s="500"/>
      <c r="O13" s="500"/>
      <c r="P13" s="501"/>
      <c r="AM13" t="s">
        <v>250</v>
      </c>
      <c r="AQ13" s="265"/>
      <c r="AR13" s="266"/>
      <c r="AU13" s="29"/>
      <c r="AV13" s="93"/>
      <c r="AW13" s="267"/>
      <c r="AX13" s="267"/>
      <c r="AY13" s="267"/>
    </row>
    <row r="14" spans="1:51" ht="15.75" thickBot="1" x14ac:dyDescent="0.3">
      <c r="A14" s="54" t="s">
        <v>225</v>
      </c>
      <c r="B14" s="169">
        <f>D16*Worksheet!E39</f>
        <v>0</v>
      </c>
      <c r="C14" t="s">
        <v>226</v>
      </c>
      <c r="D14" s="166">
        <v>10</v>
      </c>
      <c r="F14" s="499"/>
      <c r="G14" s="500"/>
      <c r="H14" s="500"/>
      <c r="I14" s="500"/>
      <c r="J14" s="500"/>
      <c r="K14" s="500"/>
      <c r="L14" s="500"/>
      <c r="M14" s="500"/>
      <c r="N14" s="500"/>
      <c r="O14" s="500"/>
      <c r="P14" s="501"/>
      <c r="R14" s="125" t="s">
        <v>366</v>
      </c>
      <c r="AM14" t="s">
        <v>249</v>
      </c>
      <c r="AN14" s="84"/>
      <c r="AQ14" s="265"/>
      <c r="AR14" s="266"/>
      <c r="AU14" s="29"/>
      <c r="AV14" s="93"/>
      <c r="AW14" s="267"/>
      <c r="AX14" s="267"/>
      <c r="AY14" s="267"/>
    </row>
    <row r="15" spans="1:51" ht="15" customHeight="1" x14ac:dyDescent="0.25">
      <c r="A15" s="54" t="s">
        <v>227</v>
      </c>
      <c r="B15" s="164">
        <v>10</v>
      </c>
      <c r="C15" t="s">
        <v>228</v>
      </c>
      <c r="D15" s="166">
        <v>10</v>
      </c>
      <c r="F15" s="499"/>
      <c r="G15" s="500"/>
      <c r="H15" s="500"/>
      <c r="I15" s="500"/>
      <c r="J15" s="500"/>
      <c r="K15" s="500"/>
      <c r="L15" s="500"/>
      <c r="M15" s="500"/>
      <c r="N15" s="500"/>
      <c r="O15" s="500"/>
      <c r="P15" s="501"/>
      <c r="R15" s="482" t="s">
        <v>1201</v>
      </c>
      <c r="S15" s="497"/>
      <c r="T15" s="497"/>
      <c r="U15" s="497"/>
      <c r="V15" s="497"/>
      <c r="W15" s="497"/>
      <c r="X15" s="497"/>
      <c r="Y15" s="497"/>
      <c r="Z15" s="497"/>
      <c r="AA15" s="497"/>
      <c r="AB15" s="498"/>
      <c r="AC15" s="254"/>
      <c r="AD15" s="254"/>
      <c r="AE15" s="254"/>
      <c r="AF15" s="254"/>
      <c r="AG15" s="254"/>
      <c r="AH15" s="254"/>
      <c r="AI15" s="254"/>
      <c r="AJ15" s="254"/>
      <c r="AK15" s="254"/>
      <c r="AM15" t="s">
        <v>253</v>
      </c>
      <c r="AQ15" s="265"/>
      <c r="AR15" s="266"/>
      <c r="AU15" s="29"/>
      <c r="AV15" s="93"/>
      <c r="AW15" s="267"/>
      <c r="AX15" s="267"/>
      <c r="AY15" s="267"/>
    </row>
    <row r="16" spans="1:51" x14ac:dyDescent="0.25">
      <c r="A16" s="54" t="s">
        <v>229</v>
      </c>
      <c r="B16" s="168">
        <f>Worksheet!D29</f>
        <v>0</v>
      </c>
      <c r="C16" t="s">
        <v>230</v>
      </c>
      <c r="D16" s="177">
        <f>AnnualTherms-SUMIF(Worksheet!C21:C24,"Therm",Worksheet!B21:B24)</f>
        <v>0</v>
      </c>
      <c r="F16" s="499"/>
      <c r="G16" s="500"/>
      <c r="H16" s="500"/>
      <c r="I16" s="500"/>
      <c r="J16" s="500"/>
      <c r="K16" s="500"/>
      <c r="L16" s="500"/>
      <c r="M16" s="500"/>
      <c r="N16" s="500"/>
      <c r="O16" s="500"/>
      <c r="P16" s="501"/>
      <c r="R16" s="499"/>
      <c r="S16" s="500"/>
      <c r="T16" s="500"/>
      <c r="U16" s="500"/>
      <c r="V16" s="500"/>
      <c r="W16" s="500"/>
      <c r="X16" s="500"/>
      <c r="Y16" s="500"/>
      <c r="Z16" s="500"/>
      <c r="AA16" s="500"/>
      <c r="AB16" s="501"/>
      <c r="AC16" s="254"/>
      <c r="AD16" s="254"/>
      <c r="AE16" s="254"/>
      <c r="AF16" s="254"/>
      <c r="AG16" s="254"/>
      <c r="AH16" s="254"/>
      <c r="AI16" s="254"/>
      <c r="AJ16" s="254"/>
      <c r="AK16" s="254"/>
      <c r="AQ16" s="265"/>
      <c r="AR16" s="266"/>
      <c r="AU16" s="29"/>
      <c r="AV16" s="93"/>
      <c r="AW16" s="267"/>
      <c r="AX16" s="267"/>
      <c r="AY16" s="267"/>
    </row>
    <row r="17" spans="1:54" ht="15.75" thickBot="1" x14ac:dyDescent="0.3">
      <c r="A17" s="157" t="s">
        <v>23</v>
      </c>
      <c r="B17" s="170">
        <f>B13+B7</f>
        <v>0</v>
      </c>
      <c r="C17" s="158"/>
      <c r="D17" s="159"/>
      <c r="F17" s="499"/>
      <c r="G17" s="500"/>
      <c r="H17" s="500"/>
      <c r="I17" s="500"/>
      <c r="J17" s="500"/>
      <c r="K17" s="500"/>
      <c r="L17" s="500"/>
      <c r="M17" s="500"/>
      <c r="N17" s="500"/>
      <c r="O17" s="500"/>
      <c r="P17" s="501"/>
      <c r="R17" s="499"/>
      <c r="S17" s="500"/>
      <c r="T17" s="500"/>
      <c r="U17" s="500"/>
      <c r="V17" s="500"/>
      <c r="W17" s="500"/>
      <c r="X17" s="500"/>
      <c r="Y17" s="500"/>
      <c r="Z17" s="500"/>
      <c r="AA17" s="500"/>
      <c r="AB17" s="501"/>
      <c r="AC17" s="254"/>
      <c r="AD17" s="254"/>
      <c r="AE17" s="254"/>
      <c r="AF17" s="254"/>
      <c r="AG17" s="254"/>
      <c r="AH17" s="254"/>
      <c r="AI17" s="254"/>
      <c r="AJ17" s="254"/>
      <c r="AK17" s="254"/>
      <c r="AR17" t="s">
        <v>265</v>
      </c>
    </row>
    <row r="18" spans="1:54" ht="16.5" thickBot="1" x14ac:dyDescent="0.3">
      <c r="A18" s="54"/>
      <c r="B18" s="84"/>
      <c r="D18" s="44"/>
      <c r="F18" s="499"/>
      <c r="G18" s="500"/>
      <c r="H18" s="500"/>
      <c r="I18" s="500"/>
      <c r="J18" s="500"/>
      <c r="K18" s="500"/>
      <c r="L18" s="500"/>
      <c r="M18" s="500"/>
      <c r="N18" s="500"/>
      <c r="O18" s="500"/>
      <c r="P18" s="501"/>
      <c r="R18" s="499"/>
      <c r="S18" s="500"/>
      <c r="T18" s="500"/>
      <c r="U18" s="500"/>
      <c r="V18" s="500"/>
      <c r="W18" s="500"/>
      <c r="X18" s="500"/>
      <c r="Y18" s="500"/>
      <c r="Z18" s="500"/>
      <c r="AA18" s="500"/>
      <c r="AB18" s="501"/>
      <c r="AC18" s="254"/>
      <c r="AD18" s="254"/>
      <c r="AE18" s="254"/>
      <c r="AF18" s="254"/>
      <c r="AG18" s="254"/>
      <c r="AH18" s="254"/>
      <c r="AI18" s="254"/>
      <c r="AJ18" s="254"/>
      <c r="AK18" s="254"/>
      <c r="AM18" t="s">
        <v>267</v>
      </c>
      <c r="AQ18" s="470" t="s">
        <v>254</v>
      </c>
      <c r="AR18" s="471"/>
      <c r="AS18" s="471"/>
      <c r="AT18" s="471"/>
      <c r="AU18" s="471"/>
      <c r="AV18" s="471"/>
      <c r="AW18" s="472"/>
      <c r="AY18" s="476" t="s">
        <v>257</v>
      </c>
      <c r="AZ18" s="477"/>
      <c r="BA18" s="477"/>
      <c r="BB18" s="478"/>
    </row>
    <row r="19" spans="1:54" ht="16.5" thickBot="1" x14ac:dyDescent="0.3">
      <c r="A19" s="246" t="s">
        <v>496</v>
      </c>
      <c r="D19" s="44"/>
      <c r="F19" s="499"/>
      <c r="G19" s="500"/>
      <c r="H19" s="500"/>
      <c r="I19" s="500"/>
      <c r="J19" s="500"/>
      <c r="K19" s="500"/>
      <c r="L19" s="500"/>
      <c r="M19" s="500"/>
      <c r="N19" s="500"/>
      <c r="O19" s="500"/>
      <c r="P19" s="501"/>
      <c r="R19" s="499"/>
      <c r="S19" s="500"/>
      <c r="T19" s="500"/>
      <c r="U19" s="500"/>
      <c r="V19" s="500"/>
      <c r="W19" s="500"/>
      <c r="X19" s="500"/>
      <c r="Y19" s="500"/>
      <c r="Z19" s="500"/>
      <c r="AA19" s="500"/>
      <c r="AB19" s="501"/>
      <c r="AC19" s="254"/>
      <c r="AD19" s="254"/>
      <c r="AE19" s="254"/>
      <c r="AF19" s="254"/>
      <c r="AG19" s="254"/>
      <c r="AH19" s="254"/>
      <c r="AI19" s="254"/>
      <c r="AJ19" s="254"/>
      <c r="AK19" s="254"/>
      <c r="AM19" t="s">
        <v>269</v>
      </c>
      <c r="AQ19" s="473"/>
      <c r="AR19" s="474"/>
      <c r="AS19" s="474"/>
      <c r="AT19" s="474"/>
      <c r="AU19" s="474"/>
      <c r="AV19" s="474"/>
      <c r="AW19" s="475"/>
      <c r="AY19" s="479" t="s">
        <v>255</v>
      </c>
      <c r="AZ19" s="480"/>
      <c r="BA19" s="480"/>
      <c r="BB19" s="481"/>
    </row>
    <row r="20" spans="1:54" ht="16.5" customHeight="1" thickBot="1" x14ac:dyDescent="0.3">
      <c r="A20" s="58" t="s">
        <v>235</v>
      </c>
      <c r="B20" s="167" t="s">
        <v>237</v>
      </c>
      <c r="C20" s="156" t="s">
        <v>232</v>
      </c>
      <c r="D20" s="165">
        <v>11912</v>
      </c>
      <c r="F20" s="499"/>
      <c r="G20" s="500"/>
      <c r="H20" s="500"/>
      <c r="I20" s="500"/>
      <c r="J20" s="500"/>
      <c r="K20" s="500"/>
      <c r="L20" s="500"/>
      <c r="M20" s="500"/>
      <c r="N20" s="500"/>
      <c r="O20" s="500"/>
      <c r="P20" s="501"/>
      <c r="R20" s="499"/>
      <c r="S20" s="500"/>
      <c r="T20" s="500"/>
      <c r="U20" s="500"/>
      <c r="V20" s="500"/>
      <c r="W20" s="500"/>
      <c r="X20" s="500"/>
      <c r="Y20" s="500"/>
      <c r="Z20" s="500"/>
      <c r="AA20" s="500"/>
      <c r="AB20" s="501"/>
      <c r="AC20" s="254"/>
      <c r="AD20" s="254"/>
      <c r="AE20" s="254"/>
      <c r="AF20" s="254"/>
      <c r="AG20" s="254"/>
      <c r="AH20" s="254"/>
      <c r="AI20" s="254"/>
      <c r="AJ20" s="254"/>
      <c r="AK20" s="254"/>
      <c r="AM20" s="125" t="s">
        <v>268</v>
      </c>
      <c r="AQ20" s="178" t="s">
        <v>256</v>
      </c>
      <c r="AR20" s="179" t="s">
        <v>261</v>
      </c>
      <c r="AS20" s="180" t="s">
        <v>262</v>
      </c>
      <c r="AT20" s="180" t="s">
        <v>259</v>
      </c>
      <c r="AU20" s="180" t="s">
        <v>263</v>
      </c>
      <c r="AV20" s="180" t="s">
        <v>238</v>
      </c>
      <c r="AW20" s="181" t="s">
        <v>264</v>
      </c>
      <c r="AY20" s="178" t="s">
        <v>256</v>
      </c>
      <c r="AZ20" s="179" t="s">
        <v>258</v>
      </c>
      <c r="BA20" s="180" t="s">
        <v>259</v>
      </c>
      <c r="BB20" s="181" t="s">
        <v>260</v>
      </c>
    </row>
    <row r="21" spans="1:54" x14ac:dyDescent="0.25">
      <c r="A21" s="54" t="s">
        <v>233</v>
      </c>
      <c r="B21" s="164" t="s">
        <v>236</v>
      </c>
      <c r="C21" t="s">
        <v>234</v>
      </c>
      <c r="D21" s="166"/>
      <c r="F21" s="499"/>
      <c r="G21" s="500"/>
      <c r="H21" s="500"/>
      <c r="I21" s="500"/>
      <c r="J21" s="500"/>
      <c r="K21" s="500"/>
      <c r="L21" s="500"/>
      <c r="M21" s="500"/>
      <c r="N21" s="500"/>
      <c r="O21" s="500"/>
      <c r="P21" s="501"/>
      <c r="R21" s="499"/>
      <c r="S21" s="500"/>
      <c r="T21" s="500"/>
      <c r="U21" s="500"/>
      <c r="V21" s="500"/>
      <c r="W21" s="500"/>
      <c r="X21" s="500"/>
      <c r="Y21" s="500"/>
      <c r="Z21" s="500"/>
      <c r="AA21" s="500"/>
      <c r="AB21" s="501"/>
      <c r="AC21" s="254"/>
      <c r="AD21" s="254"/>
      <c r="AE21" s="254"/>
      <c r="AF21" s="254"/>
      <c r="AG21" s="254"/>
      <c r="AH21" s="254"/>
      <c r="AI21" s="254"/>
      <c r="AJ21" s="254"/>
      <c r="AK21" s="254"/>
      <c r="AM21" t="s">
        <v>270</v>
      </c>
      <c r="AQ21" s="31">
        <v>1</v>
      </c>
      <c r="AR21" s="182">
        <v>18.135267656552486</v>
      </c>
      <c r="AS21" s="183">
        <v>12.164588463308961</v>
      </c>
      <c r="AT21" s="183">
        <v>10.232371818980374</v>
      </c>
      <c r="AU21" s="183">
        <v>13.530513842956498</v>
      </c>
      <c r="AV21" s="183">
        <v>13.830142785761868</v>
      </c>
      <c r="AW21" s="184">
        <v>14.191897780701742</v>
      </c>
      <c r="AY21" s="8">
        <v>1</v>
      </c>
      <c r="AZ21" s="188">
        <v>1.5499364137933744</v>
      </c>
      <c r="BA21" s="189">
        <v>1.3989029524398084</v>
      </c>
      <c r="BB21" s="190">
        <v>1.3866524971898251</v>
      </c>
    </row>
    <row r="22" spans="1:54" x14ac:dyDescent="0.25">
      <c r="A22" s="54"/>
      <c r="D22" s="44"/>
      <c r="F22" s="499"/>
      <c r="G22" s="500"/>
      <c r="H22" s="500"/>
      <c r="I22" s="500"/>
      <c r="J22" s="500"/>
      <c r="K22" s="500"/>
      <c r="L22" s="500"/>
      <c r="M22" s="500"/>
      <c r="N22" s="500"/>
      <c r="O22" s="500"/>
      <c r="P22" s="501"/>
      <c r="R22" s="499"/>
      <c r="S22" s="500"/>
      <c r="T22" s="500"/>
      <c r="U22" s="500"/>
      <c r="V22" s="500"/>
      <c r="W22" s="500"/>
      <c r="X22" s="500"/>
      <c r="Y22" s="500"/>
      <c r="Z22" s="500"/>
      <c r="AA22" s="500"/>
      <c r="AB22" s="501"/>
      <c r="AC22" s="254"/>
      <c r="AD22" s="254"/>
      <c r="AE22" s="254"/>
      <c r="AF22" s="254"/>
      <c r="AG22" s="254"/>
      <c r="AH22" s="254"/>
      <c r="AI22" s="254"/>
      <c r="AJ22" s="254"/>
      <c r="AK22" s="254"/>
      <c r="AM22" t="s">
        <v>483</v>
      </c>
      <c r="AQ22" s="32">
        <v>2</v>
      </c>
      <c r="AR22" s="185">
        <v>35.109326532228138</v>
      </c>
      <c r="AS22" s="186">
        <v>23.555143122162033</v>
      </c>
      <c r="AT22" s="186">
        <v>19.804890172557648</v>
      </c>
      <c r="AU22" s="186">
        <v>26.196003655142423</v>
      </c>
      <c r="AV22" s="186">
        <v>26.773494200190374</v>
      </c>
      <c r="AW22" s="187">
        <v>27.484470452675509</v>
      </c>
      <c r="AY22" s="8">
        <v>2</v>
      </c>
      <c r="AZ22" s="188">
        <v>3.0520089661309338</v>
      </c>
      <c r="BA22" s="189">
        <v>2.7641159584256596</v>
      </c>
      <c r="BB22" s="190">
        <v>2.7408619701249584</v>
      </c>
    </row>
    <row r="23" spans="1:54" x14ac:dyDescent="0.25">
      <c r="A23" s="54" t="s">
        <v>215</v>
      </c>
      <c r="B23" s="176" t="str">
        <f>AP33</f>
        <v/>
      </c>
      <c r="C23" t="s">
        <v>216</v>
      </c>
      <c r="D23" s="166" t="s">
        <v>238</v>
      </c>
      <c r="F23" s="499"/>
      <c r="G23" s="500"/>
      <c r="H23" s="500"/>
      <c r="I23" s="500"/>
      <c r="J23" s="500"/>
      <c r="K23" s="500"/>
      <c r="L23" s="500"/>
      <c r="M23" s="500"/>
      <c r="N23" s="500"/>
      <c r="O23" s="500"/>
      <c r="P23" s="501"/>
      <c r="R23" s="499"/>
      <c r="S23" s="500"/>
      <c r="T23" s="500"/>
      <c r="U23" s="500"/>
      <c r="V23" s="500"/>
      <c r="W23" s="500"/>
      <c r="X23" s="500"/>
      <c r="Y23" s="500"/>
      <c r="Z23" s="500"/>
      <c r="AA23" s="500"/>
      <c r="AB23" s="501"/>
      <c r="AC23" s="254"/>
      <c r="AD23" s="254"/>
      <c r="AE23" s="254"/>
      <c r="AF23" s="254"/>
      <c r="AG23" s="254"/>
      <c r="AH23" s="254"/>
      <c r="AI23" s="254"/>
      <c r="AJ23" s="254"/>
      <c r="AK23" s="254"/>
      <c r="AM23" t="s">
        <v>488</v>
      </c>
      <c r="AN23" s="94"/>
      <c r="AQ23" s="32">
        <v>3</v>
      </c>
      <c r="AR23" s="185">
        <v>51.451890514865404</v>
      </c>
      <c r="AS23" s="186">
        <v>34.688311812833639</v>
      </c>
      <c r="AT23" s="186">
        <v>29.170093471050855</v>
      </c>
      <c r="AU23" s="186">
        <v>38.463577950689057</v>
      </c>
      <c r="AV23" s="186">
        <v>39.296248767403071</v>
      </c>
      <c r="AW23" s="187">
        <v>40.343383823249304</v>
      </c>
      <c r="AY23" s="8">
        <v>3</v>
      </c>
      <c r="AZ23" s="188">
        <v>4.4863109831787673</v>
      </c>
      <c r="BA23" s="189">
        <v>4.0710223169176194</v>
      </c>
      <c r="BB23" s="190">
        <v>4.037473968433793</v>
      </c>
    </row>
    <row r="24" spans="1:54" x14ac:dyDescent="0.25">
      <c r="A24" s="54" t="s">
        <v>217</v>
      </c>
      <c r="B24" s="169">
        <f>Worksheet!C34</f>
        <v>0</v>
      </c>
      <c r="C24" t="s">
        <v>218</v>
      </c>
      <c r="D24" s="166">
        <v>10</v>
      </c>
      <c r="F24" s="499"/>
      <c r="G24" s="500"/>
      <c r="H24" s="500"/>
      <c r="I24" s="500"/>
      <c r="J24" s="500"/>
      <c r="K24" s="500"/>
      <c r="L24" s="500"/>
      <c r="M24" s="500"/>
      <c r="N24" s="500"/>
      <c r="O24" s="500"/>
      <c r="P24" s="501"/>
      <c r="R24" s="499"/>
      <c r="S24" s="500"/>
      <c r="T24" s="500"/>
      <c r="U24" s="500"/>
      <c r="V24" s="500"/>
      <c r="W24" s="500"/>
      <c r="X24" s="500"/>
      <c r="Y24" s="500"/>
      <c r="Z24" s="500"/>
      <c r="AA24" s="500"/>
      <c r="AB24" s="501"/>
      <c r="AC24" s="254"/>
      <c r="AD24" s="254"/>
      <c r="AE24" s="254"/>
      <c r="AF24" s="254"/>
      <c r="AG24" s="254"/>
      <c r="AH24" s="254"/>
      <c r="AI24" s="254"/>
      <c r="AJ24" s="254"/>
      <c r="AK24" s="254"/>
      <c r="AM24" t="s">
        <v>484</v>
      </c>
      <c r="AQ24" s="32">
        <v>4</v>
      </c>
      <c r="AR24" s="185">
        <v>66.70451456960707</v>
      </c>
      <c r="AS24" s="186">
        <v>45.091174775623465</v>
      </c>
      <c r="AT24" s="186">
        <v>37.868299153465493</v>
      </c>
      <c r="AU24" s="186">
        <v>49.883454935462403</v>
      </c>
      <c r="AV24" s="186">
        <v>50.959541994787863</v>
      </c>
      <c r="AW24" s="187">
        <v>52.320590098428099</v>
      </c>
      <c r="AY24" s="8">
        <v>4</v>
      </c>
      <c r="AZ24" s="188">
        <v>5.8282992220040191</v>
      </c>
      <c r="BA24" s="189">
        <v>5.2973864788536211</v>
      </c>
      <c r="BB24" s="190">
        <v>5.2542405978945874</v>
      </c>
    </row>
    <row r="25" spans="1:54" x14ac:dyDescent="0.25">
      <c r="A25" s="54" t="s">
        <v>219</v>
      </c>
      <c r="B25" s="164">
        <v>10</v>
      </c>
      <c r="C25" t="s">
        <v>220</v>
      </c>
      <c r="D25" s="166">
        <v>10</v>
      </c>
      <c r="F25" s="499"/>
      <c r="G25" s="500"/>
      <c r="H25" s="500"/>
      <c r="I25" s="500"/>
      <c r="J25" s="500"/>
      <c r="K25" s="500"/>
      <c r="L25" s="500"/>
      <c r="M25" s="500"/>
      <c r="N25" s="500"/>
      <c r="O25" s="500"/>
      <c r="P25" s="501"/>
      <c r="R25" s="499"/>
      <c r="S25" s="500"/>
      <c r="T25" s="500"/>
      <c r="U25" s="500"/>
      <c r="V25" s="500"/>
      <c r="W25" s="500"/>
      <c r="X25" s="500"/>
      <c r="Y25" s="500"/>
      <c r="Z25" s="500"/>
      <c r="AA25" s="500"/>
      <c r="AB25" s="501"/>
      <c r="AC25" s="254"/>
      <c r="AD25" s="254"/>
      <c r="AE25" s="254"/>
      <c r="AF25" s="254"/>
      <c r="AG25" s="254"/>
      <c r="AH25" s="254"/>
      <c r="AI25" s="254"/>
      <c r="AJ25" s="254"/>
      <c r="AK25" s="254"/>
      <c r="AM25" t="s">
        <v>485</v>
      </c>
      <c r="AQ25" s="32">
        <v>5</v>
      </c>
      <c r="AR25" s="185">
        <v>80.949294183059394</v>
      </c>
      <c r="AS25" s="186">
        <v>54.732701924536165</v>
      </c>
      <c r="AT25" s="186">
        <v>45.909114989261973</v>
      </c>
      <c r="AU25" s="186">
        <v>60.497430892634377</v>
      </c>
      <c r="AV25" s="186">
        <v>61.797602934959038</v>
      </c>
      <c r="AW25" s="187">
        <v>63.445198523743748</v>
      </c>
      <c r="AY25" s="8">
        <v>5</v>
      </c>
      <c r="AZ25" s="188">
        <v>7.1179594716241992</v>
      </c>
      <c r="BA25" s="189">
        <v>6.4786636499498238</v>
      </c>
      <c r="BB25" s="190">
        <v>6.4265648398743611</v>
      </c>
    </row>
    <row r="26" spans="1:54" x14ac:dyDescent="0.25">
      <c r="A26" s="54" t="s">
        <v>221</v>
      </c>
      <c r="B26" s="168">
        <f>MIN(B23,0.45*B24)</f>
        <v>0</v>
      </c>
      <c r="C26" t="s">
        <v>222</v>
      </c>
      <c r="D26" s="177">
        <f>D10</f>
        <v>0</v>
      </c>
      <c r="F26" s="499"/>
      <c r="G26" s="500"/>
      <c r="H26" s="500"/>
      <c r="I26" s="500"/>
      <c r="J26" s="500"/>
      <c r="K26" s="500"/>
      <c r="L26" s="500"/>
      <c r="M26" s="500"/>
      <c r="N26" s="500"/>
      <c r="O26" s="500"/>
      <c r="P26" s="501"/>
      <c r="R26" s="499"/>
      <c r="S26" s="500"/>
      <c r="T26" s="500"/>
      <c r="U26" s="500"/>
      <c r="V26" s="500"/>
      <c r="W26" s="500"/>
      <c r="X26" s="500"/>
      <c r="Y26" s="500"/>
      <c r="Z26" s="500"/>
      <c r="AA26" s="500"/>
      <c r="AB26" s="501"/>
      <c r="AC26" s="254"/>
      <c r="AD26" s="254"/>
      <c r="AE26" s="254"/>
      <c r="AF26" s="254"/>
      <c r="AG26" s="254"/>
      <c r="AH26" s="254"/>
      <c r="AI26" s="254"/>
      <c r="AJ26" s="254"/>
      <c r="AK26" s="254"/>
      <c r="AM26" t="s">
        <v>486</v>
      </c>
      <c r="AQ26" s="32">
        <v>6</v>
      </c>
      <c r="AR26" s="185">
        <v>94.113469650021571</v>
      </c>
      <c r="AS26" s="186">
        <v>63.716398348655886</v>
      </c>
      <c r="AT26" s="186">
        <v>53.310946608062359</v>
      </c>
      <c r="AU26" s="186">
        <v>70.359842336594298</v>
      </c>
      <c r="AV26" s="186">
        <v>71.846316446566661</v>
      </c>
      <c r="AW26" s="187">
        <v>73.757563892795488</v>
      </c>
      <c r="AY26" s="8">
        <v>6</v>
      </c>
      <c r="AZ26" s="188">
        <v>8.3358841583125383</v>
      </c>
      <c r="BA26" s="189">
        <v>7.6023860580716063</v>
      </c>
      <c r="BB26" s="190">
        <v>7.5426561154918765</v>
      </c>
    </row>
    <row r="27" spans="1:54" x14ac:dyDescent="0.25">
      <c r="A27" s="54" t="s">
        <v>240</v>
      </c>
      <c r="B27" s="171" t="s">
        <v>241</v>
      </c>
      <c r="D27" s="44"/>
      <c r="F27" s="499"/>
      <c r="G27" s="500"/>
      <c r="H27" s="500"/>
      <c r="I27" s="500"/>
      <c r="J27" s="500"/>
      <c r="K27" s="500"/>
      <c r="L27" s="500"/>
      <c r="M27" s="500"/>
      <c r="N27" s="500"/>
      <c r="O27" s="500"/>
      <c r="P27" s="501"/>
      <c r="R27" s="499"/>
      <c r="S27" s="500"/>
      <c r="T27" s="500"/>
      <c r="U27" s="500"/>
      <c r="V27" s="500"/>
      <c r="W27" s="500"/>
      <c r="X27" s="500"/>
      <c r="Y27" s="500"/>
      <c r="Z27" s="500"/>
      <c r="AA27" s="500"/>
      <c r="AB27" s="501"/>
      <c r="AC27" s="254"/>
      <c r="AD27" s="254"/>
      <c r="AE27" s="254"/>
      <c r="AF27" s="254"/>
      <c r="AG27" s="254"/>
      <c r="AH27" s="254"/>
      <c r="AI27" s="254"/>
      <c r="AJ27" s="254"/>
      <c r="AK27" s="254"/>
      <c r="AM27" t="s">
        <v>487</v>
      </c>
      <c r="AQ27" s="32">
        <v>7</v>
      </c>
      <c r="AR27" s="185">
        <v>106.35711517430697</v>
      </c>
      <c r="AS27" s="186">
        <v>72.020033476244706</v>
      </c>
      <c r="AT27" s="186">
        <v>60.129683920489043</v>
      </c>
      <c r="AU27" s="186">
        <v>79.486315000389069</v>
      </c>
      <c r="AV27" s="186">
        <v>81.146466472619238</v>
      </c>
      <c r="AW27" s="187">
        <v>83.304868417684261</v>
      </c>
      <c r="AY27" s="8">
        <v>7</v>
      </c>
      <c r="AZ27" s="188">
        <v>9.4571098375128102</v>
      </c>
      <c r="BA27" s="189">
        <v>8.6422419083672004</v>
      </c>
      <c r="BB27" s="190">
        <v>8.5760525377180077</v>
      </c>
    </row>
    <row r="28" spans="1:54" ht="15.75" thickBot="1" x14ac:dyDescent="0.3">
      <c r="A28" s="54"/>
      <c r="D28" s="44"/>
      <c r="F28" s="499"/>
      <c r="G28" s="500"/>
      <c r="H28" s="500"/>
      <c r="I28" s="500"/>
      <c r="J28" s="500"/>
      <c r="K28" s="500"/>
      <c r="L28" s="500"/>
      <c r="M28" s="500"/>
      <c r="N28" s="500"/>
      <c r="O28" s="500"/>
      <c r="P28" s="501"/>
      <c r="R28" s="502"/>
      <c r="S28" s="503"/>
      <c r="T28" s="503"/>
      <c r="U28" s="503"/>
      <c r="V28" s="503"/>
      <c r="W28" s="503"/>
      <c r="X28" s="503"/>
      <c r="Y28" s="503"/>
      <c r="Z28" s="503"/>
      <c r="AA28" s="503"/>
      <c r="AB28" s="504"/>
      <c r="AC28" s="254"/>
      <c r="AD28" s="254"/>
      <c r="AE28" s="254"/>
      <c r="AF28" s="254"/>
      <c r="AG28" s="254"/>
      <c r="AH28" s="254"/>
      <c r="AI28" s="254"/>
      <c r="AJ28" s="254"/>
      <c r="AK28" s="254"/>
      <c r="AQ28" s="32">
        <v>8</v>
      </c>
      <c r="AR28" s="185">
        <v>119.21178716039087</v>
      </c>
      <c r="AS28" s="186">
        <v>81.198429715924163</v>
      </c>
      <c r="AT28" s="186">
        <v>67.90027615001901</v>
      </c>
      <c r="AU28" s="186">
        <v>89.420937382323189</v>
      </c>
      <c r="AV28" s="186">
        <v>91.241758376236561</v>
      </c>
      <c r="AW28" s="187">
        <v>93.634969720295132</v>
      </c>
      <c r="AY28" s="8">
        <v>8</v>
      </c>
      <c r="AZ28" s="188">
        <v>10.526181708368526</v>
      </c>
      <c r="BA28" s="189">
        <v>9.6415201159750854</v>
      </c>
      <c r="BB28" s="190">
        <v>9.5699499756206556</v>
      </c>
    </row>
    <row r="29" spans="1:54" x14ac:dyDescent="0.25">
      <c r="A29" s="54" t="s">
        <v>223</v>
      </c>
      <c r="B29" s="176" t="str">
        <f>AP34</f>
        <v/>
      </c>
      <c r="C29" t="s">
        <v>224</v>
      </c>
      <c r="D29" s="166" t="s">
        <v>239</v>
      </c>
      <c r="F29" s="499"/>
      <c r="G29" s="500"/>
      <c r="H29" s="500"/>
      <c r="I29" s="500"/>
      <c r="J29" s="500"/>
      <c r="K29" s="500"/>
      <c r="L29" s="500"/>
      <c r="M29" s="500"/>
      <c r="N29" s="500"/>
      <c r="O29" s="500"/>
      <c r="P29" s="501"/>
      <c r="AN29" t="s">
        <v>489</v>
      </c>
      <c r="AP29" t="s">
        <v>494</v>
      </c>
      <c r="AQ29" s="32">
        <v>9</v>
      </c>
      <c r="AR29" s="185">
        <v>131.30471872064896</v>
      </c>
      <c r="AS29" s="186">
        <v>89.820088858792545</v>
      </c>
      <c r="AT29" s="186">
        <v>75.198095156870664</v>
      </c>
      <c r="AU29" s="186">
        <v>98.736016107033279</v>
      </c>
      <c r="AV29" s="186">
        <v>100.71403760670145</v>
      </c>
      <c r="AW29" s="187">
        <v>103.33254824131228</v>
      </c>
      <c r="AY29" s="8">
        <v>9</v>
      </c>
      <c r="AZ29" s="188">
        <v>11.579832029127878</v>
      </c>
      <c r="BA29" s="189">
        <v>10.631310406036945</v>
      </c>
      <c r="BB29" s="190">
        <v>10.554961500242284</v>
      </c>
    </row>
    <row r="30" spans="1:54" ht="15.75" thickBot="1" x14ac:dyDescent="0.3">
      <c r="A30" s="54" t="s">
        <v>225</v>
      </c>
      <c r="B30" s="169">
        <f>Worksheet!C35</f>
        <v>0</v>
      </c>
      <c r="C30" t="s">
        <v>226</v>
      </c>
      <c r="D30" s="166">
        <v>10</v>
      </c>
      <c r="F30" s="502"/>
      <c r="G30" s="503"/>
      <c r="H30" s="503"/>
      <c r="I30" s="503"/>
      <c r="J30" s="503"/>
      <c r="K30" s="503"/>
      <c r="L30" s="503"/>
      <c r="M30" s="503"/>
      <c r="N30" s="503"/>
      <c r="O30" s="503"/>
      <c r="P30" s="504"/>
      <c r="AM30" t="s">
        <v>490</v>
      </c>
      <c r="AN30" s="245" t="str">
        <f>IFERROR(B8*0.45/(B8*0.45+B14*8),"")</f>
        <v/>
      </c>
      <c r="AQ30" s="32">
        <v>10</v>
      </c>
      <c r="AR30" s="185">
        <v>142.59696555444972</v>
      </c>
      <c r="AS30" s="186">
        <v>97.916249904097</v>
      </c>
      <c r="AT30" s="186">
        <v>81.986881453786637</v>
      </c>
      <c r="AU30" s="186">
        <v>107.44996751054083</v>
      </c>
      <c r="AV30" s="191">
        <v>109.56395722111294</v>
      </c>
      <c r="AW30" s="187">
        <v>112.38734762134577</v>
      </c>
      <c r="AY30" s="8">
        <v>10</v>
      </c>
      <c r="AZ30" s="192">
        <v>12.626310779864005</v>
      </c>
      <c r="BA30" s="189">
        <v>11.613764439271431</v>
      </c>
      <c r="BB30" s="190">
        <v>11.532491223228263</v>
      </c>
    </row>
    <row r="31" spans="1:54" x14ac:dyDescent="0.25">
      <c r="A31" s="54" t="s">
        <v>227</v>
      </c>
      <c r="B31" s="164">
        <v>10</v>
      </c>
      <c r="C31" t="s">
        <v>228</v>
      </c>
      <c r="D31" s="166">
        <v>10</v>
      </c>
      <c r="AM31" t="s">
        <v>491</v>
      </c>
      <c r="AN31" s="245" t="str">
        <f>IFERROR(1-AN30,"")</f>
        <v/>
      </c>
    </row>
    <row r="32" spans="1:54" x14ac:dyDescent="0.25">
      <c r="A32" s="54" t="s">
        <v>229</v>
      </c>
      <c r="B32" s="168">
        <f>MIN(B29,8*B30)</f>
        <v>0</v>
      </c>
      <c r="C32" t="s">
        <v>230</v>
      </c>
      <c r="D32" s="177">
        <f>D16</f>
        <v>0</v>
      </c>
      <c r="AN32" s="84"/>
    </row>
    <row r="33" spans="1:42" ht="15.75" thickBot="1" x14ac:dyDescent="0.3">
      <c r="A33" s="157" t="s">
        <v>23</v>
      </c>
      <c r="B33" s="172" t="str">
        <f>IFERROR(B29+B23,"")</f>
        <v/>
      </c>
      <c r="C33" s="158"/>
      <c r="D33" s="159"/>
      <c r="AM33" t="s">
        <v>492</v>
      </c>
      <c r="AN33" s="245" t="str">
        <f>IFERROR(B24*0.45/(B24*0.45+B30*8),"")</f>
        <v/>
      </c>
      <c r="AP33" s="173" t="str">
        <f>IFERROR(AN33*(AdjCost-(B7+B13)),"")</f>
        <v/>
      </c>
    </row>
    <row r="34" spans="1:42" x14ac:dyDescent="0.25">
      <c r="AM34" t="s">
        <v>493</v>
      </c>
      <c r="AN34" s="245" t="str">
        <f>IFERROR((B30*8/(B30*8+B24*0.45)),"")</f>
        <v/>
      </c>
      <c r="AP34" s="173" t="str">
        <f>IFERROR(AN34*(AdjCost-(B7+B13)),"")</f>
        <v/>
      </c>
    </row>
  </sheetData>
  <sheetProtection algorithmName="SHA-512" hashValue="RaSYF/2LQZxRzgdPiZ9nKksCSiDGkepeRPsIleKrfrTK1HydhXcfWB9DC4Y77XqGz/xnlUF0wu7oVrzddqFEfA==" saltValue="25i7JteKu2IxJtgnMY2m7Q==" spinCount="100000" sheet="1" objects="1" scenarios="1"/>
  <mergeCells count="14">
    <mergeCell ref="A2:D2"/>
    <mergeCell ref="AR4:AT4"/>
    <mergeCell ref="AW4:AY4"/>
    <mergeCell ref="AQ18:AW18"/>
    <mergeCell ref="AQ19:AW19"/>
    <mergeCell ref="AY18:BB18"/>
    <mergeCell ref="AY19:BB19"/>
    <mergeCell ref="F4:P6"/>
    <mergeCell ref="R4:AB4"/>
    <mergeCell ref="R7:AB7"/>
    <mergeCell ref="F9:P30"/>
    <mergeCell ref="R10:AB11"/>
    <mergeCell ref="R15:AB28"/>
    <mergeCell ref="F2:AB2"/>
  </mergeCells>
  <pageMargins left="0.7" right="0.7" top="0.75" bottom="0.75" header="0.3" footer="0.3"/>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Project Path</vt:lpstr>
      <vt:lpstr>Instructions</vt:lpstr>
      <vt:lpstr>Worksheet</vt:lpstr>
      <vt:lpstr>OA Calibration</vt:lpstr>
      <vt:lpstr>Facility Guide</vt:lpstr>
      <vt:lpstr>Energy Code</vt:lpstr>
      <vt:lpstr>Trends</vt:lpstr>
      <vt:lpstr>PSE Only - Scope Review</vt:lpstr>
      <vt:lpstr>PSE Only - DSMc Inputs</vt:lpstr>
      <vt:lpstr>PSE Only - Bldg Changes</vt:lpstr>
      <vt:lpstr>Lookup 1</vt:lpstr>
      <vt:lpstr>Lookup 2</vt:lpstr>
      <vt:lpstr>Notes</vt:lpstr>
      <vt:lpstr>DoC EUI Existing Bldg</vt:lpstr>
      <vt:lpstr>AdjCost</vt:lpstr>
      <vt:lpstr>AnnualkWhs</vt:lpstr>
      <vt:lpstr>AnnualTherms</vt:lpstr>
      <vt:lpstr>GasFAC</vt:lpstr>
      <vt:lpstr>IncentiveTable</vt:lpstr>
      <vt:lpstr>Min_XDomain</vt:lpstr>
      <vt:lpstr>Min_YRange</vt:lpstr>
      <vt:lpstr>'Facility Guide'!Print_Area</vt:lpstr>
      <vt:lpstr>Instructions!Print_Area</vt:lpstr>
      <vt:lpstr>'OA Calibration'!Print_Area</vt:lpstr>
      <vt:lpstr>'Project Path'!Print_Area</vt:lpstr>
      <vt:lpstr>'PSE Only - Bldg Changes'!Print_Area</vt:lpstr>
      <vt:lpstr>'PSE Only - DSMc Inputs'!Print_Area</vt:lpstr>
      <vt:lpstr>'PSE Only - Scope Review'!Print_Area</vt:lpstr>
      <vt:lpstr>Worksheet!Print_Area</vt:lpstr>
      <vt:lpstr>Project_Type</vt:lpstr>
      <vt:lpstr>sqft</vt:lpstr>
      <vt:lpstr>TotCost</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Puget Sound Energy</dc:creator>
  <cp:lastModifiedBy>Schmitt, Tyson</cp:lastModifiedBy>
  <cp:lastPrinted>2025-12-08T18:50:51Z</cp:lastPrinted>
  <dcterms:created xsi:type="dcterms:W3CDTF">2015-02-13T17:03:31Z</dcterms:created>
  <dcterms:modified xsi:type="dcterms:W3CDTF">2025-12-08T21:37:00Z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89cc04-6351-41d8-9f1d-a834e5351c1d_Enabled">
    <vt:lpwstr>true</vt:lpwstr>
  </property>
  <property fmtid="{D5CDD505-2E9C-101B-9397-08002B2CF9AE}" pid="3" name="MSIP_Label_b689cc04-6351-41d8-9f1d-a834e5351c1d_SetDate">
    <vt:lpwstr>2024-08-16T21:12:34Z</vt:lpwstr>
  </property>
  <property fmtid="{D5CDD505-2E9C-101B-9397-08002B2CF9AE}" pid="4" name="MSIP_Label_b689cc04-6351-41d8-9f1d-a834e5351c1d_Method">
    <vt:lpwstr>Standard</vt:lpwstr>
  </property>
  <property fmtid="{D5CDD505-2E9C-101B-9397-08002B2CF9AE}" pid="5" name="MSIP_Label_b689cc04-6351-41d8-9f1d-a834e5351c1d_Name">
    <vt:lpwstr>Internal Use Only</vt:lpwstr>
  </property>
  <property fmtid="{D5CDD505-2E9C-101B-9397-08002B2CF9AE}" pid="6" name="MSIP_Label_b689cc04-6351-41d8-9f1d-a834e5351c1d_SiteId">
    <vt:lpwstr>58e8b525-6212-4087-a0d0-fa755583444b</vt:lpwstr>
  </property>
  <property fmtid="{D5CDD505-2E9C-101B-9397-08002B2CF9AE}" pid="7" name="MSIP_Label_b689cc04-6351-41d8-9f1d-a834e5351c1d_ActionId">
    <vt:lpwstr>afe323fb-aacd-4e99-8b04-fed58a4b48f5</vt:lpwstr>
  </property>
  <property fmtid="{D5CDD505-2E9C-101B-9397-08002B2CF9AE}" pid="8" name="MSIP_Label_b689cc04-6351-41d8-9f1d-a834e5351c1d_ContentBits">
    <vt:lpwstr>0</vt:lpwstr>
  </property>
</Properties>
</file>