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always" codeName="ThisWorkbook" defaultThemeVersion="124226"/>
  <mc:AlternateContent xmlns:mc="http://schemas.openxmlformats.org/markup-compatibility/2006">
    <mc:Choice Requires="x15">
      <x15ac:absPath xmlns:x15ac="http://schemas.microsoft.com/office/spreadsheetml/2010/11/ac" url="H:\4-Energy Efficiency\BEM\_Grants\250- CI Retro\_Commissioning\01_Onboarding\"/>
    </mc:Choice>
  </mc:AlternateContent>
  <xr:revisionPtr revIDLastSave="0" documentId="13_ncr:1_{12A6F9EF-E217-4A75-9D20-E1ABABC537BC}" xr6:coauthVersionLast="47" xr6:coauthVersionMax="47" xr10:uidLastSave="{00000000-0000-0000-0000-000000000000}"/>
  <bookViews>
    <workbookView xWindow="-120" yWindow="-16320" windowWidth="29040" windowHeight="15720" tabRatio="827" firstSheet="2" activeTab="3" xr2:uid="{00000000-000D-0000-FFFF-FFFF00000000}"/>
  </bookViews>
  <sheets>
    <sheet name="ChangeLog" sheetId="25" state="hidden" r:id="rId1"/>
    <sheet name="Hidden" sheetId="12" state="hidden" r:id="rId2"/>
    <sheet name="Project Path" sheetId="30" r:id="rId3"/>
    <sheet name="Instructions" sheetId="31" r:id="rId4"/>
    <sheet name="SoW" sheetId="29" r:id="rId5"/>
    <sheet name="Pre-screen+Assessment" sheetId="10" r:id="rId6"/>
    <sheet name="IncentiveEst" sheetId="14" r:id="rId7"/>
    <sheet name="Cx_Schedule" sheetId="21" r:id="rId8"/>
    <sheet name="EEI_SummaryTable" sheetId="23" r:id="rId9"/>
    <sheet name="Persistence_Checks" sheetId="28" r:id="rId10"/>
    <sheet name="Implementation_Cost" sheetId="6" r:id="rId11"/>
    <sheet name="Performance_Changes" sheetId="5" r:id="rId12"/>
    <sheet name="Training_Tracking" sheetId="22" r:id="rId13"/>
  </sheets>
  <definedNames>
    <definedName name="_xlnm._FilterDatabase" localSheetId="8" hidden="1">EEI_SummaryTable!#REF!</definedName>
    <definedName name="_xlnm._FilterDatabase" localSheetId="1" hidden="1">Hidden!$Z$5:$AF$118</definedName>
    <definedName name="AdjCost" localSheetId="6">IncentiveEst!$B$13</definedName>
    <definedName name="AnnualkWhs">IncentiveEst!$B$15</definedName>
    <definedName name="AnnualMaint">Hidden!$C$56</definedName>
    <definedName name="AnnualTherms">IncentiveEst!$B$16</definedName>
    <definedName name="Assessment_Incentive">IncentiveEst!$A$21</definedName>
    <definedName name="Base_Elec" localSheetId="6">IncentiveEst!$E$57</definedName>
    <definedName name="Base_Gas" localSheetId="6">IncentiveEst!$E$62</definedName>
    <definedName name="Base_Incentive" localSheetId="6">IncentiveEst!$B$21</definedName>
    <definedName name="Customer_Type" localSheetId="1">IncentiveEst!$B$9</definedName>
    <definedName name="Customer_Type" localSheetId="6">IncentiveEst!$B$9</definedName>
    <definedName name="CxPath">IncentiveEst!$D$9</definedName>
    <definedName name="DiscountRate">Hidden!$D$53</definedName>
    <definedName name="ElecFAC">Hidden!$F$22</definedName>
    <definedName name="ElecPerfRate">Hidden!$C$11</definedName>
    <definedName name="Est_MIN">IncentiveEst!$F$26</definedName>
    <definedName name="Est_Y1">IncentiveEst!$F$27</definedName>
    <definedName name="Est_Y2" localSheetId="6">IncentiveEst!$F$28</definedName>
    <definedName name="GasFAC">Hidden!$J$22</definedName>
    <definedName name="GasPerfRate">Hidden!$C$10</definedName>
    <definedName name="Implementation_Cost">IncentiveEst!$B$13</definedName>
    <definedName name="IncentiveTable">IncentiveEst!$E$15:$I$23</definedName>
    <definedName name="Min_XDomain">IncentiveEst!$A$90:$A$92</definedName>
    <definedName name="Min_YRange">IncentiveEst!$B$90:$B$92</definedName>
    <definedName name="_xlnm.Print_Area" localSheetId="7">Cx_Schedule!$A$1:$E$45</definedName>
    <definedName name="_xlnm.Print_Area" localSheetId="8">EEI_SummaryTable!$A$1:$U$45</definedName>
    <definedName name="_xlnm.Print_Area" localSheetId="10">Implementation_Cost!$A$1:$J$42</definedName>
    <definedName name="_xlnm.Print_Area" localSheetId="6">IncentiveEst!$A$1:$I$66</definedName>
    <definedName name="_xlnm.Print_Area" localSheetId="5">'Pre-screen+Assessment'!$A$2:$O$113</definedName>
    <definedName name="_xlnm.Print_Area" localSheetId="4">SoW!#REF!</definedName>
    <definedName name="_xlnm.Print_Area" localSheetId="12">Training_Tracking!$A$1:$F$31</definedName>
    <definedName name="_xlnm.Print_Titles" localSheetId="10">Implementation_Cost!$A$3:$J$42</definedName>
    <definedName name="_xlnm.Print_Titles" localSheetId="11">Performance_Changes!$1:$6</definedName>
    <definedName name="_xlnm.Print_Titles" localSheetId="9">Persistence_Checks!$1:$3</definedName>
    <definedName name="_xlnm.Print_Titles" localSheetId="5">'Pre-screen+Assessment'!$2:$3</definedName>
    <definedName name="PSEelec_Y_N">Hidden!$M$11</definedName>
    <definedName name="PSEgas_Y_N">Hidden!$M$10</definedName>
    <definedName name="sqft" localSheetId="6">IncentiveEst!$D$12</definedName>
    <definedName name="Table_Base" localSheetId="6">OFFSET(IncentiveEst!$A$90:$A$100,,,COUNT(IncentiveEst!$F:$F),1)</definedName>
    <definedName name="Table_EstA" localSheetId="6">OFFSET(IncentiveEst!$B$90:$B$94,,,COUNT(IncentiveEst!$G:$G),1)</definedName>
    <definedName name="Table_EstB" localSheetId="6">OFFSET(IncentiveEst!$C$90:$C$94,,,COUNT(IncentiveEst!$H:$H),1)</definedName>
    <definedName name="Table_MinPerf" localSheetId="6">OFFSET(IncentiveEst!$E$90:$E$94,,,COUNT(IncentiveEst!#REF!),1)</definedName>
    <definedName name="Table_perf" localSheetId="6">OFFSET(IncentiveEst!$D$90:$D$94,,,COUNT(IncentiveEst!$I:$I),1)</definedName>
    <definedName name="Table_xAxis" localSheetId="6">OFFSET(IncentiveEst!$E$16:$E$23,,,COUNT(IncentiveEst!$E:$E),1)</definedName>
    <definedName name="THIS">!A1</definedName>
    <definedName name="TotCost" localSheetId="6">IncentiveEst!$B$12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2" i="12" l="1"/>
  <c r="AD52" i="12"/>
  <c r="L32" i="10"/>
  <c r="J32" i="10"/>
  <c r="B12" i="14"/>
  <c r="B13" i="14"/>
  <c r="E59" i="14"/>
  <c r="D59" i="14"/>
  <c r="E26" i="14"/>
  <c r="D9" i="14"/>
  <c r="J33" i="10"/>
  <c r="B15" i="14"/>
  <c r="I32" i="14"/>
  <c r="A1" i="14" l="1"/>
  <c r="A27" i="14"/>
  <c r="M115" i="28"/>
  <c r="D115" i="28"/>
  <c r="M101" i="28"/>
  <c r="D101" i="28"/>
  <c r="M87" i="28"/>
  <c r="D87" i="28"/>
  <c r="M74" i="28"/>
  <c r="D74" i="28"/>
  <c r="M60" i="28"/>
  <c r="D60" i="28"/>
  <c r="M46" i="28"/>
  <c r="D46" i="28"/>
  <c r="C13" i="14"/>
  <c r="H27" i="14"/>
  <c r="A21" i="14"/>
  <c r="B21" i="14" s="1"/>
  <c r="D63" i="14" s="1"/>
  <c r="B20" i="14"/>
  <c r="D58" i="14" l="1"/>
  <c r="B22" i="14"/>
  <c r="A20" i="14"/>
  <c r="H28" i="14"/>
  <c r="A64" i="14"/>
  <c r="A63" i="14"/>
  <c r="A59" i="14"/>
  <c r="A58" i="14"/>
  <c r="B16" i="14" l="1"/>
  <c r="M33" i="28"/>
  <c r="M19" i="28"/>
  <c r="M5" i="28"/>
  <c r="D33" i="28"/>
  <c r="D19" i="28"/>
  <c r="D5" i="28"/>
  <c r="B102" i="14" l="1"/>
  <c r="B94" i="14"/>
  <c r="B93" i="14"/>
  <c r="B104" i="14"/>
  <c r="B103" i="14"/>
  <c r="A41" i="14"/>
  <c r="B91" i="14"/>
  <c r="L31" i="10" l="1"/>
  <c r="J31" i="10"/>
  <c r="M10" i="12"/>
  <c r="M11" i="12"/>
  <c r="E54" i="12"/>
  <c r="D54" i="12"/>
  <c r="C54" i="12"/>
  <c r="G57" i="14" l="1"/>
  <c r="G58" i="14"/>
  <c r="G59" i="14"/>
  <c r="G56" i="14"/>
  <c r="G64" i="14"/>
  <c r="G63" i="14"/>
  <c r="G61" i="14"/>
  <c r="G62" i="14"/>
  <c r="D91" i="14"/>
  <c r="B3" i="28"/>
  <c r="G27" i="14" l="1"/>
  <c r="G28" i="14"/>
  <c r="G32" i="10"/>
  <c r="AH3" i="12" l="1" a="1"/>
  <c r="AH3" i="12" s="1"/>
  <c r="B5" i="5"/>
  <c r="D3" i="22"/>
  <c r="C3" i="6"/>
  <c r="C7" i="23"/>
  <c r="A3" i="21"/>
  <c r="E27" i="14" l="1"/>
  <c r="E28" i="14"/>
  <c r="B92" i="14" l="1"/>
  <c r="B101" i="14"/>
  <c r="B98" i="14"/>
  <c r="B124" i="14" l="1"/>
  <c r="B123" i="14"/>
  <c r="B122" i="14"/>
  <c r="B121" i="14" l="1"/>
  <c r="AA43" i="23" l="1"/>
  <c r="Z43" i="23"/>
  <c r="X43" i="23"/>
  <c r="W43" i="23"/>
  <c r="O43" i="23"/>
  <c r="K43" i="23"/>
  <c r="AA42" i="23"/>
  <c r="Z42" i="23"/>
  <c r="X42" i="23"/>
  <c r="W42" i="23"/>
  <c r="O42" i="23"/>
  <c r="K42" i="23"/>
  <c r="AA41" i="23"/>
  <c r="Z41" i="23"/>
  <c r="X41" i="23"/>
  <c r="W41" i="23"/>
  <c r="O41" i="23"/>
  <c r="K41" i="23"/>
  <c r="AA40" i="23"/>
  <c r="Z40" i="23"/>
  <c r="X40" i="23"/>
  <c r="W40" i="23"/>
  <c r="O40" i="23"/>
  <c r="K40" i="23"/>
  <c r="AA39" i="23"/>
  <c r="Z39" i="23"/>
  <c r="X39" i="23"/>
  <c r="W39" i="23"/>
  <c r="O39" i="23"/>
  <c r="K39" i="23"/>
  <c r="AA38" i="23"/>
  <c r="Z38" i="23"/>
  <c r="X38" i="23"/>
  <c r="W38" i="23"/>
  <c r="O38" i="23"/>
  <c r="K38" i="23"/>
  <c r="AA37" i="23"/>
  <c r="Z37" i="23"/>
  <c r="X37" i="23"/>
  <c r="W37" i="23"/>
  <c r="O37" i="23"/>
  <c r="K37" i="23"/>
  <c r="AA36" i="23"/>
  <c r="Z36" i="23"/>
  <c r="X36" i="23"/>
  <c r="W36" i="23"/>
  <c r="O36" i="23"/>
  <c r="K36" i="23"/>
  <c r="AA35" i="23"/>
  <c r="Z35" i="23"/>
  <c r="X35" i="23"/>
  <c r="W35" i="23"/>
  <c r="O35" i="23"/>
  <c r="K35" i="23"/>
  <c r="AA34" i="23"/>
  <c r="Z34" i="23"/>
  <c r="X34" i="23"/>
  <c r="W34" i="23"/>
  <c r="O34" i="23"/>
  <c r="K34" i="23"/>
  <c r="AA33" i="23"/>
  <c r="Z33" i="23"/>
  <c r="X33" i="23"/>
  <c r="W33" i="23"/>
  <c r="O33" i="23"/>
  <c r="K33" i="23"/>
  <c r="AA32" i="23"/>
  <c r="Z32" i="23"/>
  <c r="X32" i="23"/>
  <c r="W32" i="23"/>
  <c r="O32" i="23"/>
  <c r="K32" i="23"/>
  <c r="AA31" i="23"/>
  <c r="Z31" i="23"/>
  <c r="X31" i="23"/>
  <c r="W31" i="23"/>
  <c r="O31" i="23"/>
  <c r="K31" i="23"/>
  <c r="AA30" i="23"/>
  <c r="Z30" i="23"/>
  <c r="X30" i="23"/>
  <c r="W30" i="23"/>
  <c r="O30" i="23"/>
  <c r="K30" i="23"/>
  <c r="AA29" i="23"/>
  <c r="Z29" i="23"/>
  <c r="X29" i="23"/>
  <c r="W29" i="23"/>
  <c r="O29" i="23"/>
  <c r="K29" i="23"/>
  <c r="AA28" i="23"/>
  <c r="Z28" i="23"/>
  <c r="X28" i="23"/>
  <c r="W28" i="23"/>
  <c r="O28" i="23"/>
  <c r="K28" i="23"/>
  <c r="AA27" i="23"/>
  <c r="Z27" i="23"/>
  <c r="X27" i="23"/>
  <c r="W27" i="23"/>
  <c r="O27" i="23"/>
  <c r="K27" i="23"/>
  <c r="AA26" i="23"/>
  <c r="Z26" i="23"/>
  <c r="X26" i="23"/>
  <c r="W26" i="23"/>
  <c r="O26" i="23"/>
  <c r="K26" i="23"/>
  <c r="AA25" i="23"/>
  <c r="Z25" i="23"/>
  <c r="X25" i="23"/>
  <c r="W25" i="23"/>
  <c r="O25" i="23"/>
  <c r="K25" i="23"/>
  <c r="AA24" i="23"/>
  <c r="Z24" i="23"/>
  <c r="X24" i="23"/>
  <c r="W24" i="23"/>
  <c r="O24" i="23"/>
  <c r="K24" i="23"/>
  <c r="AA23" i="23"/>
  <c r="Z23" i="23"/>
  <c r="X23" i="23"/>
  <c r="W23" i="23"/>
  <c r="O23" i="23"/>
  <c r="K23" i="23"/>
  <c r="AA22" i="23"/>
  <c r="Z22" i="23"/>
  <c r="X22" i="23"/>
  <c r="W22" i="23"/>
  <c r="O22" i="23"/>
  <c r="K22" i="23"/>
  <c r="AA21" i="23"/>
  <c r="Z21" i="23"/>
  <c r="X21" i="23"/>
  <c r="W21" i="23"/>
  <c r="O21" i="23"/>
  <c r="K21" i="23"/>
  <c r="AA20" i="23"/>
  <c r="Z20" i="23"/>
  <c r="X20" i="23"/>
  <c r="W20" i="23"/>
  <c r="O20" i="23"/>
  <c r="K20" i="23"/>
  <c r="AA19" i="23"/>
  <c r="Z19" i="23"/>
  <c r="X19" i="23"/>
  <c r="W19" i="23"/>
  <c r="O19" i="23"/>
  <c r="K19" i="23"/>
  <c r="AA18" i="23"/>
  <c r="Z18" i="23"/>
  <c r="X18" i="23"/>
  <c r="W18" i="23"/>
  <c r="O18" i="23"/>
  <c r="K18" i="23"/>
  <c r="AA17" i="23"/>
  <c r="X17" i="23"/>
  <c r="O17" i="23"/>
  <c r="Z17" i="23" s="1"/>
  <c r="K17" i="23"/>
  <c r="W17" i="23" s="1"/>
  <c r="AA16" i="23"/>
  <c r="X16" i="23"/>
  <c r="O16" i="23"/>
  <c r="Z16" i="23" s="1"/>
  <c r="K16" i="23"/>
  <c r="W16" i="23" s="1"/>
  <c r="I5" i="5" l="1"/>
  <c r="B6" i="14"/>
  <c r="K10" i="23" l="1"/>
  <c r="G10" i="6"/>
  <c r="C16" i="14"/>
  <c r="R5" i="23" l="1"/>
  <c r="R6" i="23"/>
  <c r="P6" i="23" s="1"/>
  <c r="D48" i="12"/>
  <c r="D47" i="12"/>
  <c r="D46" i="12"/>
  <c r="D45" i="12"/>
  <c r="D44" i="12"/>
  <c r="D43" i="12"/>
  <c r="D42" i="12"/>
  <c r="D41" i="12"/>
  <c r="D40" i="12"/>
  <c r="D39" i="12"/>
  <c r="D38" i="12"/>
  <c r="D37" i="12"/>
  <c r="D36" i="12"/>
  <c r="D35" i="12"/>
  <c r="D34" i="12"/>
  <c r="D33" i="12"/>
  <c r="D32" i="12"/>
  <c r="D31" i="12"/>
  <c r="D30" i="12"/>
  <c r="D90" i="14" l="1"/>
  <c r="D92" i="14"/>
  <c r="B119" i="14"/>
  <c r="P5" i="23"/>
  <c r="D93" i="14" l="1"/>
  <c r="E92" i="14"/>
  <c r="F92" i="14" s="1"/>
  <c r="Q44" i="23"/>
  <c r="N44" i="23"/>
  <c r="AB43" i="23"/>
  <c r="Y43" i="23"/>
  <c r="AB42" i="23"/>
  <c r="Y42" i="23"/>
  <c r="AB41" i="23"/>
  <c r="Y41" i="23"/>
  <c r="AB40" i="23"/>
  <c r="Y40" i="23"/>
  <c r="AB39" i="23"/>
  <c r="Y39" i="23"/>
  <c r="AB38" i="23"/>
  <c r="Y38" i="23"/>
  <c r="AB37" i="23"/>
  <c r="Y37" i="23"/>
  <c r="AB36" i="23"/>
  <c r="Y36" i="23"/>
  <c r="AB35" i="23"/>
  <c r="Y35" i="23"/>
  <c r="AB34" i="23"/>
  <c r="Y34" i="23"/>
  <c r="AB33" i="23"/>
  <c r="Y33" i="23"/>
  <c r="AB32" i="23"/>
  <c r="Y32" i="23"/>
  <c r="AB31" i="23"/>
  <c r="Y31" i="23"/>
  <c r="AB30" i="23"/>
  <c r="Y30" i="23"/>
  <c r="AB29" i="23"/>
  <c r="Y29" i="23"/>
  <c r="AB28" i="23"/>
  <c r="Y28" i="23"/>
  <c r="AB27" i="23"/>
  <c r="Y27" i="23"/>
  <c r="AB26" i="23"/>
  <c r="Y26" i="23"/>
  <c r="AB25" i="23"/>
  <c r="Y25" i="23"/>
  <c r="AB24" i="23"/>
  <c r="Y24" i="23"/>
  <c r="AB23" i="23"/>
  <c r="Y23" i="23"/>
  <c r="AB22" i="23"/>
  <c r="Y22" i="23"/>
  <c r="AB21" i="23"/>
  <c r="Y21" i="23"/>
  <c r="AB20" i="23"/>
  <c r="Y20" i="23"/>
  <c r="AB19" i="23"/>
  <c r="Y19" i="23"/>
  <c r="AB18" i="23"/>
  <c r="Y18" i="23"/>
  <c r="AB17" i="23"/>
  <c r="Y17" i="23"/>
  <c r="AB16" i="23"/>
  <c r="Y16" i="23"/>
  <c r="D94" i="14" l="1"/>
  <c r="E94" i="14" s="1"/>
  <c r="F94" i="14" s="1"/>
  <c r="E93" i="14"/>
  <c r="F93" i="14" s="1"/>
  <c r="Y44" i="23"/>
  <c r="I7" i="23" s="1"/>
  <c r="P31" i="23"/>
  <c r="F31" i="23" s="1"/>
  <c r="P27" i="23"/>
  <c r="F27" i="23" s="1"/>
  <c r="P22" i="23"/>
  <c r="F22" i="23" s="1"/>
  <c r="P19" i="23"/>
  <c r="F19" i="23" s="1"/>
  <c r="P33" i="23"/>
  <c r="F33" i="23" s="1"/>
  <c r="P26" i="23"/>
  <c r="F26" i="23" s="1"/>
  <c r="P35" i="23"/>
  <c r="F35" i="23" s="1"/>
  <c r="P21" i="23"/>
  <c r="F21" i="23" s="1"/>
  <c r="P37" i="23"/>
  <c r="F37" i="23" s="1"/>
  <c r="P17" i="23"/>
  <c r="F17" i="23" s="1"/>
  <c r="P24" i="23"/>
  <c r="F24" i="23" s="1"/>
  <c r="P28" i="23"/>
  <c r="F28" i="23" s="1"/>
  <c r="P39" i="23"/>
  <c r="F39" i="23" s="1"/>
  <c r="P23" i="23"/>
  <c r="F23" i="23" s="1"/>
  <c r="P41" i="23"/>
  <c r="F41" i="23" s="1"/>
  <c r="W44" i="23"/>
  <c r="H7" i="23" s="1"/>
  <c r="P16" i="23"/>
  <c r="F16" i="23" s="1"/>
  <c r="P18" i="23"/>
  <c r="F18" i="23" s="1"/>
  <c r="P30" i="23"/>
  <c r="F30" i="23" s="1"/>
  <c r="P42" i="23"/>
  <c r="F42" i="23" s="1"/>
  <c r="P43" i="23"/>
  <c r="P25" i="23"/>
  <c r="F25" i="23" s="1"/>
  <c r="P29" i="23"/>
  <c r="F29" i="23" s="1"/>
  <c r="P20" i="23"/>
  <c r="F20" i="23" s="1"/>
  <c r="AB44" i="23"/>
  <c r="K7" i="23" s="1"/>
  <c r="Z44" i="23"/>
  <c r="J7" i="23" s="1"/>
  <c r="P32" i="23"/>
  <c r="F32" i="23" s="1"/>
  <c r="P34" i="23"/>
  <c r="F34" i="23" s="1"/>
  <c r="P36" i="23"/>
  <c r="F36" i="23" s="1"/>
  <c r="P38" i="23"/>
  <c r="F38" i="23" s="1"/>
  <c r="P40" i="23"/>
  <c r="F40" i="23" s="1"/>
  <c r="O44" i="23"/>
  <c r="P44" i="23" l="1"/>
  <c r="F44" i="23" s="1"/>
  <c r="A66" i="14" l="1"/>
  <c r="C15" i="14"/>
  <c r="C17" i="14" s="1"/>
  <c r="C10" i="14"/>
  <c r="A10" i="14"/>
  <c r="H1" i="14"/>
  <c r="I33" i="14" l="1"/>
  <c r="I58" i="14" l="1"/>
  <c r="I56" i="14"/>
  <c r="H30" i="14"/>
  <c r="H31" i="14" s="1"/>
  <c r="I57" i="14"/>
  <c r="F57" i="14" s="1"/>
  <c r="I59" i="14"/>
  <c r="C26" i="14"/>
  <c r="D26" i="14"/>
  <c r="D64" i="14" s="1"/>
  <c r="I63" i="14"/>
  <c r="I62" i="14"/>
  <c r="F62" i="14" s="1"/>
  <c r="B28" i="14"/>
  <c r="B27" i="14"/>
  <c r="I92" i="14"/>
  <c r="D57" i="14" l="1"/>
  <c r="D62" i="14"/>
  <c r="F63" i="14"/>
  <c r="E40" i="14"/>
  <c r="F58" i="14"/>
  <c r="E39" i="14"/>
  <c r="D100" i="14" s="1"/>
  <c r="D101" i="14" s="1"/>
  <c r="I93" i="14"/>
  <c r="F59" i="14" l="1"/>
  <c r="H59" i="14" s="1"/>
  <c r="F64" i="14"/>
  <c r="H64" i="14" s="1"/>
  <c r="E64" i="14"/>
  <c r="F28" i="14"/>
  <c r="D98" i="14"/>
  <c r="I94" i="14"/>
  <c r="D119" i="14" l="1"/>
  <c r="E100" i="14"/>
  <c r="D102" i="14"/>
  <c r="E102" i="14" s="1"/>
  <c r="F102" i="14" s="1"/>
  <c r="I100" i="14" l="1"/>
  <c r="F100" i="14"/>
  <c r="D103" i="14"/>
  <c r="D104" i="14" s="1"/>
  <c r="I102" i="14"/>
  <c r="E103" i="14" l="1"/>
  <c r="F103" i="14" s="1"/>
  <c r="E104" i="14"/>
  <c r="F104" i="14" s="1"/>
  <c r="I103" i="14" l="1"/>
  <c r="I104" i="14"/>
  <c r="G31" i="10"/>
  <c r="B42" i="6"/>
  <c r="F61" i="14" l="1"/>
  <c r="F56" i="14"/>
  <c r="D120" i="14"/>
  <c r="F82" i="14" s="1"/>
  <c r="E10" i="23"/>
  <c r="R10" i="23" s="1"/>
  <c r="C98" i="14"/>
  <c r="I61" i="14"/>
  <c r="A1" i="21"/>
  <c r="A56" i="14"/>
  <c r="I64" i="14"/>
  <c r="F81" i="14"/>
  <c r="C81" i="14"/>
  <c r="E85" i="14"/>
  <c r="D83" i="14"/>
  <c r="B5" i="14"/>
  <c r="A11" i="14"/>
  <c r="A1" i="22"/>
  <c r="C79" i="14"/>
  <c r="A61" i="14"/>
  <c r="D84" i="14"/>
  <c r="C83" i="14"/>
  <c r="C86" i="14"/>
  <c r="A57" i="14"/>
  <c r="C82" i="14"/>
  <c r="D85" i="14"/>
  <c r="C84" i="14"/>
  <c r="C85" i="14"/>
  <c r="E86" i="14"/>
  <c r="A62" i="14"/>
  <c r="A1" i="6"/>
  <c r="D86" i="14"/>
  <c r="A28" i="14"/>
  <c r="A1" i="5"/>
  <c r="A1" i="23"/>
  <c r="E18" i="21"/>
  <c r="E17" i="21"/>
  <c r="A17" i="21"/>
  <c r="A12" i="21"/>
  <c r="A19" i="21"/>
  <c r="A31" i="21"/>
  <c r="A13" i="21"/>
  <c r="A18" i="21"/>
  <c r="A20" i="21"/>
  <c r="E12" i="21"/>
  <c r="E13" i="21"/>
  <c r="A1" i="28"/>
  <c r="A14" i="21"/>
  <c r="E16" i="21"/>
  <c r="E14" i="21"/>
  <c r="A16" i="21"/>
  <c r="E15" i="21"/>
  <c r="A15" i="21"/>
  <c r="A80" i="10"/>
  <c r="D61" i="14" l="1"/>
  <c r="I10" i="6"/>
  <c r="D56" i="14"/>
  <c r="E56" i="14" s="1"/>
  <c r="D121" i="14"/>
  <c r="F83" i="14" s="1"/>
  <c r="E120" i="14"/>
  <c r="F120" i="14" s="1"/>
  <c r="C119" i="14"/>
  <c r="B100" i="14"/>
  <c r="D10" i="6"/>
  <c r="H89" i="14"/>
  <c r="F26" i="14"/>
  <c r="B90" i="14"/>
  <c r="D81" i="14" s="1"/>
  <c r="E61" i="14" l="1"/>
  <c r="H61" i="14"/>
  <c r="H56" i="14"/>
  <c r="C90" i="14"/>
  <c r="C100" i="14"/>
  <c r="I120" i="14"/>
  <c r="D122" i="14"/>
  <c r="F84" i="14" s="1"/>
  <c r="B120" i="14"/>
  <c r="D82" i="14"/>
  <c r="H98" i="14"/>
  <c r="F27" i="14" l="1"/>
  <c r="H58" i="14"/>
  <c r="H101" i="14"/>
  <c r="I98" i="14" s="1"/>
  <c r="E58" i="14"/>
  <c r="E90" i="14"/>
  <c r="F90" i="14" s="1"/>
  <c r="E81" i="14"/>
  <c r="E62" i="14"/>
  <c r="H62" i="14"/>
  <c r="H65" i="14"/>
  <c r="H57" i="14"/>
  <c r="E57" i="14"/>
  <c r="H60" i="14"/>
  <c r="D65" i="14"/>
  <c r="C120" i="14"/>
  <c r="H63" i="14"/>
  <c r="E63" i="14"/>
  <c r="D123" i="14"/>
  <c r="F85" i="14" s="1"/>
  <c r="E122" i="14"/>
  <c r="F122" i="14" s="1"/>
  <c r="C91" i="14" l="1"/>
  <c r="E91" i="14" s="1"/>
  <c r="F91" i="14" s="1"/>
  <c r="F95" i="14" s="1"/>
  <c r="H91" i="14"/>
  <c r="F40" i="14" s="1"/>
  <c r="C101" i="14"/>
  <c r="E101" i="14" s="1"/>
  <c r="F101" i="14" s="1"/>
  <c r="C121" i="14"/>
  <c r="E121" i="14" s="1"/>
  <c r="F121" i="14" s="1"/>
  <c r="H102" i="14"/>
  <c r="I119" i="14" s="1"/>
  <c r="I90" i="14"/>
  <c r="E82" i="14"/>
  <c r="I122" i="14"/>
  <c r="C92" i="14"/>
  <c r="E84" i="14" s="1"/>
  <c r="D124" i="14"/>
  <c r="E123" i="14"/>
  <c r="F123" i="14" s="1"/>
  <c r="E65" i="14"/>
  <c r="H39" i="14" l="1"/>
  <c r="I91" i="14"/>
  <c r="E83" i="14"/>
  <c r="I121" i="14"/>
  <c r="I39" i="14"/>
  <c r="E124" i="14"/>
  <c r="F86" i="14"/>
  <c r="I101" i="14"/>
  <c r="F105" i="14"/>
  <c r="I123" i="14"/>
  <c r="I89" i="14"/>
  <c r="G39" i="14" s="1"/>
  <c r="F39" i="14"/>
  <c r="H81" i="14" s="1"/>
  <c r="H82" i="14" s="1"/>
  <c r="H40" i="14"/>
  <c r="I124" i="14" l="1"/>
  <c r="G40" i="14" s="1"/>
  <c r="F124" i="14"/>
  <c r="F125" i="14" s="1"/>
  <c r="I40"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Jason Hyatt</author>
  </authors>
  <commentList>
    <comment ref="C56" authorId="0" shapeId="0" xr:uid="{B7B88A6B-0320-4FAC-902D-F588FABD9713}">
      <text>
        <r>
          <rPr>
            <b/>
            <sz val="9"/>
            <color indexed="81"/>
            <rFont val="Tahoma"/>
            <family val="2"/>
          </rPr>
          <t>Jason Hyatt:</t>
        </r>
        <r>
          <rPr>
            <sz val="9"/>
            <color indexed="81"/>
            <rFont val="Tahoma"/>
            <family val="2"/>
          </rPr>
          <t xml:space="preserve">
Additional cost accrued each year in order to verify efficient operation (persistence checks).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tc={CAE6EB77-3A18-4C9A-B9C4-75D5CF65D555}</author>
  </authors>
  <commentList>
    <comment ref="A61" authorId="0" shapeId="0" xr:uid="{CAE6EB77-3A18-4C9A-B9C4-75D5CF65D555}">
      <text>
        <t>[Threaded comment]
Your version of Excel allows you to read this threaded comment; however, any edits to it will get removed if the file is opened in a newer version of Excel. Learn more: https://go.microsoft.com/fwlink/?linkid=870924
Comment:
    Not a vital piece of the Pre-screen, but useful as a minimum Assessment Report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Doutre, Austin</author>
    <author>Jason Hyatt</author>
    <author>tc={2997AEE0-FFEE-4ED8-B16A-0CAD56E73F87}</author>
    <author>tc={D1AE70AE-443D-47C3-AB97-F7533F04C07C}</author>
    <author>tc={443EDBE9-379D-41CF-9208-996BD54DAE6B}</author>
    <author>tc={553A39D5-8218-41DC-8B5A-9BB26FCD8600}</author>
  </authors>
  <commentList>
    <comment ref="B13" authorId="0" shapeId="0" xr:uid="{A0428372-3B2A-42DC-ACB7-CEDB95C7427E}">
      <text>
        <r>
          <rPr>
            <b/>
            <sz val="9"/>
            <color indexed="81"/>
            <rFont val="Tahoma"/>
            <family val="2"/>
          </rPr>
          <t>Doutre, Austin:</t>
        </r>
        <r>
          <rPr>
            <sz val="9"/>
            <color indexed="81"/>
            <rFont val="Tahoma"/>
            <family val="2"/>
          </rPr>
          <t xml:space="preserve">
Overwrite with final/actual implementation costs upon payment request</t>
        </r>
      </text>
    </comment>
    <comment ref="H38" authorId="1" shapeId="0" xr:uid="{00000000-0006-0000-0300-000001000000}">
      <text>
        <r>
          <rPr>
            <b/>
            <sz val="9"/>
            <color indexed="81"/>
            <rFont val="Tahoma"/>
            <family val="2"/>
          </rPr>
          <t>Jason Hyatt:</t>
        </r>
        <r>
          <rPr>
            <sz val="9"/>
            <color indexed="81"/>
            <rFont val="Tahoma"/>
            <family val="2"/>
          </rPr>
          <t xml:space="preserve">
AVE net cash inflow /
Initial investment</t>
        </r>
      </text>
    </comment>
    <comment ref="A41" authorId="2" shapeId="0" xr:uid="{2997AEE0-FFEE-4ED8-B16A-0CAD56E73F87}">
      <text>
        <t>[Threaded comment]
Your version of Excel allows you to read this threaded comment; however, any edits to it will get removed if the file is opened in a newer version of Excel. Learn more: https://go.microsoft.com/fwlink/?linkid=870924
Comment:
    6.8% comes from AutoFund, but NPV calc references cell C15. And where does the 3% inflation in energy cost come from? Can we also make that dynamic?</t>
      </text>
    </comment>
    <comment ref="E55" authorId="1" shapeId="0" xr:uid="{00000000-0006-0000-0300-000002000000}">
      <text>
        <r>
          <rPr>
            <b/>
            <sz val="9"/>
            <color indexed="81"/>
            <rFont val="Tahoma"/>
            <family val="2"/>
          </rPr>
          <t>Jason Hyatt:</t>
        </r>
        <r>
          <rPr>
            <sz val="9"/>
            <color indexed="81"/>
            <rFont val="Tahoma"/>
            <family val="2"/>
          </rPr>
          <t xml:space="preserve">
PSE grant is based on the $0.05/kWh and $0.80/therm incentive rate and the "gross" savings.</t>
        </r>
      </text>
    </comment>
    <comment ref="F55" authorId="1" shapeId="0" xr:uid="{00000000-0006-0000-0300-000003000000}">
      <text>
        <r>
          <rPr>
            <b/>
            <sz val="9"/>
            <color indexed="81"/>
            <rFont val="Tahoma"/>
            <family val="2"/>
          </rPr>
          <t>Jason Hyatt:</t>
        </r>
        <r>
          <rPr>
            <sz val="9"/>
            <color indexed="81"/>
            <rFont val="Tahoma"/>
            <family val="2"/>
          </rPr>
          <t xml:space="preserve">
"net" savings are recorded savings by PSE.</t>
        </r>
      </text>
    </comment>
    <comment ref="B100" authorId="3" shapeId="0" xr:uid="{D1AE70AE-443D-47C3-AB97-F7533F04C07C}">
      <text>
        <t>[Threaded comment]
Your version of Excel allows you to read this threaded comment; however, any edits to it will get removed if the file is opened in a newer version of Excel. Learn more: https://go.microsoft.com/fwlink/?linkid=870924
Comment:
    Why does adjusted cost (implementation) only factor in when PSE G&amp;E? Shouldn't it be regardless since the amount already takes into account the project type?
Reply:
    Also need to make sure split of cost disregards non-PSE fuel type/savings.</t>
      </text>
    </comment>
    <comment ref="H101" authorId="4" shapeId="0" xr:uid="{443EDBE9-379D-41CF-9208-996BD54DAE6B}">
      <text>
        <t>[Threaded comment]
Your version of Excel allows you to read this threaded comment; however, any edits to it will get removed if the file is opened in a newer version of Excel. Learn more: https://go.microsoft.com/fwlink/?linkid=870924
Comment:
    MIN Estimate</t>
      </text>
    </comment>
    <comment ref="H102" authorId="5" shapeId="0" xr:uid="{553A39D5-8218-41DC-8B5A-9BB26FCD8600}">
      <text>
        <t>[Threaded comment]
Your version of Excel allows you to read this threaded comment; however, any edits to it will get removed if the file is opened in a newer version of Excel. Learn more: https://go.microsoft.com/fwlink/?linkid=870924
Comment:
    MAX Estimate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Holly R. Townes, Puget Sound Energy </author>
  </authors>
  <commentList>
    <comment ref="E10" authorId="0" shapeId="0" xr:uid="{00000000-0006-0000-0400-000001000000}">
      <text>
        <r>
          <rPr>
            <b/>
            <sz val="10"/>
            <color indexed="81"/>
            <rFont val="Tahoma"/>
            <family val="2"/>
          </rPr>
          <t>All PSE customer:       $0.15/sqft</t>
        </r>
        <r>
          <rPr>
            <sz val="10"/>
            <color indexed="81"/>
            <rFont val="Tahoma"/>
            <family val="2"/>
          </rPr>
          <t xml:space="preserve">
</t>
        </r>
        <r>
          <rPr>
            <b/>
            <sz val="10"/>
            <color indexed="81"/>
            <rFont val="Tahoma"/>
            <family val="2"/>
          </rPr>
          <t>PSE elec (gas other): $0.10/sqft
PSE gas (elec other): $0.10/sqft
SCL elec (no gas):      $0.10/sq.ft.
PSE and SCL:              $0.15/sq.ft
PSE only (Seattle):    $0.05/sq.ft.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tc={CA5FE779-FE6F-47D6-9C3E-D2AD1F0FAFA7}</author>
    <author>tc={ED0473ED-E1F0-4822-B8E5-AD068F5C5F15}</author>
  </authors>
  <commentList>
    <comment ref="A4" authorId="0" shapeId="0" xr:uid="{CA5FE779-FE6F-47D6-9C3E-D2AD1F0FAFA7}">
      <text>
        <t>[Threaded comment]
Your version of Excel allows you to read this threaded comment; however, any edits to it will get removed if the file is opened in a newer version of Excel. Learn more: https://go.microsoft.com/fwlink/?linkid=870924
Comment:
    What are the "eligible" upgrades?</t>
      </text>
    </comment>
    <comment ref="A8" authorId="1" shapeId="0" xr:uid="{ED0473ED-E1F0-4822-B8E5-AD068F5C5F15}">
      <text>
        <t>[Threaded comment]
Your version of Excel allows you to read this threaded comment; however, any edits to it will get removed if the file is opened in a newer version of Excel. Learn more: https://go.microsoft.com/fwlink/?linkid=870924
Comment:
    Does this statement mean costs must exceed the Maximum Required Cost estimate, or can be up to and OK?</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<sst xmlns="http://schemas.openxmlformats.org/spreadsheetml/2006/main" count="1272" uniqueCount="678">
  <si>
    <t>Change Log</t>
  </si>
  <si>
    <t>Date</t>
  </si>
  <si>
    <t>Details</t>
  </si>
  <si>
    <t>Changed By</t>
  </si>
  <si>
    <t>Removed external links from file (TBD)</t>
  </si>
  <si>
    <t>Austin Doutre</t>
  </si>
  <si>
    <t>Removed redundant named cells</t>
  </si>
  <si>
    <t>Replaced PSE Logo on Incentive page to conform with guidelines</t>
  </si>
  <si>
    <t>updated IncentiveEst cell I37 to "=H37/(B8+AdjCost)"
Updated IncentiveEst cell E57 &amp; E58 to be =IF(F58&lt;1,0,IF(A50="Initial Grant Calc.",MIN(D58,AnnualTherms*0.8),IF(C38*0.8&gt;D58,D58,C38*0.8))) so amount does not exceed real potential savings</t>
  </si>
  <si>
    <t>updated IncentiveEst cell I37 to "=H37/(B8+AdjCost)"
Updated IncentiveEst cell E53 &amp; E54 to be =IF(F53&lt;1,0,IF(A50="Initial Grant Calc.",MIN(D53,AnnualkWhs*0.05),IF(D37*0.05&gt;D53,D53,D37*0.05))) so amount does not exceed achievable savings</t>
  </si>
  <si>
    <t>Updated formulas on EEI SummaryTable, and consolidated the Hidden tables
tied performance incentive rates to cells on Hidden tab
Updated headers to reference Incentive &amp; Screening sheet</t>
  </si>
  <si>
    <t>Adding CBPS EUIt table for reference
Also updated the AutoFund tables to the latest version (minor impact as calculation involves a ratio)
Fixed Errors in Named cells</t>
  </si>
  <si>
    <t>Updated term "Base" to "Implementation" to align with website.
Updated measure cost formula to be proportional to the Total Cost, not max incentive. Set the grant/max incentive fields to be based on min of max energy savings or cost.</t>
  </si>
  <si>
    <t>Updated formulas to remove "=+" at the start and replace with just "="
Fixed some spelling errors "perfromance"</t>
  </si>
  <si>
    <t>Fixed some grant calculating formulas to multiply by project type, regardless of input for usage
Reverted initial grant calculation to be equal to the measure cost. Will likely add a pop-up to inform user  the maximum incentive per fuel type.</t>
  </si>
  <si>
    <t>Added a note for when usage x incentive rates is lower than the project cost, thus limiting the maximum incentive
And brought both chart calculation formulas to the side</t>
  </si>
  <si>
    <t>Updated several formulas to merge MBCx and EBCx calculators
Replaced Date field with CxPath field</t>
  </si>
  <si>
    <t>Considering aligning the Economic calculations to follow Yr 0 covering all work before the performance begins, then Yr = 1st year post installation…</t>
  </si>
  <si>
    <t>Adjusted conditional formatting and convention of Y0, Y1, Y2 etc.</t>
  </si>
  <si>
    <t>Replaced lengthy text in formulas of looking up customer type to reference a named cell</t>
  </si>
  <si>
    <t>Added a dynamic header for all sheets to reflect which Cx path is chosen
Updated footer to be generic
Updated formulas for name references/CxPath
Updating Building type selection to reference CBPS list</t>
  </si>
  <si>
    <t>Added Performance_Checks tab for persistence checks (may/may not be needed, but I figured I'd include it for reference)</t>
  </si>
  <si>
    <t>Added the TRC formula
added "PSE" to the chart title of incentives</t>
  </si>
  <si>
    <t>Inserting SOW and setting form templates with '(REF)' in tab name</t>
  </si>
  <si>
    <t>Changed EEI to EEM</t>
  </si>
  <si>
    <t>Austin Doute</t>
  </si>
  <si>
    <t>??Update Incentive values? Color-code tabs (REF-Red (hidden?), Prescreen &amp; IncentiveEst-Green, anything else-Gray?)??</t>
  </si>
  <si>
    <t>Removed links within Conditional Formatting to old Tune-up workbook</t>
  </si>
  <si>
    <t>Fixed some MBCx formulas</t>
  </si>
  <si>
    <t>List for Program Grant Amounts</t>
  </si>
  <si>
    <t>2019 CBSA Data - Typical PSE Comparison</t>
  </si>
  <si>
    <t>Table 7-2a Building Activity Site Energy Targets (EUIt1)(I-P Units)</t>
  </si>
  <si>
    <t>Customer Type</t>
  </si>
  <si>
    <t xml:space="preserve">MBCx Implementation Cost &amp; Rate $/sf </t>
  </si>
  <si>
    <t>EBCx Implementation Cost $/sf</t>
  </si>
  <si>
    <t xml:space="preserve">EBCx Implementation Rate $/sf </t>
  </si>
  <si>
    <t>Assessment</t>
  </si>
  <si>
    <t>gas</t>
  </si>
  <si>
    <t>elec</t>
  </si>
  <si>
    <t>elec savings</t>
  </si>
  <si>
    <t>gas savings</t>
  </si>
  <si>
    <t>PSE Cx Path</t>
  </si>
  <si>
    <t>Full Description</t>
  </si>
  <si>
    <t>repeat acronym</t>
  </si>
  <si>
    <t>PSE Electric EUI (kWh/SF)</t>
  </si>
  <si>
    <t>PSE Gas EUI (therms)</t>
  </si>
  <si>
    <r>
      <t>Building Activity Type</t>
    </r>
    <r>
      <rPr>
        <b/>
        <vertAlign val="superscript"/>
        <sz val="10"/>
        <color theme="1"/>
        <rFont val="Arial"/>
        <family val="2"/>
      </rPr>
      <t>1,2</t>
    </r>
  </si>
  <si>
    <t>Climate Zone 4C or 5C</t>
  </si>
  <si>
    <t>Climate Zone 5B or 6B</t>
  </si>
  <si>
    <t>Corresponding CBSA Building Type</t>
  </si>
  <si>
    <t>Filtered List</t>
  </si>
  <si>
    <t>All PSE (gas/elec)</t>
  </si>
  <si>
    <t>EBCx</t>
  </si>
  <si>
    <t>Existing Building Cx</t>
  </si>
  <si>
    <t>Existing Building Commissioning (EBCx)</t>
  </si>
  <si>
    <t>Type</t>
  </si>
  <si>
    <t>Median</t>
  </si>
  <si>
    <t>Q1</t>
  </si>
  <si>
    <t>Q3</t>
  </si>
  <si>
    <t>No.</t>
  </si>
  <si>
    <t>Portfolio Manager Types</t>
  </si>
  <si>
    <t>Portfolio Manager</t>
  </si>
  <si>
    <t>Notes</t>
  </si>
  <si>
    <r>
      <t>EUI</t>
    </r>
    <r>
      <rPr>
        <b/>
        <vertAlign val="subscript"/>
        <sz val="10"/>
        <color theme="1"/>
        <rFont val="Arial"/>
        <family val="2"/>
      </rPr>
      <t>t</t>
    </r>
  </si>
  <si>
    <t>All PSE (all elec)</t>
  </si>
  <si>
    <t>MBCx</t>
  </si>
  <si>
    <t>Monitoring-Based Cx</t>
  </si>
  <si>
    <t>Monitoring-Based Commissioning (MBCx)</t>
  </si>
  <si>
    <t>Assembly</t>
  </si>
  <si>
    <t>Sub-Types/Detailed</t>
  </si>
  <si>
    <t>PSE elec/other gas</t>
  </si>
  <si>
    <t>EBCx+MBCx</t>
  </si>
  <si>
    <t>Existing Bldg + Monitoring Based Cx</t>
  </si>
  <si>
    <t>Existing Building + Monitoring-Based Commissioning (EBCx+MBCx)</t>
  </si>
  <si>
    <t>Grocery</t>
  </si>
  <si>
    <t>Select Building Activity Type →</t>
  </si>
  <si>
    <t>-</t>
  </si>
  <si>
    <t>PSE gas/other elec</t>
  </si>
  <si>
    <t>Lodging</t>
  </si>
  <si>
    <t>Office</t>
  </si>
  <si>
    <t>Education</t>
  </si>
  <si>
    <t>Adult Education</t>
  </si>
  <si>
    <t>School</t>
  </si>
  <si>
    <t>* SCL Tuneup requirement to end in 2026, can revert to PSE gas and other elec</t>
  </si>
  <si>
    <t>Healthcare</t>
  </si>
  <si>
    <t>Ambulatory Surgical Center</t>
  </si>
  <si>
    <t>Other</t>
  </si>
  <si>
    <t>Entertainment/public assembly</t>
  </si>
  <si>
    <t>Aquarium</t>
  </si>
  <si>
    <t>Performance Rate</t>
  </si>
  <si>
    <t>EEI SummaryTable</t>
  </si>
  <si>
    <t>Dynamic Input</t>
  </si>
  <si>
    <t>Residential Care</t>
  </si>
  <si>
    <t>Retail</t>
  </si>
  <si>
    <t>Automobile Dealership</t>
  </si>
  <si>
    <t>Therm Incentive</t>
  </si>
  <si>
    <t>per therm</t>
  </si>
  <si>
    <t>therm</t>
  </si>
  <si>
    <t>Initial Grant Calc.</t>
  </si>
  <si>
    <t>Y</t>
  </si>
  <si>
    <t>PSE Gas</t>
  </si>
  <si>
    <t>Food Service</t>
  </si>
  <si>
    <t>Banking/financial services</t>
  </si>
  <si>
    <t>Bank Branch</t>
  </si>
  <si>
    <t>kWh Incentive</t>
  </si>
  <si>
    <t>per kWh</t>
  </si>
  <si>
    <t>kWh</t>
  </si>
  <si>
    <t>Performance Calc.</t>
  </si>
  <si>
    <t>N</t>
  </si>
  <si>
    <t>PSE Electric</t>
  </si>
  <si>
    <t>Bar/Nightclub - Entertainment/public assembly</t>
  </si>
  <si>
    <t>Food sales and service</t>
  </si>
  <si>
    <t>Bar/Nightclub - Food sales and service</t>
  </si>
  <si>
    <t>Restaurant</t>
  </si>
  <si>
    <t>Warehouse</t>
  </si>
  <si>
    <t>Lodging/residential</t>
  </si>
  <si>
    <t>Barracks</t>
  </si>
  <si>
    <t>Copy/Paste (Values only) PSE Avoided Costs and Rate Schedules from latest release of AutoFund, only references Green cell</t>
  </si>
  <si>
    <t>Bowling Alley</t>
  </si>
  <si>
    <t>Casino</t>
  </si>
  <si>
    <t>College/University</t>
  </si>
  <si>
    <t>Measure Life</t>
  </si>
  <si>
    <t>Elec Space Htg</t>
  </si>
  <si>
    <t>Summer Clg</t>
  </si>
  <si>
    <t>Hot Water (DHW)</t>
  </si>
  <si>
    <t>Refrigeration</t>
  </si>
  <si>
    <t>Misc.</t>
  </si>
  <si>
    <t>Lighting (Horticulture Only)</t>
  </si>
  <si>
    <t>NG Space Htg</t>
  </si>
  <si>
    <t>Process</t>
  </si>
  <si>
    <t>Convenience Store with Gas Station</t>
  </si>
  <si>
    <t>Convenience Store without Gas Station</t>
  </si>
  <si>
    <t>Convention Center</t>
  </si>
  <si>
    <t>Public services</t>
  </si>
  <si>
    <t>Courthouse</t>
  </si>
  <si>
    <t xml:space="preserve">Note: These costs include Energy, Capacity, Social Cost of Carbon, Renewable Premium and Equity Premium AND the 10% conservation Credit to energy and capacity </t>
  </si>
  <si>
    <t>Note: These costs include energy, capacity, social cost of carbon and CCA price, and the 10% conservation credit.</t>
  </si>
  <si>
    <t>Technology/science</t>
  </si>
  <si>
    <t>Data Center</t>
  </si>
  <si>
    <t xml:space="preserve">     SCL Rates</t>
  </si>
  <si>
    <t>Demand ($ / kW)</t>
  </si>
  <si>
    <t>Warehouse/storage</t>
  </si>
  <si>
    <t>Distribution Center</t>
  </si>
  <si>
    <t>Small GS</t>
  </si>
  <si>
    <t>Enclosed Mall</t>
  </si>
  <si>
    <t>Medium GS</t>
  </si>
  <si>
    <t>Utility</t>
  </si>
  <si>
    <t>Energy/Power Station</t>
  </si>
  <si>
    <t>see footnote 7</t>
  </si>
  <si>
    <t>Large GS</t>
  </si>
  <si>
    <t>Fast Food Restaurant</t>
  </si>
  <si>
    <t>High Demand GS</t>
  </si>
  <si>
    <t>Financial Office</t>
  </si>
  <si>
    <t>Sch_Elec (10-01-23)</t>
  </si>
  <si>
    <t xml:space="preserve">     PSE Rates</t>
  </si>
  <si>
    <t>Rates_Elec (¢ / kWh)</t>
  </si>
  <si>
    <t>Sch_NG (10-01-23)</t>
  </si>
  <si>
    <t>Rates_NG ($ / therm)</t>
  </si>
  <si>
    <t>Fire Station</t>
  </si>
  <si>
    <t>Sch 8</t>
  </si>
  <si>
    <t>Sch 31</t>
  </si>
  <si>
    <t>Implementation Cost</t>
  </si>
  <si>
    <t>Fitness Center/Health Club/Gym</t>
  </si>
  <si>
    <t xml:space="preserve">Sch 11 (&lt;20,000 kWh/mo) </t>
  </si>
  <si>
    <t>Sch 41 &lt; 5,000</t>
  </si>
  <si>
    <t>Food Sales (Convenience store with gas)</t>
  </si>
  <si>
    <t xml:space="preserve">Sch 11 (&gt;20,000 kWh/mo) </t>
  </si>
  <si>
    <t>Sch 41 &gt; 5,000</t>
  </si>
  <si>
    <t>Food Sales (Convenience store)</t>
  </si>
  <si>
    <t>Sch 12 - Primary</t>
  </si>
  <si>
    <t>Sch 85 Interruptible &lt;25k</t>
  </si>
  <si>
    <t>Food Sales (Grocery/food market)</t>
  </si>
  <si>
    <t>Sch 12 - Secondary</t>
  </si>
  <si>
    <t>Sch 85 Interruptible 25-50k</t>
  </si>
  <si>
    <t>Food Sales (Other food sales)</t>
  </si>
  <si>
    <t>Sch 24</t>
  </si>
  <si>
    <t>Sch 85 Interruptible &gt;50k</t>
  </si>
  <si>
    <t>Food Service (Fast food)</t>
  </si>
  <si>
    <t xml:space="preserve">Sch 25 (&lt;20,000 kWh/mo) </t>
  </si>
  <si>
    <t>Sch 86 Interruptible &lt;1,000</t>
  </si>
  <si>
    <t>Food Service (Other food service)</t>
  </si>
  <si>
    <t xml:space="preserve">Sch 25 (&gt;20,000 kWh/mo) </t>
  </si>
  <si>
    <t>Sch 86 Interruptible &gt;1,000</t>
  </si>
  <si>
    <t>Food Service (Restaurant/cafeteria)</t>
  </si>
  <si>
    <t>Sch 26 - Primary</t>
  </si>
  <si>
    <t>Sch 87 Interruptible &lt;25k</t>
  </si>
  <si>
    <t>Hospital (General Medical &amp; Surgical)*</t>
  </si>
  <si>
    <t>Hospital</t>
  </si>
  <si>
    <t>Sch 26 - Secondary</t>
  </si>
  <si>
    <t>Sch 87 Interruptible 25-50k</t>
  </si>
  <si>
    <t>Hotel</t>
  </si>
  <si>
    <t xml:space="preserve">Sch 29 (&lt;20,000 kWh/mo) </t>
  </si>
  <si>
    <t>Sch 87 Interruptible 50-100k</t>
  </si>
  <si>
    <t>Hotel (Motel or inn)</t>
  </si>
  <si>
    <t xml:space="preserve">Sch 29 (&gt;20,000 kWh/mo) </t>
  </si>
  <si>
    <t>Sch 87 Interruptible 100-200k</t>
  </si>
  <si>
    <t>Ice/Curling Rink</t>
  </si>
  <si>
    <t>Sch 87 Interruptible 200-500k</t>
  </si>
  <si>
    <t>Indoor Arena</t>
  </si>
  <si>
    <t>Sch 40-HV</t>
  </si>
  <si>
    <t>Sch 87 Interruptible &gt;500k</t>
  </si>
  <si>
    <t>K-12 School (Elementary/middle school)</t>
  </si>
  <si>
    <t>Sch 40-Primary</t>
  </si>
  <si>
    <t>K-12 School (High school)</t>
  </si>
  <si>
    <t>Sch 40-Secondary</t>
  </si>
  <si>
    <t>Laboratory</t>
  </si>
  <si>
    <t>Sch 43</t>
  </si>
  <si>
    <t>Library</t>
  </si>
  <si>
    <t>Sch 46</t>
  </si>
  <si>
    <t>Lifestyle Center</t>
  </si>
  <si>
    <t>Sch 49</t>
  </si>
  <si>
    <t>Lifestyle Center (Enclosed mall)</t>
  </si>
  <si>
    <t>Lifestyle Center (Other retail)</t>
  </si>
  <si>
    <t>Lifestyle Center (Retail store)</t>
  </si>
  <si>
    <t>Mailing Center/Post Office</t>
  </si>
  <si>
    <t>New Construction - Electric</t>
  </si>
  <si>
    <t>New Construction - Natural Gas</t>
  </si>
  <si>
    <t>Retrofit - Electric</t>
  </si>
  <si>
    <t>Retrofit - Natural Gas</t>
  </si>
  <si>
    <t>Medical Office - Healthcare</t>
  </si>
  <si>
    <t>Discount Rate</t>
  </si>
  <si>
    <t>Medical Office - Office</t>
  </si>
  <si>
    <t>Admin (% of MC)</t>
  </si>
  <si>
    <t>Mixed use</t>
  </si>
  <si>
    <t>Mixed Use Property</t>
  </si>
  <si>
    <t>see footnote 4</t>
  </si>
  <si>
    <t>Movie Theater</t>
  </si>
  <si>
    <t>Annual Maint. Commitment ($$):</t>
  </si>
  <si>
    <t>Multifamily Housing</t>
  </si>
  <si>
    <t>Museum</t>
  </si>
  <si>
    <t>Nonrefrigerated Warehouse</t>
  </si>
  <si>
    <t>Office (Admin/professional office)</t>
  </si>
  <si>
    <t xml:space="preserve">Office (Bank/other financial) </t>
  </si>
  <si>
    <t>Office (Government office)</t>
  </si>
  <si>
    <t>Office (Medical office (diagnostic))</t>
  </si>
  <si>
    <t>Office (Other office)</t>
  </si>
  <si>
    <t>Other - Education</t>
  </si>
  <si>
    <t>Other - Entertainment/Public Assembly (Entertainment/culture)</t>
  </si>
  <si>
    <t>Other - Entertainment/Public Assembly (Other public assembly)</t>
  </si>
  <si>
    <t>Other - Entertainment/Public Assembly (Recreation)</t>
  </si>
  <si>
    <t>Other - Entertainment/Public Assembly (Social/meeting)</t>
  </si>
  <si>
    <t>Other - Entertainment/Public Assembly Library (Entertainment/culture)</t>
  </si>
  <si>
    <t>Other - Lodging/Residential</t>
  </si>
  <si>
    <t>Other - Office</t>
  </si>
  <si>
    <t>Other - Public Service</t>
  </si>
  <si>
    <t>Other - Recreation</t>
  </si>
  <si>
    <t>Other - Restaurant/Bar</t>
  </si>
  <si>
    <t>Other - Retail/Mall</t>
  </si>
  <si>
    <t>Other - Retail/Mall (Enclosed mall)</t>
  </si>
  <si>
    <t>Services</t>
  </si>
  <si>
    <t>Other - Services</t>
  </si>
  <si>
    <t>Other - Specialty Hospital</t>
  </si>
  <si>
    <t>Other - Stadium</t>
  </si>
  <si>
    <t>Other - Technology/Science (Other service)</t>
  </si>
  <si>
    <t>Other - Utility</t>
  </si>
  <si>
    <t>Outpatient Rehabilitation/Physical Therapy</t>
  </si>
  <si>
    <t>Performing Arts</t>
  </si>
  <si>
    <t>Personal Services (Health/Beauty, Dry Cleaning, etc.)</t>
  </si>
  <si>
    <t>Police Station</t>
  </si>
  <si>
    <t>Preschool/Daycare</t>
  </si>
  <si>
    <t>Prison/Incarceration</t>
  </si>
  <si>
    <t>Race Track</t>
  </si>
  <si>
    <t>Refrigerated Warehouse</t>
  </si>
  <si>
    <t>Repair Services (Repair shop)</t>
  </si>
  <si>
    <t>Repair Services (Vehicle service/repair shop)</t>
  </si>
  <si>
    <t>Repair Services (Vehicle storage/maintenance.)</t>
  </si>
  <si>
    <t>Residence Hall/Dormitory</t>
  </si>
  <si>
    <t>Residential Care Facility</t>
  </si>
  <si>
    <t>Retail Store</t>
  </si>
  <si>
    <t>Roller Rink</t>
  </si>
  <si>
    <t>Self-Storage Facility</t>
  </si>
  <si>
    <t>Senior Care Community</t>
  </si>
  <si>
    <t>Gorcery</t>
  </si>
  <si>
    <t>Social/Meeting Hall</t>
  </si>
  <si>
    <t>Stadium (Closed)</t>
  </si>
  <si>
    <t>Stadium (Open)</t>
  </si>
  <si>
    <t>Strip Mall</t>
  </si>
  <si>
    <t>Supermarket/Grocery Store</t>
  </si>
  <si>
    <t>Swimming Pool</t>
  </si>
  <si>
    <t>Transportation Terminal/Station</t>
  </si>
  <si>
    <t>Urgent Care/Clinic/Other Outpatient</t>
  </si>
  <si>
    <t>Veterinary Office</t>
  </si>
  <si>
    <t>Vocational School</t>
  </si>
  <si>
    <t>Wholesale Club/Supercenter</t>
  </si>
  <si>
    <t>Religious worship</t>
  </si>
  <si>
    <t>Worship Facility</t>
  </si>
  <si>
    <t>Zoo</t>
  </si>
  <si>
    <t>Notes:</t>
  </si>
  <si>
    <t>1. Select the most specific building activity type that applies.</t>
  </si>
  <si>
    <t>2. For building type definitions see Energy Star portfolio manager definitions except as follows:</t>
  </si>
  <si>
    <t>Data center: Is an activity space designed and equipped to meet the needs of high density computing equipment, such as server racks, used for data storage and processing, including dedicated uninterruptible power supplies and cooling systems and require a constant power load of 75 kW or more. Gross floor area shall only include space within the building including raised floor computing space, server rack aisles, storage silos, control console areas, battery rooms and mechanical rooms for dedicated cooling equipment. Gross floor area shall not include a server closet, telecommunications equipment closet, computer training area, office, elevator, corridors, or other auxiliary space.</t>
  </si>
  <si>
    <t>Urgent care center/clinic/other outpatient office means the buildings used to diagnose and treat patients, usually on an unscheduled, walk-in basis, who have an injury or illness that requires immediate care but is not serious enough to warrant a visit to an emergency department. Includes facilities that provide same-day surgical, diagnostic and preventive care.</t>
  </si>
  <si>
    <t>3. All medical offices considered to be diagnostic type.</t>
  </si>
  <si>
    <t>4. Must use of Section 7.2.3 method for mixed use buildings.</t>
  </si>
  <si>
    <t>5. Suggest considering use of Section 7.2.3 method for mixed use buildings.</t>
  </si>
  <si>
    <t>6. This is a building or activity without an energy target. Included to provide definition only.</t>
  </si>
  <si>
    <t>7. This is a building or activity without an energy target. This may be exempt from the standard, see Section Z4.1 2, d.</t>
  </si>
  <si>
    <t>v v Select PSE Commissioning path below v v</t>
  </si>
  <si>
    <t>Facility:</t>
  </si>
  <si>
    <t>Submission Date:</t>
  </si>
  <si>
    <t>Owner:</t>
  </si>
  <si>
    <t>Senior Operations:</t>
  </si>
  <si>
    <t>Management:</t>
  </si>
  <si>
    <t>Building Details</t>
  </si>
  <si>
    <t>Space type:</t>
  </si>
  <si>
    <t>Total Area:</t>
  </si>
  <si>
    <t>Annual Usage:</t>
  </si>
  <si>
    <t>Activity Sub-type:</t>
  </si>
  <si>
    <t>therms</t>
  </si>
  <si>
    <r>
      <t>This document serves as an initial screening tool to determine whether the building(s) would be a good candidate for this program or other programs within the PSE energy efficiency portfolio. Please mark the statements below that apply and submit to your PSE representative along with a PSE Application (</t>
    </r>
    <r>
      <rPr>
        <i/>
        <sz val="10"/>
        <rFont val="Arial"/>
        <family val="2"/>
      </rPr>
      <t>see 'Instructions' tab</t>
    </r>
    <r>
      <rPr>
        <sz val="10"/>
        <rFont val="Arial"/>
        <family val="2"/>
      </rPr>
      <t>) for consideration.</t>
    </r>
  </si>
  <si>
    <t>Minimum Qualifications:</t>
  </si>
  <si>
    <t>Building(s) use</t>
  </si>
  <si>
    <t>PSE gas only customers must use gas for space heating (e.g.: uses a condensing boiler, ventilation or make-up air heated by gas, not just for tempering the supply air)</t>
  </si>
  <si>
    <t xml:space="preserve">No plans for controls replacement or other major system upgrades within the next 5 years
</t>
  </si>
  <si>
    <t>Building-level metering exists (PSE does offer a sub-metering incentive)</t>
  </si>
  <si>
    <t>Management Commitment:</t>
  </si>
  <si>
    <t>Customer understands there is a $/sq.ft. requirement to implement building fixes with a 2 year payback or less.</t>
  </si>
  <si>
    <t>Building energy use is higher than average for typical building of this type. Be sure to consider whether high use is controllable (associated with HVAC) or not (may include server rooms, DHW, Laundry, or other process loads).</t>
  </si>
  <si>
    <t>Current Building EUI:</t>
  </si>
  <si>
    <t>Total kBTU/sq.ft.</t>
  </si>
  <si>
    <t>kWh/sq.ft.</t>
  </si>
  <si>
    <t>Therms/sq.ft</t>
  </si>
  <si>
    <t>General Assessment Conditions:</t>
  </si>
  <si>
    <t>Building has had several changes in use, or several different tenants since it was constructed.</t>
  </si>
  <si>
    <r>
      <t xml:space="preserve">Building does </t>
    </r>
    <r>
      <rPr>
        <b/>
        <i/>
        <sz val="10"/>
        <rFont val="Arial"/>
        <family val="2"/>
      </rPr>
      <t>NOT</t>
    </r>
    <r>
      <rPr>
        <sz val="10"/>
        <rFont val="Arial"/>
        <family val="2"/>
      </rPr>
      <t xml:space="preserve"> have some of the energy efficient control sequences listed below (mark missing features): </t>
    </r>
  </si>
  <si>
    <t>Duct static/discharge air temp/HW/CW/CHW reset based on load</t>
  </si>
  <si>
    <t>Optimum start/stop</t>
  </si>
  <si>
    <t>Staging of chiller or boilers based on unit efficiency</t>
  </si>
  <si>
    <t>VFDs</t>
  </si>
  <si>
    <t>Deadband for room temp setpoints</t>
  </si>
  <si>
    <t>Other?</t>
  </si>
  <si>
    <t>Building has never been commissioned by a third party (new or existing).</t>
  </si>
  <si>
    <t>If it has, date of last commissioning (Cx):</t>
  </si>
  <si>
    <t>Cx Agent:</t>
  </si>
  <si>
    <t>Ventilation rate has never been checked and there are no indoor air problems.</t>
  </si>
  <si>
    <t>Building has had a lot of comfort, other issues, and/or does not seem to work right.</t>
  </si>
  <si>
    <t>HVAC/lighting controls are not regularly tested, only basic maintenance has been done (e.g. change filters/belts).</t>
  </si>
  <si>
    <r>
      <t xml:space="preserve">Main HVAC system is </t>
    </r>
    <r>
      <rPr>
        <b/>
        <i/>
        <sz val="10"/>
        <rFont val="Arial"/>
        <family val="2"/>
      </rPr>
      <t>NOT</t>
    </r>
    <r>
      <rPr>
        <sz val="10"/>
        <rFont val="Arial"/>
        <family val="2"/>
      </rPr>
      <t xml:space="preserve"> single zone packaged RTUs with wall stats.</t>
    </r>
  </si>
  <si>
    <t xml:space="preserve"> Last upgrade:</t>
  </si>
  <si>
    <t>HVAC systems are complex systems:</t>
  </si>
  <si>
    <t>Central hot water (boiler plant)</t>
  </si>
  <si>
    <t>Variable Air Volume (VAV)</t>
  </si>
  <si>
    <t>Central chilled water (chiller plant)</t>
  </si>
  <si>
    <t>Multi-zone RTU</t>
  </si>
  <si>
    <r>
      <t xml:space="preserve">List other reasons this building(s) is a good candidate. </t>
    </r>
    <r>
      <rPr>
        <sz val="10"/>
        <rFont val="Arial"/>
        <family val="2"/>
      </rPr>
      <t>Include HVAC/lighting/controls issues building has had, findings from walk-through</t>
    </r>
    <r>
      <rPr>
        <b/>
        <sz val="10"/>
        <rFont val="Arial"/>
        <family val="2"/>
      </rPr>
      <t xml:space="preserve">: </t>
    </r>
  </si>
  <si>
    <r>
      <t xml:space="preserve">Give basic description of facility: </t>
    </r>
    <r>
      <rPr>
        <sz val="10"/>
        <rFont val="Arial"/>
        <family val="2"/>
      </rPr>
      <t xml:space="preserve"># of buildings/systems in project, general hours of operation, HVAC type, lighting controls type, use of building, are there a lot of computers used, % of space for server rooms. </t>
    </r>
  </si>
  <si>
    <r>
      <rPr>
        <b/>
        <sz val="10"/>
        <rFont val="Arial"/>
        <family val="2"/>
      </rPr>
      <t>List changes in use or equipment in the past year and expected for the next 5 years.</t>
    </r>
    <r>
      <rPr>
        <sz val="10"/>
        <rFont val="Arial"/>
        <family val="2"/>
      </rPr>
      <t xml:space="preserve"> Explain briefly how one would easily adjust for this change in a billing savings analysis:</t>
    </r>
  </si>
  <si>
    <t xml:space="preserve">Other PSE Program that would help customer save energy: </t>
  </si>
  <si>
    <r>
      <rPr>
        <b/>
        <sz val="10"/>
        <rFont val="Arial"/>
        <family val="2"/>
      </rPr>
      <t>Other Comments/Notes:</t>
    </r>
    <r>
      <rPr>
        <sz val="10"/>
        <rFont val="Arial"/>
        <family val="2"/>
      </rPr>
      <t xml:space="preserve"> </t>
    </r>
  </si>
  <si>
    <r>
      <rPr>
        <b/>
        <sz val="11"/>
        <color theme="1"/>
        <rFont val="Arial"/>
        <family val="2"/>
      </rPr>
      <t>INSTRUCTIONS:</t>
    </r>
    <r>
      <rPr>
        <sz val="11"/>
        <rFont val="Arial"/>
        <family val="2"/>
      </rPr>
      <t xml:space="preserve"> Fill in yellow highlighted cells in order to determine the estimated savings and incentive for your project. If there are any process loads within the building that are largerer than 1% of the annual energy use, they must be accounted for below in the section labeled "Calculate Major Process Loads". </t>
    </r>
  </si>
  <si>
    <t>Project Name:</t>
  </si>
  <si>
    <t>PSE Customer:</t>
  </si>
  <si>
    <t>Address:</t>
  </si>
  <si>
    <t>Bellevue, WA 98004</t>
  </si>
  <si>
    <t>Customer Type:</t>
  </si>
  <si>
    <t>Provider Cost:</t>
  </si>
  <si>
    <t>Implementation Cost:</t>
  </si>
  <si>
    <t>Utility Data</t>
  </si>
  <si>
    <t>Annual Therms:</t>
  </si>
  <si>
    <t>therm/sq.ft./yr.</t>
  </si>
  <si>
    <t>Annual kWhs:</t>
  </si>
  <si>
    <t>kWh/sq.ft./yr.</t>
  </si>
  <si>
    <t>Total Building EUI:</t>
  </si>
  <si>
    <t>kBTU/sq.ft./yr.</t>
  </si>
  <si>
    <t>Graph of Cash Flow MAX/MIN Est.:</t>
  </si>
  <si>
    <t>MIN</t>
  </si>
  <si>
    <t xml:space="preserve"> &gt;&gt;</t>
  </si>
  <si>
    <t>Guaranteed Incentives</t>
  </si>
  <si>
    <t>Implementation Incentive Cap</t>
  </si>
  <si>
    <t>*up to 75% of Cx Provider costs</t>
  </si>
  <si>
    <t>&lt;&lt; current percent of CxP costs</t>
  </si>
  <si>
    <t>Performance Incentive Estimates</t>
  </si>
  <si>
    <t>Percent Savings</t>
  </si>
  <si>
    <t>Performance Incentive</t>
  </si>
  <si>
    <t>Performance Incentive Cap
(may be limited by site energy consumption)</t>
  </si>
  <si>
    <t>Savings MIN Target</t>
  </si>
  <si>
    <t>Calculate Major Process Loads (Loads &gt; 1%)</t>
  </si>
  <si>
    <t>Process Load Type</t>
  </si>
  <si>
    <t>Annual Use</t>
  </si>
  <si>
    <t>UOM</t>
  </si>
  <si>
    <t>Description</t>
  </si>
  <si>
    <t>Electric</t>
  </si>
  <si>
    <t>Large DHW</t>
  </si>
  <si>
    <t>Gas</t>
  </si>
  <si>
    <t>Other (describe)</t>
  </si>
  <si>
    <t>Economic Analysis</t>
  </si>
  <si>
    <t>Annual Cost Savings</t>
  </si>
  <si>
    <t>Simple Payback (SPB)</t>
  </si>
  <si>
    <t>Internal Rate of Return (IRR)</t>
  </si>
  <si>
    <t>Accounting Rate of Return (ARR)</t>
  </si>
  <si>
    <t>Net Present Value (NPV)*</t>
  </si>
  <si>
    <t>MIN Estimate</t>
  </si>
  <si>
    <t>MAX Estimate</t>
  </si>
  <si>
    <t xml:space="preserve">Project Notes: </t>
  </si>
  <si>
    <t>PSE Internal Use Only - Allocation by Measure</t>
  </si>
  <si>
    <t>Measure Description</t>
  </si>
  <si>
    <t>Measure Cost</t>
  </si>
  <si>
    <t>PSE Grant</t>
  </si>
  <si>
    <t>Savings (net)</t>
  </si>
  <si>
    <t>Load Type</t>
  </si>
  <si>
    <t>TRC</t>
  </si>
  <si>
    <t>Baseline Use</t>
  </si>
  <si>
    <t>Elec Avg TRC &gt;</t>
  </si>
  <si>
    <t>Totals</t>
  </si>
  <si>
    <t>Gas Avg TRC &gt;</t>
  </si>
  <si>
    <t>Yr 0 - Assessment (Cost and incentive)</t>
  </si>
  <si>
    <t>Yr 1 - Implementation (Cost and Incentive)</t>
  </si>
  <si>
    <t>Pool</t>
  </si>
  <si>
    <t>Yr 2 - Performance Year 1</t>
  </si>
  <si>
    <t>Yr 3 - Performance Year 2</t>
  </si>
  <si>
    <t>HIDE TEXT&gt;&gt;</t>
  </si>
  <si>
    <t>CHART DATA (Dynamic from tables below depending on Cx Path)</t>
  </si>
  <si>
    <t>SPB</t>
  </si>
  <si>
    <t>Years</t>
  </si>
  <si>
    <t>Invested</t>
  </si>
  <si>
    <t>PSE Incentive</t>
  </si>
  <si>
    <t>Energy Savings</t>
  </si>
  <si>
    <t>x</t>
  </si>
  <si>
    <t>y</t>
  </si>
  <si>
    <t>MBCx Calculation</t>
  </si>
  <si>
    <t>Incentive</t>
  </si>
  <si>
    <t xml:space="preserve">Net Annual </t>
  </si>
  <si>
    <t>PV Rate</t>
  </si>
  <si>
    <t>Initial investment</t>
  </si>
  <si>
    <t>IRR Calc MIN</t>
  </si>
  <si>
    <t xml:space="preserve">Yr 0 </t>
  </si>
  <si>
    <t xml:space="preserve">Yr 1 </t>
  </si>
  <si>
    <t>Yr 2</t>
  </si>
  <si>
    <t>Yr 3</t>
  </si>
  <si>
    <t>Yr 4</t>
  </si>
  <si>
    <t>Yr 5</t>
  </si>
  <si>
    <t>EBCx Calculations</t>
  </si>
  <si>
    <t>Net Annual (MIN)</t>
  </si>
  <si>
    <t>PV Rate (MIN)</t>
  </si>
  <si>
    <t>Net Annual (MAX)</t>
  </si>
  <si>
    <t>PV Rate (MAX)</t>
  </si>
  <si>
    <t>IRR Calc MAX</t>
  </si>
  <si>
    <t>EEI #:</t>
  </si>
  <si>
    <t>Description:</t>
  </si>
  <si>
    <t>Savings / Yr:</t>
  </si>
  <si>
    <t>Frequency:</t>
  </si>
  <si>
    <t>Annual</t>
  </si>
  <si>
    <t>Bi-Annual</t>
  </si>
  <si>
    <t>Quarterly</t>
  </si>
  <si>
    <t>Procedure to check improvement is still in place:</t>
  </si>
  <si>
    <t>Documentation required for PSE (specific trends, screenshots, etc.)</t>
  </si>
  <si>
    <t>Completed by</t>
  </si>
  <si>
    <t>OK?</t>
  </si>
  <si>
    <t>Result/Notes</t>
  </si>
  <si>
    <t xml:space="preserve">Directions: Note changes with a major impact on energy use, and not a result of the commissioning (Cx) process. </t>
  </si>
  <si>
    <t xml:space="preserve">Facility: </t>
  </si>
  <si>
    <t>Date of This Report:</t>
  </si>
  <si>
    <t xml:space="preserve">Person Completing Report: </t>
  </si>
  <si>
    <t>Start Date of Cx Process:</t>
  </si>
  <si>
    <t>Date of Final Cx Report:</t>
  </si>
  <si>
    <t>End Date of 1st year Performance:</t>
  </si>
  <si>
    <t>Date or Date Range:</t>
  </si>
  <si>
    <t>Description of Change or Event (e.g. occupancy changes, new equipment or tenant loads, production schedule, occupied hours etc.)</t>
  </si>
  <si>
    <t>Describe how the change or event affects energy use. Estimate energy use impact (kWh/yr, Therms/yr)</t>
  </si>
  <si>
    <t>Date:</t>
  </si>
  <si>
    <t>TASKS</t>
  </si>
  <si>
    <t>DATES OF COMPLETION</t>
  </si>
  <si>
    <r>
      <t xml:space="preserve">Suggested &amp; Maximum Time Frames / Notes
 </t>
    </r>
    <r>
      <rPr>
        <sz val="10"/>
        <rFont val="Arial"/>
        <family val="2"/>
      </rPr>
      <t>(*PSE Review Max 2 weeks after submittal)</t>
    </r>
  </si>
  <si>
    <t>Cx Provider</t>
  </si>
  <si>
    <t>PSE Review*</t>
  </si>
  <si>
    <t>Owner</t>
  </si>
  <si>
    <t>1. Proposal</t>
  </si>
  <si>
    <t>Prior to grant</t>
  </si>
  <si>
    <t xml:space="preserve">     a. Scope of Work (incl. cost)</t>
  </si>
  <si>
    <t xml:space="preserve">     b. Initial Cx Plan</t>
  </si>
  <si>
    <t>2. Install sub-metering if needed</t>
  </si>
  <si>
    <r>
      <t xml:space="preserve">Min 2 months </t>
    </r>
    <r>
      <rPr>
        <sz val="10"/>
        <rFont val="Arial"/>
        <family val="2"/>
      </rPr>
      <t>prior to Investigation</t>
    </r>
  </si>
  <si>
    <t>5. Implementation Phase</t>
  </si>
  <si>
    <t xml:space="preserve">Min 3 months (quarterly/iterative) </t>
  </si>
  <si>
    <t xml:space="preserve">     a. Identify issues and opportunities</t>
  </si>
  <si>
    <t>All items 'a' through 'd' are discussed during the quarterly meetings</t>
  </si>
  <si>
    <t xml:space="preserve">     b. Investigate and analyze </t>
  </si>
  <si>
    <t>meetings and tracked</t>
  </si>
  <si>
    <t xml:space="preserve">     c. Identify and implement actions</t>
  </si>
  <si>
    <t xml:space="preserve">     d. Verify improvements</t>
  </si>
  <si>
    <r>
      <rPr>
        <b/>
        <sz val="11"/>
        <color theme="1"/>
        <rFont val="Arial"/>
        <family val="2"/>
      </rPr>
      <t>1 month after implementation</t>
    </r>
    <r>
      <rPr>
        <sz val="11"/>
        <color theme="1"/>
        <rFont val="Arial"/>
        <family val="2"/>
      </rPr>
      <t xml:space="preserve"> (includes onsite work &amp; informal training)</t>
    </r>
  </si>
  <si>
    <t>6. Facility Guide</t>
  </si>
  <si>
    <r>
      <rPr>
        <b/>
        <sz val="11"/>
        <color indexed="8"/>
        <rFont val="Arial"/>
        <family val="2"/>
      </rPr>
      <t xml:space="preserve">Max 1 month </t>
    </r>
    <r>
      <rPr>
        <sz val="10"/>
        <rFont val="Arial"/>
        <family val="2"/>
      </rPr>
      <t>after first verification cycle</t>
    </r>
  </si>
  <si>
    <t xml:space="preserve">     a. Updated Cx plan</t>
  </si>
  <si>
    <t xml:space="preserve">     b. Reporting (TBD)</t>
  </si>
  <si>
    <t>7. Formal Training</t>
  </si>
  <si>
    <r>
      <rPr>
        <b/>
        <sz val="11"/>
        <color indexed="8"/>
        <rFont val="Arial"/>
        <family val="2"/>
      </rPr>
      <t>0.5 months</t>
    </r>
    <r>
      <rPr>
        <sz val="10"/>
        <rFont val="Arial"/>
        <family val="2"/>
      </rPr>
      <t xml:space="preserve"> after Facility Guide </t>
    </r>
  </si>
  <si>
    <t>8. Post-conditions verification/site visit</t>
  </si>
  <si>
    <r>
      <rPr>
        <b/>
        <sz val="11"/>
        <color indexed="8"/>
        <rFont val="Arial"/>
        <family val="2"/>
      </rPr>
      <t xml:space="preserve">Max 2 weeks </t>
    </r>
    <r>
      <rPr>
        <sz val="10"/>
        <rFont val="Arial"/>
        <family val="2"/>
      </rPr>
      <t>after report review</t>
    </r>
  </si>
  <si>
    <t>During 1st &amp; 2nd year after Facility Guide completion and prior to performance payments</t>
  </si>
  <si>
    <t xml:space="preserve">     a. Issues/anomalies log</t>
  </si>
  <si>
    <t xml:space="preserve">     b. Quarterly meeting/reporting</t>
  </si>
  <si>
    <t xml:space="preserve">     c. Bonus Documentation Reports</t>
  </si>
  <si>
    <t>Includes Persistence Checks, Performance Changes &amp; additional Implementation Costs</t>
  </si>
  <si>
    <t xml:space="preserve">PARTICIPANTS </t>
  </si>
  <si>
    <t>Role</t>
  </si>
  <si>
    <t>Name &amp; Title</t>
  </si>
  <si>
    <t>Contact Info (phone &amp; e-mail)</t>
  </si>
  <si>
    <t>PSE Engineer:</t>
  </si>
  <si>
    <t>Cx Professional Lead:</t>
  </si>
  <si>
    <t>Cx Professional Other:</t>
  </si>
  <si>
    <t>Owner Lead:</t>
  </si>
  <si>
    <t>Owner Training Participants:</t>
  </si>
  <si>
    <t>INVESTIGATION</t>
  </si>
  <si>
    <t xml:space="preserve"> REPORT </t>
  </si>
  <si>
    <t>Energy Rates $</t>
  </si>
  <si>
    <t>kWh:</t>
  </si>
  <si>
    <t>Schedule:</t>
  </si>
  <si>
    <t>kWh Savings</t>
  </si>
  <si>
    <t>kWh std. dev.</t>
  </si>
  <si>
    <t>Therm Savings</t>
  </si>
  <si>
    <t>Therm std. dev.</t>
  </si>
  <si>
    <t>Therm:</t>
  </si>
  <si>
    <t xml:space="preserve"> Cx Provider (individual/company):</t>
  </si>
  <si>
    <t>Schedule</t>
  </si>
  <si>
    <t>Owner Max Required Implementation Cost:</t>
  </si>
  <si>
    <t>required $/sqft</t>
  </si>
  <si>
    <t>Facility Conditioned Sqft</t>
  </si>
  <si>
    <t>Max Required Implementation Cost</t>
  </si>
  <si>
    <t>MEASURE</t>
  </si>
  <si>
    <t>ESTIMATED SAVINGS</t>
  </si>
  <si>
    <t>IMPLEMENTATION</t>
  </si>
  <si>
    <t>VERIFIED?</t>
  </si>
  <si>
    <t>Electric Savings</t>
  </si>
  <si>
    <t>Gas Savings</t>
  </si>
  <si>
    <t>Electric Stats</t>
  </si>
  <si>
    <t>Gas Stats</t>
  </si>
  <si>
    <t>EEI #</t>
  </si>
  <si>
    <t>Existing Condition (Pre)</t>
  </si>
  <si>
    <t>Proposed Condition (Post)</t>
  </si>
  <si>
    <t>SPB (yrs)</t>
  </si>
  <si>
    <t>Calc. (Y/N)</t>
  </si>
  <si>
    <t>Pessimistic est. (kWhs)</t>
  </si>
  <si>
    <t>Optimistic est. (kWhs)</t>
  </si>
  <si>
    <t>Most Likely est. (kWhs)</t>
  </si>
  <si>
    <t>Expected Value (kWhs)</t>
  </si>
  <si>
    <t>Pessimistic est. (therms)</t>
  </si>
  <si>
    <t>Optimistic est. (therms)</t>
  </si>
  <si>
    <t>Most Likely est. (therms)</t>
  </si>
  <si>
    <t>Expected Value (therms)</t>
  </si>
  <si>
    <t>Cost Savings ($)</t>
  </si>
  <si>
    <t>Cost ($)</t>
  </si>
  <si>
    <t>Date Done</t>
  </si>
  <si>
    <t>Y/N</t>
  </si>
  <si>
    <t>Std. Deviation (σ)</t>
  </si>
  <si>
    <t>Variance (σ²)</t>
  </si>
  <si>
    <t>SUMMARY</t>
  </si>
  <si>
    <t>SUPPORTING DATA FOR SPREADSHEET:</t>
  </si>
  <si>
    <t>Drop Down Lists</t>
  </si>
  <si>
    <t>REPORT TYPE</t>
  </si>
  <si>
    <t>PSE $/sqft requirement</t>
  </si>
  <si>
    <t>PSE utilities</t>
  </si>
  <si>
    <t>All PSE</t>
  </si>
  <si>
    <t>FINAL</t>
  </si>
  <si>
    <t>PSE elec (other gas)</t>
  </si>
  <si>
    <t>PSE gas (other elec)</t>
  </si>
  <si>
    <t>UPGRADES</t>
  </si>
  <si>
    <t>1. Eligible CxP and Implementation costs include building system upgrades, equipment repairs and simple adjustments. Review guidelines for what is considered an eligible improvement item/expenses</t>
  </si>
  <si>
    <t xml:space="preserve">2. Track the cost of implementing the improvements </t>
  </si>
  <si>
    <t xml:space="preserve">3. Attach appropriate invoices to match costs for each item listed &amp; note associated EEI # </t>
  </si>
  <si>
    <t xml:space="preserve">4. Note if item was already in owner's/ O&amp;M stock </t>
  </si>
  <si>
    <t>NOTE: Up to pre-determined maximum cost* is required</t>
  </si>
  <si>
    <t xml:space="preserve">*Maximum Required Cost: </t>
  </si>
  <si>
    <t xml:space="preserve">Facility sqft: </t>
  </si>
  <si>
    <t>Required $/sqft:</t>
  </si>
  <si>
    <t>EEI#</t>
  </si>
  <si>
    <t>Item in Stock</t>
  </si>
  <si>
    <t xml:space="preserve">Description </t>
  </si>
  <si>
    <t>TOTAL</t>
  </si>
  <si>
    <t>CUSTOMER IMPLEMENTATION COST</t>
  </si>
  <si>
    <t>Project Name/Facility:</t>
  </si>
  <si>
    <t>Hours</t>
  </si>
  <si>
    <t>Staff Name (First/Last)</t>
  </si>
  <si>
    <t>Title</t>
  </si>
  <si>
    <t>Activity/Topic</t>
  </si>
  <si>
    <t>Training Met Needs (Y/N)</t>
  </si>
  <si>
    <t>Facility Guide Training</t>
  </si>
  <si>
    <r>
      <rPr>
        <b/>
        <sz val="11"/>
        <color rgb="FFFF0000"/>
        <rFont val="Arial"/>
        <family val="2"/>
      </rPr>
      <t>*</t>
    </r>
    <r>
      <rPr>
        <b/>
        <sz val="11"/>
        <color theme="1"/>
        <rFont val="Arial"/>
        <family val="2"/>
      </rPr>
      <t>Project Type:</t>
    </r>
  </si>
  <si>
    <t>Therm Savings (gross)</t>
  </si>
  <si>
    <t>kWh Savings
(gross)</t>
  </si>
  <si>
    <t>kBTU</t>
  </si>
  <si>
    <t>How do I know if my project is a controls project versus EBCx, MBCx, HVAC Capital, O&amp;M, or P4P?</t>
  </si>
  <si>
    <r>
      <rPr>
        <b/>
        <u/>
        <sz val="11"/>
        <color theme="1"/>
        <rFont val="Calibri"/>
        <family val="2"/>
        <scheme val="minor"/>
      </rPr>
      <t>HVAC Controls</t>
    </r>
    <r>
      <rPr>
        <sz val="10"/>
        <rFont val="Arial"/>
        <family val="2"/>
      </rPr>
      <t xml:space="preserve"> is suitable if you are adding or improving sequences of operation and ensuring that all sequences meet the 2021 Washington State Energy Code (WSEC) Requirements (in section C403). New controls hardware is typically included but not required. A base incentive correlated to 3-5% annual building consumption is paid upon project completion and verification. There is a 1-year performance period, with a performance incentive paid if final savings exceed base savings.</t>
    </r>
  </si>
  <si>
    <r>
      <rPr>
        <b/>
        <u/>
        <sz val="11"/>
        <color theme="1"/>
        <rFont val="Calibri"/>
        <family val="2"/>
        <scheme val="minor"/>
      </rPr>
      <t>Existing Building Commissioning (EBCx)</t>
    </r>
    <r>
      <rPr>
        <sz val="10"/>
        <rFont val="Arial"/>
        <family val="2"/>
      </rPr>
      <t xml:space="preserve"> is suitable if you are going through a whole-building Cx process with plans to implement the &lt; 2-year payback measures identified. An assessment incentive is paid upon initial investigation/walk-through of the building to identify opportunities. A $/sqft implementation incentive is paid upon implementation of the measures, delivery of the final investigation report and all verification documentation. There is a 1-year performance period, with a performance incentive paid if final savings exceed 6% of annual metered consumption. This may identify new or improved sequences of operations without requiring all sequences being brought up to code; however, if a full controls upgrade is identified and warranted, PSE can transition the project to HVAC Controls.</t>
    </r>
  </si>
  <si>
    <r>
      <rPr>
        <b/>
        <u/>
        <sz val="11"/>
        <color theme="1"/>
        <rFont val="Calibri"/>
        <family val="2"/>
        <scheme val="minor"/>
      </rPr>
      <t>Monitoring-Based Commissioning (MBCx)</t>
    </r>
    <r>
      <rPr>
        <sz val="10"/>
        <rFont val="Arial"/>
        <family val="2"/>
      </rPr>
      <t xml:space="preserve"> is suitable if you are implementing a technological path for an ongoing commissioning process by deploying an FDD software application to continually monitor, identify, and fix issues with the building's operation. This may include adds/improves to isolated sequences of operations without requiring all sequences being brought up to code. A $/sqft implementation incentive is paid upon project completion and once all verification documentation is provided. There are two 1-year performance periods, each with a performance incentive paid if final savings exceed 6% of annual metered consumption. </t>
    </r>
  </si>
  <si>
    <r>
      <rPr>
        <b/>
        <u/>
        <sz val="11"/>
        <color theme="1"/>
        <rFont val="Calibri"/>
        <family val="2"/>
        <scheme val="minor"/>
      </rPr>
      <t>Pay for Performance (P4P)</t>
    </r>
    <r>
      <rPr>
        <sz val="10"/>
        <rFont val="Arial"/>
        <family val="2"/>
      </rPr>
      <t xml:space="preserve"> is suitable if you are pursuing at least two capital measures (one of which can be HVAC controls) to be installed within a 12-month period with anticipated site savings over 15% (or 10% if PSE gas only). An implementation incentive correlated to 5% annual building consumption is paid upon project completion and verification. There are two 1-year performance periods, each with a performance incentive paid if final savings exceed previously claimed savings.</t>
    </r>
  </si>
  <si>
    <t>Building(s) collectively have ≥ 50,000 conditioned square footage</t>
  </si>
  <si>
    <t>List any significant base/process loads like refrigeration, a pool, a data center, large DHW, etc.:</t>
  </si>
  <si>
    <t>Additional Notes:</t>
  </si>
  <si>
    <t xml:space="preserve">Other Comments/Notes: </t>
  </si>
  <si>
    <r>
      <rPr>
        <b/>
        <u/>
        <sz val="11"/>
        <color theme="1"/>
        <rFont val="Calibri"/>
        <family val="2"/>
        <scheme val="minor"/>
      </rPr>
      <t>HVAC Operations &amp; Maintenance (O&amp;M)</t>
    </r>
    <r>
      <rPr>
        <sz val="10"/>
        <rFont val="Arial"/>
        <family val="2"/>
      </rPr>
      <t xml:space="preserve"> is suitable if you are tuning and/or fixing existing hardware and/or functions but are not utilizing a formal assessment or approved implementer, and you are not bringing all sequences up to code. Qualifying measures are funded at $0.10/kWh and $2/Therm, up to 100% of the cost.
The project will be analyzed using one of the following two options:
         A </t>
    </r>
    <r>
      <rPr>
        <b/>
        <sz val="11"/>
        <color theme="1"/>
        <rFont val="Calibri"/>
        <family val="2"/>
        <scheme val="minor"/>
      </rPr>
      <t>custom-calculated option</t>
    </r>
    <r>
      <rPr>
        <sz val="10"/>
        <rFont val="Arial"/>
        <family val="2"/>
      </rPr>
      <t xml:space="preserve"> is available for O&amp;M measures which can have savings calculated reliably (e.g. lighting and/or basic HVAC schedule  
         adjustments). The incentive is paid upon project completion and verification. There is no performance incentive.
         A </t>
    </r>
    <r>
      <rPr>
        <b/>
        <sz val="11"/>
        <color theme="1"/>
        <rFont val="Calibri"/>
        <family val="2"/>
        <scheme val="minor"/>
      </rPr>
      <t>performance-only option</t>
    </r>
    <r>
      <rPr>
        <sz val="10"/>
        <rFont val="Arial"/>
        <family val="2"/>
      </rPr>
      <t xml:space="preserve"> is available for measures with at least 3% estimated annual metered savings. The incentive is paid after a 1-year
         performance period if the savings meet or exceed 3%. There is no base incentive.</t>
    </r>
  </si>
  <si>
    <r>
      <rPr>
        <b/>
        <u/>
        <sz val="11"/>
        <color theme="1"/>
        <rFont val="Calibri"/>
        <family val="2"/>
        <scheme val="minor"/>
      </rPr>
      <t>HVAC Capital Upgrade</t>
    </r>
    <r>
      <rPr>
        <sz val="10"/>
        <rFont val="Arial"/>
        <family val="2"/>
      </rPr>
      <t xml:space="preserve"> is suitable if you are adding HVAC hardware and/or controls function but are not bringing all sequences up to code. Qualifying measures are funded at $0.45/kWh and $8/Therm, up to 70% of the cost.
The project will be analyzed using one of the following two options:
         A </t>
    </r>
    <r>
      <rPr>
        <b/>
        <sz val="11"/>
        <color theme="1"/>
        <rFont val="Calibri"/>
        <family val="2"/>
        <scheme val="minor"/>
      </rPr>
      <t>custom-calculated option</t>
    </r>
    <r>
      <rPr>
        <sz val="10"/>
        <rFont val="Arial"/>
        <family val="2"/>
      </rPr>
      <t xml:space="preserve"> is available for measures which can have savings calculated reliably (e.g. DCV, fan VFD). The incentive is paid upon
         project completion and verification. There is no performance incentive.
         A </t>
    </r>
    <r>
      <rPr>
        <b/>
        <sz val="11"/>
        <color theme="1"/>
        <rFont val="Calibri"/>
        <family val="2"/>
        <scheme val="minor"/>
      </rPr>
      <t>performance-only option</t>
    </r>
    <r>
      <rPr>
        <sz val="10"/>
        <rFont val="Arial"/>
        <family val="2"/>
      </rPr>
      <t xml:space="preserve"> is available for measures with at least 3% estimated annual metered savings. The incentive is paid after a 1-year
         performance period if the savings meet or exceed 3%. There is no base incentive.</t>
    </r>
  </si>
  <si>
    <t>Process Steps for PSE</t>
  </si>
  <si>
    <t>1. Obtain signed data release form from the customer for all affected accounts.</t>
  </si>
  <si>
    <t>5. If moving forward, submit a PSE Grant Application.</t>
  </si>
  <si>
    <t>Send the following to PSE:</t>
  </si>
  <si>
    <t xml:space="preserve">4. Mark your Outlook calendar for 6 months and 12 months after the date when the controls were fully commissioned for the mid-year savings </t>
  </si>
  <si>
    <t>2. When one year since the project was fully commissioned has passed, determine any building changes that occurred.</t>
  </si>
  <si>
    <t>2. Notify PSE of any changes to the building you are aware of (occupancy, space use type, major equipment changes, etc).</t>
  </si>
  <si>
    <t>1. Final invoices for Assessment scope</t>
  </si>
  <si>
    <t>2. Assessment Report</t>
  </si>
  <si>
    <t>3. Customer to provide PSE with completed Persistence Check forms/reports</t>
  </si>
  <si>
    <t>3. (MBCx) MBCx Plan</t>
  </si>
  <si>
    <t>6. PSE will provide a calculation of savings using billing data, and will provide the associated performance incentive amount.</t>
  </si>
  <si>
    <t>7. Review the final incentive amount with the customer and give PSE approval to proceed with the performance grant payment.</t>
  </si>
  <si>
    <t>5. Any additional implementation invoices since Implementation Grant Payment</t>
  </si>
  <si>
    <t>1. Receive the final Assessment invoices and Assessment Report from the contractor.</t>
  </si>
  <si>
    <t>2. Review the submitted information and confirm that the requirements are met.</t>
  </si>
  <si>
    <t>3. Assemble a payment request for the Assessment grant.</t>
  </si>
  <si>
    <t>Setting Up the Commissioning Grant</t>
  </si>
  <si>
    <t>2. Review the submitted information and confirm that the requirements have been met.</t>
  </si>
  <si>
    <t>3. Assemble a partial payment request for the Implementation grant.</t>
  </si>
  <si>
    <t>1. Receive the final invoices, Facility Guide, (MBCx -MBCx Plan and 1st Quarterly report) from Cx Provider</t>
  </si>
  <si>
    <t>check-in and final performance analysis, respectively. (MBCx - additional check-ins at 18 and 24 months)</t>
  </si>
  <si>
    <t>1. Perform a mid-year check-in at the 6 month (MBCx - and 18 month) mark to see savings trends and allow time for correction if needed.</t>
  </si>
  <si>
    <t>1. Wait for 1 year to pass after the project is complete and fully commissioned. (MBCx - additional year)</t>
  </si>
  <si>
    <t>4. If savings are much lower than expected (&lt; 5%), contact a PSE Commissioning SME.</t>
  </si>
  <si>
    <t>5. If savings are reasonable (&gt; 6%), notify the customer and contractor of the final savings and associated performance grant amount.</t>
  </si>
  <si>
    <t>6. With customer/contractor approval, submit the performance payment request for QC review regardless of size.</t>
  </si>
  <si>
    <t>2. Ensure that you are using the most recent version of the Workbook by downloading it from the PSE webpage.</t>
  </si>
  <si>
    <t>Process Steps for the Contractor or Commissioning Project Lead</t>
  </si>
  <si>
    <t xml:space="preserve">3. Fill out the "Pre-Screen+Assessment" tab, inputting information into all yellow cells. </t>
  </si>
  <si>
    <t>3. Send PSE a draft of the Cx Investigation Plan for reference</t>
  </si>
  <si>
    <t>Setting up the Commissioning Grant</t>
  </si>
  <si>
    <t>6. Work with the assigned PSE Energy Management Engineer to answer any other questions and execute the grant agreement.</t>
  </si>
  <si>
    <t>1. Request additional site info to confirm the values on the "IncentiveEst" tab.</t>
  </si>
  <si>
    <t>1. Conduct Scope Review meeting with the contractor and review the submitted "Pre-screen+Assessment" page if one has been submitted.</t>
  </si>
  <si>
    <t>2. Email the customer and contractor the Implementation + Performance incentive estimates from the "IncentiveEst" tab.</t>
  </si>
  <si>
    <t>4. (MBCx) Contractor to provide PSE with compilation of the Performance year Quarterly Reports</t>
  </si>
  <si>
    <t>3. Perform a weather normalized savings analysis using a PSE regression tool.</t>
  </si>
  <si>
    <t>2. Facility Guide document (contains elements of Final Cx Report)</t>
  </si>
  <si>
    <t>What is the anticipated timeline for Commissioning to begin?</t>
  </si>
  <si>
    <t>What is the baseline year % occupancy? Is this anticipated to change?</t>
  </si>
  <si>
    <t>2. If building is approved, create the Assessment QC Packet. Use SoW template within Cx "M&amp;V" folder H: drive</t>
  </si>
  <si>
    <t>4. With the go-ahead to proceed, create the QC packet. Use SoW template within Cx "M&amp;V" folder H: drive</t>
  </si>
  <si>
    <t>MBCx Deliverables &amp; Requirements</t>
  </si>
  <si>
    <t>MBCx Quarterly Reporting minimum requirements (may be submitted together annually):</t>
  </si>
  <si>
    <t>•   Quarterly Reports (with sample of one week of data per report):
     o   Identification of priority issues and faults corrected using EMIS/FDD
     o   Investigation of root cause for prioritized issues
     o   Identification and implementation of corrective actions
•   Documentation of additional project costs</t>
  </si>
  <si>
    <t>Facility Guide minimum required content:</t>
  </si>
  <si>
    <t>Assessment Report minimum required content:</t>
  </si>
  <si>
    <t>MBCx Commissioning Plan and Implementation documentation minimum requirements:</t>
  </si>
  <si>
    <t>•   Executive Summary
•   Analysis of building energy use by energy type and comparison with typical buildings
•   Description of facility systems and conditions (HVAC, lighting and envelope minimally)
•   High level estimate of potential energy savings and how they will be realized
•   Recommendation on proceeding with Cx program -OR- Pursue another PSE efficiency program with consideration
     to potential for savings, O&amp;M staff participation, and Owner commitment to implement findings with less than a
     2-year payback in a timely manner.
Also provide:
•   Pre &amp; Post documentation of quick fixes discovered and already implemented to save energy</t>
  </si>
  <si>
    <t>•   Energy Efficient Operations &amp; EEI Persistence Checks** (i.e. key elements to monitor)
•   Energy Use (i.e. EUI benchmarks, goals/estimate for PSE bonus, energy tracking)
•   Description of Systems (HVAC, lighting, other energy using systems) including
     o   Schematics (one-line diagrams)
     o   Sequences of Operations
     o   Setpoints &amp; settings (optimized with reasoning and impacts of changing setpoints)
•   Current Facility Requirements (i.e. schedules, setpoints, ventilation, pressure etc.) 
•   Commissioning Results 
     o   EEI summary table
     o   Cx investigation details with updated results
     o   List of resolved and unresolved findings
•   Documentation of staff training and O&amp;M time**
Additional Deliverables 
•   Implementation cost tracking**
•   Non-Cx building changes impacting energy use**</t>
  </si>
  <si>
    <t xml:space="preserve">Building(s) at least 75% occupied </t>
  </si>
  <si>
    <t>Building(s) managed by automated controls (BAS)</t>
  </si>
  <si>
    <t>Anticipated WA CBPS EUIt:</t>
  </si>
  <si>
    <t>kWh/sq.ft.*</t>
  </si>
  <si>
    <t>Therms/sq.ft.*</t>
  </si>
  <si>
    <t>EBCx Deliverables &amp; Requirements</t>
  </si>
  <si>
    <t>Getting the Implementation Phase Paid</t>
  </si>
  <si>
    <t>Getting the Performance Phase(s) Paid</t>
  </si>
  <si>
    <t>Paying the Performance Phase(s)</t>
  </si>
  <si>
    <t>Paying the Implementation Phase</t>
  </si>
  <si>
    <r>
      <t xml:space="preserve">Setting Up the Assessment Grant </t>
    </r>
    <r>
      <rPr>
        <b/>
        <i/>
        <sz val="14"/>
        <rFont val="Calibri"/>
        <family val="2"/>
        <scheme val="minor"/>
      </rPr>
      <t>(-NA for MBCx projects-)</t>
    </r>
  </si>
  <si>
    <r>
      <t xml:space="preserve">Getting the Assessment Grant Paid </t>
    </r>
    <r>
      <rPr>
        <b/>
        <i/>
        <sz val="14"/>
        <color theme="1"/>
        <rFont val="Calibri"/>
        <family val="2"/>
        <scheme val="minor"/>
      </rPr>
      <t>(-NA for MBCx projects-)</t>
    </r>
  </si>
  <si>
    <r>
      <t xml:space="preserve">Paying the Assessment Grant </t>
    </r>
    <r>
      <rPr>
        <b/>
        <i/>
        <sz val="14"/>
        <color theme="8" tint="-0.499984740745262"/>
        <rFont val="Calibri"/>
        <family val="2"/>
        <scheme val="minor"/>
      </rPr>
      <t>(-NA for MBCx projects-)</t>
    </r>
  </si>
  <si>
    <r>
      <t xml:space="preserve">Setting Up the Assessment Grant </t>
    </r>
    <r>
      <rPr>
        <b/>
        <i/>
        <sz val="14"/>
        <color theme="8" tint="-0.499984740745262"/>
        <rFont val="Calibri"/>
        <family val="2"/>
        <scheme val="minor"/>
      </rPr>
      <t>(-NA for MBCx projects-)</t>
    </r>
  </si>
  <si>
    <t>1. Confirm with PSE and customer that continuing on with Commissioning is the best incentive path forward</t>
  </si>
  <si>
    <t>2. Fill out the "IncentiveEst" tab, inputting information into all yellow cells. Send a copy to PSE.</t>
  </si>
  <si>
    <t>3. Schedule a kick-off meeting with PSE and customer to go over incentive potential and next steps</t>
  </si>
  <si>
    <t>Bldg(s) sq.ft.:</t>
  </si>
  <si>
    <t>4. Schedule Scope Review meeting with PSE to go over the project and determine the most likely incentive pathway (commissioning@pse.com)</t>
  </si>
  <si>
    <r>
      <rPr>
        <b/>
        <sz val="11"/>
        <color theme="1"/>
        <rFont val="Calibri"/>
        <family val="2"/>
        <scheme val="minor"/>
      </rPr>
      <t>*Notes For All*</t>
    </r>
    <r>
      <rPr>
        <sz val="11"/>
        <color theme="1"/>
        <rFont val="Calibri"/>
        <family val="2"/>
        <scheme val="minor"/>
      </rPr>
      <t xml:space="preserve"> - Light green tabs are example PSE templates for deliverable components (feel free to use another format to deliver the same content)</t>
    </r>
  </si>
  <si>
    <t>- PSE may publish changes to this workbook and incentive rates from time to time, please refer to our Commissioning webpages for the latest version.</t>
  </si>
  <si>
    <t>- Link to landing page: https://www.pse.com/en/business-incentives/commissioning-programs</t>
  </si>
  <si>
    <t>** Contractor/Customer may use provided PSE templates (light green tabs) or your own format</t>
  </si>
  <si>
    <t>Fault Detection &amp; Diagnostic (FDD) software minimum functionality and reporting capabilities:</t>
  </si>
  <si>
    <t xml:space="preserve">•   Continuously monitor systems controlled by the Building Automation System (BAS) 
•   Apply algorithms and rules to identify operational inefficiencies or “faults” 
•   Recommend corrective action to resolve faults 
•   Track resolved faults over time 
•   Provide exportable reports (CSV or Excel) that summarize corrected faults. 
•   FDD Application must be able to identify and recommend corrective actions for the most common operational issues: 
     o   Equipment scheduling issues                                    o   Economizer and ventilation issues 
     o   Simultaneous heating and cooling                            o   Control-related pressurization issues 
     o   BAS sensor errors/faults                                            o   Space cooling/heating issues (over/under-shooting, etc.)
</t>
  </si>
  <si>
    <t>Directions: Add in dates based on max requirements; add notes as needed, complete participant information, update with actual completion dates.</t>
  </si>
  <si>
    <t>1. Final invoices (Commissioning Provider's fee, Implementation work, in-house staff hours, *MBCx software)</t>
  </si>
  <si>
    <t>Trainer(s)</t>
  </si>
  <si>
    <t>Hands on Training  -OR-  Other O&amp;M Staff Time</t>
  </si>
  <si>
    <t>•   Finalized MBCx Plan
     o   Project scope (building(s), systems)
     o   Project team
     o   Project schedule
     o   Current Facility (Owner’s) Requirements
     o   Monitoring Action Plan
     o   EMIS/FDD application specification
•   Document configuration of EMIS/FDD application
     o   Calibration of critical sensors
     o   Validate quality of BAS data supplied to FDD application
     o   Configure fault reporting and tracking
•   Utilize software to identify and correct faults
     o   Submit reports generated by MBCx process showing issues identified and resolved for at
          least 3 months after configuration is completed.
•   Training and O&amp;M time**
•   Documentation of Monitoring-Based Commissioning project costs:
     o   Commissioning Provider's costs during first 3 months
     o   MBCx software costs
     o   Customer Implementation costs** (i.e. Building system or equipment upgrades/repairs, simple adjustments)</t>
  </si>
  <si>
    <t>Electric Cost Effectiveness Standard (¢ per kWh)
2026/2027</t>
  </si>
  <si>
    <t>Updated: 12/29/25</t>
  </si>
  <si>
    <t>Gas Conservation Cost Effectiveness Standard ($/therm)
2026/2027</t>
  </si>
  <si>
    <t>Mixed</t>
  </si>
  <si>
    <t>No EUIt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</si>
</sst>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000"/>
    <numFmt numFmtId="167" formatCode="&quot;$&quot;#,##0.0000_);[Red]\(&quot;$&quot;#,##0.0000\)"/>
    <numFmt numFmtId="168" formatCode="###,##0&quot; sq.ft.&quot;"/>
    <numFmt numFmtId="169" formatCode="_(* #,##0_);_(* \(#,##0\);_(* &quot;-&quot;??_);_(@_)"/>
    <numFmt numFmtId="170" formatCode="0.00000"/>
    <numFmt numFmtId="171" formatCode="0.0%"/>
    <numFmt numFmtId="172" formatCode="_(&quot;$&quot;* #,##0.000_);_(&quot;$&quot;* \(#,##0.000\);_(&quot;$&quot;* &quot;-&quot;??_);_(@_)"/>
    <numFmt numFmtId="173" formatCode="_(* #,##0.000_);_(* \(#,##0.000\);_(* &quot;-&quot;??_);_(@_)"/>
    <numFmt numFmtId="174" formatCode="&quot;$&quot;#,##0.0000"/>
    <numFmt numFmtId="175" formatCode="&quot;$&quot;#0.00&quot;/sq.ft.&quot;"/>
    <numFmt numFmtId="176" formatCode="#,##0.0000_);\(#,##0.0000\)"/>
    <numFmt numFmtId="177" formatCode="###,##0&quot; kWh&quot;"/>
    <numFmt numFmtId="178" formatCode="###,##0&quot; therms&quot;"/>
  </numFmts>
  <fonts count="8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sz val="14"/>
      <name val="Arial"/>
      <family val="2"/>
    </font>
    <font>
      <sz val="10"/>
      <name val="Arial"/>
      <family val="2"/>
    </font>
    <font>
      <b/>
      <sz val="10"/>
      <name val="Arial"/>
      <family val="2"/>
    </font>
    <font>
      <b/>
      <u/>
      <sz val="10"/>
      <name val="Arial"/>
      <family val="2"/>
    </font>
    <font>
      <sz val="10"/>
      <color theme="0"/>
      <name val="Arial"/>
      <family val="2"/>
    </font>
    <font>
      <u/>
      <sz val="10"/>
      <name val="Arial"/>
      <family val="2"/>
    </font>
    <font>
      <sz val="10"/>
      <color theme="1"/>
      <name val="Arial"/>
      <family val="2"/>
    </font>
    <font>
      <b/>
      <i/>
      <sz val="10"/>
      <name val="Arial"/>
      <family val="2"/>
    </font>
    <font>
      <i/>
      <sz val="10"/>
      <color theme="1" tint="0.249977111117893"/>
      <name val="Arial"/>
      <family val="2"/>
    </font>
    <font>
      <u/>
      <sz val="11"/>
      <color theme="10"/>
      <name val="Calibri"/>
      <family val="2"/>
      <scheme val="minor"/>
    </font>
    <font>
      <i/>
      <sz val="10"/>
      <name val="Arial"/>
      <family val="2"/>
    </font>
    <font>
      <sz val="10"/>
      <name val="Arial"/>
      <family val="2"/>
    </font>
    <font>
      <b/>
      <sz val="18"/>
      <color theme="0"/>
      <name val="Arial"/>
      <family val="2"/>
    </font>
    <font>
      <b/>
      <sz val="10"/>
      <color theme="1"/>
      <name val="Arial"/>
      <family val="2"/>
    </font>
    <font>
      <b/>
      <sz val="12"/>
      <color theme="0"/>
      <name val="Arial"/>
      <family val="2"/>
    </font>
    <font>
      <b/>
      <sz val="10"/>
      <color theme="0"/>
      <name val="Arial"/>
      <family val="2"/>
    </font>
    <font>
      <sz val="9"/>
      <color theme="1"/>
      <name val="Arial"/>
      <family val="2"/>
    </font>
    <font>
      <b/>
      <sz val="9"/>
      <color indexed="81"/>
      <name val="Tahoma"/>
      <family val="2"/>
    </font>
    <font>
      <sz val="9"/>
      <color indexed="81"/>
      <name val="Tahoma"/>
      <family val="2"/>
    </font>
    <font>
      <sz val="11"/>
      <color theme="1"/>
      <name val="Arial"/>
      <family val="2"/>
    </font>
    <font>
      <b/>
      <sz val="14"/>
      <name val="Arial"/>
      <family val="2"/>
    </font>
    <font>
      <sz val="11"/>
      <name val="Arial"/>
      <family val="2"/>
    </font>
    <font>
      <sz val="12"/>
      <name val="Arial"/>
      <family val="2"/>
    </font>
    <font>
      <b/>
      <sz val="10"/>
      <color indexed="81"/>
      <name val="Tahoma"/>
      <family val="2"/>
    </font>
    <font>
      <sz val="10"/>
      <color indexed="81"/>
      <name val="Tahoma"/>
      <family val="2"/>
    </font>
    <font>
      <b/>
      <u val="singleAccounting"/>
      <sz val="10"/>
      <name val="Arial"/>
      <family val="2"/>
    </font>
    <font>
      <b/>
      <sz val="12"/>
      <color rgb="FFFF0000"/>
      <name val="Arial"/>
      <family val="2"/>
    </font>
    <font>
      <b/>
      <sz val="10"/>
      <color rgb="FFFF0000"/>
      <name val="Arial"/>
      <family val="2"/>
    </font>
    <font>
      <sz val="11"/>
      <color theme="0"/>
      <name val="Arial"/>
      <family val="2"/>
    </font>
    <font>
      <b/>
      <sz val="11"/>
      <color theme="1"/>
      <name val="Arial"/>
      <family val="2"/>
    </font>
    <font>
      <sz val="12"/>
      <color theme="1"/>
      <name val="Arial"/>
      <family val="2"/>
    </font>
    <font>
      <b/>
      <vertAlign val="superscript"/>
      <sz val="10"/>
      <color theme="1"/>
      <name val="Arial"/>
      <family val="2"/>
    </font>
    <font>
      <b/>
      <vertAlign val="subscript"/>
      <sz val="10"/>
      <color theme="1"/>
      <name val="Arial"/>
      <family val="2"/>
    </font>
    <font>
      <b/>
      <sz val="11"/>
      <name val="Arial"/>
      <family val="2"/>
    </font>
    <font>
      <b/>
      <sz val="11"/>
      <color indexed="8"/>
      <name val="Arial"/>
      <family val="2"/>
    </font>
    <font>
      <sz val="11"/>
      <color rgb="FFFF0000"/>
      <name val="Arial"/>
      <family val="2"/>
    </font>
    <font>
      <i/>
      <sz val="11"/>
      <color theme="1"/>
      <name val="Arial"/>
      <family val="2"/>
    </font>
    <font>
      <b/>
      <sz val="12"/>
      <color rgb="FFFFFFFF"/>
      <name val="Arial"/>
      <family val="2"/>
    </font>
    <font>
      <b/>
      <sz val="14"/>
      <color theme="1"/>
      <name val="Calibri"/>
      <family val="2"/>
      <scheme val="minor"/>
    </font>
    <font>
      <sz val="10"/>
      <name val="Arial"/>
      <family val="2"/>
    </font>
    <font>
      <sz val="10"/>
      <name val="Calibri"/>
      <family val="2"/>
    </font>
    <font>
      <sz val="11"/>
      <color rgb="FF000000"/>
      <name val="Arial"/>
      <family val="2"/>
    </font>
    <font>
      <b/>
      <sz val="11"/>
      <color theme="0"/>
      <name val="Arial"/>
      <family val="2"/>
    </font>
    <font>
      <u/>
      <sz val="11"/>
      <color theme="0"/>
      <name val="Arial"/>
      <family val="2"/>
    </font>
    <font>
      <b/>
      <u/>
      <sz val="11"/>
      <color theme="0"/>
      <name val="Arial"/>
      <family val="2"/>
    </font>
    <font>
      <i/>
      <sz val="11"/>
      <color rgb="FF000000"/>
      <name val="Arial"/>
      <family val="2"/>
    </font>
    <font>
      <b/>
      <sz val="11"/>
      <color rgb="FFFF0000"/>
      <name val="Arial"/>
      <family val="2"/>
    </font>
    <font>
      <i/>
      <sz val="11"/>
      <name val="Arial"/>
      <family val="2"/>
    </font>
    <font>
      <b/>
      <sz val="11"/>
      <color theme="1"/>
      <name val="Calibri"/>
      <family val="2"/>
      <scheme val="minor"/>
    </font>
    <font>
      <sz val="11"/>
      <name val="Calibri"/>
      <family val="2"/>
      <scheme val="minor"/>
    </font>
    <font>
      <b/>
      <u/>
      <sz val="11"/>
      <color theme="1"/>
      <name val="Calibri"/>
      <family val="2"/>
      <scheme val="minor"/>
    </font>
    <font>
      <b/>
      <u/>
      <sz val="18"/>
      <color theme="1"/>
      <name val="Calibri"/>
      <family val="2"/>
      <scheme val="minor"/>
    </font>
    <font>
      <b/>
      <u/>
      <sz val="18"/>
      <color theme="8" tint="-0.499984740745262"/>
      <name val="Calibri"/>
      <family val="2"/>
      <scheme val="minor"/>
    </font>
    <font>
      <b/>
      <sz val="14"/>
      <color theme="8" tint="-0.499984740745262"/>
      <name val="Calibri"/>
      <family val="2"/>
      <scheme val="minor"/>
    </font>
    <font>
      <sz val="11"/>
      <color theme="8" tint="-0.499984740745262"/>
      <name val="Calibri"/>
      <family val="2"/>
      <scheme val="minor"/>
    </font>
    <font>
      <sz val="12"/>
      <color theme="1"/>
      <name val="Calibri"/>
      <family val="2"/>
      <scheme val="minor"/>
    </font>
    <font>
      <b/>
      <sz val="14"/>
      <name val="Calibri"/>
      <family val="2"/>
      <scheme val="minor"/>
    </font>
    <font>
      <b/>
      <i/>
      <sz val="14"/>
      <name val="Calibri"/>
      <family val="2"/>
      <scheme val="minor"/>
    </font>
    <font>
      <b/>
      <i/>
      <sz val="14"/>
      <color theme="1"/>
      <name val="Calibri"/>
      <family val="2"/>
      <scheme val="minor"/>
    </font>
    <font>
      <b/>
      <i/>
      <sz val="14"/>
      <color theme="8" tint="-0.499984740745262"/>
      <name val="Calibri"/>
      <family val="2"/>
      <scheme val="minor"/>
    </font>
    <font>
      <sz val="12"/>
      <name val="Calibri"/>
      <family val="2"/>
    </font>
    <font>
      <b/>
      <u/>
      <sz val="12"/>
      <name val="Calibri"/>
      <family val="2"/>
    </font>
    <font>
      <b/>
      <u/>
      <sz val="16"/>
      <name val="Calibri"/>
      <family val="2"/>
    </font>
    <font>
      <b/>
      <sz val="16"/>
      <color theme="1"/>
      <name val="Calibri"/>
      <family val="2"/>
      <scheme val="minor"/>
    </font>
  </fonts>
  <fills count="24">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FFCC"/>
        <bgColor indexed="64"/>
      </patternFill>
    </fill>
    <fill>
      <patternFill patternType="solid">
        <fgColor theme="8" tint="0.79998168889431442"/>
        <bgColor indexed="64"/>
      </patternFill>
    </fill>
    <fill>
      <patternFill patternType="solid">
        <fgColor rgb="FF92D050"/>
        <bgColor indexed="64"/>
      </patternFill>
    </fill>
    <fill>
      <patternFill patternType="solid">
        <fgColor indexed="9"/>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22"/>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rgb="FF0A82A0"/>
        <bgColor indexed="64"/>
      </patternFill>
    </fill>
    <fill>
      <patternFill patternType="solid">
        <fgColor rgb="FF9B9B9B"/>
        <bgColor indexed="64"/>
      </patternFill>
    </fill>
    <fill>
      <patternFill patternType="lightDown">
        <bgColor rgb="FF9B9B9B"/>
      </patternFill>
    </fill>
    <fill>
      <patternFill patternType="solid">
        <fgColor rgb="FF006671"/>
        <bgColor indexed="64"/>
      </patternFill>
    </fill>
    <fill>
      <patternFill patternType="solid">
        <fgColor rgb="FF469C90"/>
        <bgColor indexed="64"/>
      </patternFill>
    </fill>
    <fill>
      <patternFill patternType="solid">
        <fgColor rgb="FF0095BA"/>
        <bgColor indexed="64"/>
      </patternFill>
    </fill>
    <fill>
      <patternFill patternType="solid">
        <fgColor rgb="FF81BE4A"/>
        <bgColor indexed="64"/>
      </patternFill>
    </fill>
    <fill>
      <patternFill patternType="solid">
        <fgColor theme="9" tint="0.79998168889431442"/>
        <bgColor indexed="64"/>
      </patternFill>
    </fill>
    <fill>
      <patternFill patternType="solid">
        <fgColor rgb="FFD0E6BC"/>
        <bgColor indexed="64"/>
      </patternFill>
    </fill>
  </fills>
  <borders count="79">
    <border>
      <left/>
      <right/>
      <top/>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dashDot">
        <color indexed="64"/>
      </bottom>
      <diagonal/>
    </border>
    <border>
      <left style="thin">
        <color indexed="64"/>
      </left>
      <right style="thin">
        <color indexed="64"/>
      </right>
      <top/>
      <bottom/>
      <diagonal/>
    </border>
    <border>
      <left/>
      <right/>
      <top style="thin">
        <color indexed="64"/>
      </top>
      <bottom style="medium">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right/>
      <top/>
      <bottom style="thin">
        <color rgb="FF000000"/>
      </bottom>
      <diagonal/>
    </border>
    <border>
      <left/>
      <right/>
      <top/>
      <bottom style="hair">
        <color auto="1"/>
      </bottom>
      <diagonal/>
    </border>
  </borders>
  <cellStyleXfs count="28">
    <xf numFmtId="0" fontId="0" fillId="0" borderId="0"/>
    <xf numFmtId="43" fontId="17" fillId="0" borderId="0" applyFont="0" applyFill="0" applyBorder="0" applyAlignment="0" applyProtection="0"/>
    <xf numFmtId="44" fontId="17" fillId="0" borderId="0" applyFont="0" applyFill="0" applyBorder="0" applyAlignment="0" applyProtection="0"/>
    <xf numFmtId="0" fontId="17" fillId="0" borderId="0"/>
    <xf numFmtId="0" fontId="13" fillId="0" borderId="0"/>
    <xf numFmtId="0" fontId="12" fillId="0" borderId="0"/>
    <xf numFmtId="0" fontId="14" fillId="0" borderId="0"/>
    <xf numFmtId="0" fontId="25" fillId="0" borderId="0" applyNumberFormat="0" applyFill="0" applyBorder="0" applyAlignment="0" applyProtection="0"/>
    <xf numFmtId="43" fontId="14" fillId="0" borderId="0" applyFont="0" applyFill="0" applyBorder="0" applyAlignment="0" applyProtection="0"/>
    <xf numFmtId="0" fontId="11" fillId="0" borderId="0"/>
    <xf numFmtId="0" fontId="14" fillId="0" borderId="0"/>
    <xf numFmtId="44" fontId="14" fillId="0" borderId="0" applyFont="0" applyFill="0" applyBorder="0" applyAlignment="0" applyProtection="0"/>
    <xf numFmtId="9" fontId="11" fillId="0" borderId="0" applyFont="0" applyFill="0" applyBorder="0" applyAlignment="0" applyProtection="0"/>
    <xf numFmtId="0" fontId="14" fillId="0" borderId="0"/>
    <xf numFmtId="44" fontId="14" fillId="0" borderId="0" applyFont="0" applyFill="0" applyBorder="0" applyAlignment="0" applyProtection="0"/>
    <xf numFmtId="0" fontId="10" fillId="0" borderId="0"/>
    <xf numFmtId="9" fontId="10" fillId="0" borderId="0" applyFont="0" applyFill="0" applyBorder="0" applyAlignment="0" applyProtection="0"/>
    <xf numFmtId="44" fontId="27"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0" fontId="8" fillId="0" borderId="0"/>
    <xf numFmtId="0" fontId="14" fillId="0" borderId="0"/>
    <xf numFmtId="0" fontId="7" fillId="0" borderId="0"/>
    <xf numFmtId="9" fontId="55" fillId="0" borderId="0" applyFont="0" applyFill="0" applyBorder="0" applyAlignment="0" applyProtection="0"/>
    <xf numFmtId="0" fontId="5" fillId="0" borderId="0"/>
    <xf numFmtId="0" fontId="4" fillId="0" borderId="0"/>
  </cellStyleXfs>
  <cellXfs count="901">
    <xf numFmtId="0" fontId="0" fillId="0" borderId="0" xfId="0"/>
    <xf numFmtId="0" fontId="18" fillId="0" borderId="9" xfId="3" applyFont="1" applyBorder="1" applyAlignment="1">
      <alignment horizontal="center"/>
    </xf>
    <xf numFmtId="0" fontId="18" fillId="0" borderId="20" xfId="3" applyFont="1" applyBorder="1"/>
    <xf numFmtId="0" fontId="18" fillId="0" borderId="1" xfId="3" applyFont="1" applyBorder="1"/>
    <xf numFmtId="0" fontId="18" fillId="0" borderId="21" xfId="3" applyFont="1" applyBorder="1"/>
    <xf numFmtId="0" fontId="18" fillId="0" borderId="0" xfId="3" applyFont="1"/>
    <xf numFmtId="0" fontId="18" fillId="0" borderId="2" xfId="3" applyFont="1" applyBorder="1" applyAlignment="1">
      <alignment horizontal="right"/>
    </xf>
    <xf numFmtId="0" fontId="18" fillId="0" borderId="37" xfId="3" applyFont="1" applyBorder="1"/>
    <xf numFmtId="0" fontId="18" fillId="0" borderId="8" xfId="3" applyFont="1" applyBorder="1" applyAlignment="1">
      <alignment horizontal="right"/>
    </xf>
    <xf numFmtId="0" fontId="18" fillId="0" borderId="7" xfId="3" applyFont="1" applyBorder="1" applyAlignment="1">
      <alignment vertical="center"/>
    </xf>
    <xf numFmtId="0" fontId="16" fillId="0" borderId="0" xfId="3" applyFont="1" applyAlignment="1">
      <alignment horizontal="center" wrapText="1"/>
    </xf>
    <xf numFmtId="0" fontId="18" fillId="0" borderId="47" xfId="3" applyFont="1" applyBorder="1" applyAlignment="1">
      <alignment horizontal="center"/>
    </xf>
    <xf numFmtId="0" fontId="18" fillId="0" borderId="48" xfId="3" applyFont="1" applyBorder="1" applyAlignment="1">
      <alignment horizontal="center"/>
    </xf>
    <xf numFmtId="0" fontId="18" fillId="0" borderId="0" xfId="3" applyFont="1" applyAlignment="1">
      <alignment horizontal="left"/>
    </xf>
    <xf numFmtId="0" fontId="18" fillId="0" borderId="40" xfId="3" applyFont="1" applyBorder="1"/>
    <xf numFmtId="44" fontId="18" fillId="0" borderId="41" xfId="3" applyNumberFormat="1" applyFont="1" applyBorder="1"/>
    <xf numFmtId="0" fontId="14" fillId="0" borderId="0" xfId="6"/>
    <xf numFmtId="0" fontId="19" fillId="0" borderId="0" xfId="6" applyFont="1"/>
    <xf numFmtId="0" fontId="14" fillId="0" borderId="2" xfId="6" applyBorder="1"/>
    <xf numFmtId="0" fontId="14" fillId="0" borderId="0" xfId="6" applyAlignment="1">
      <alignment horizontal="right"/>
    </xf>
    <xf numFmtId="0" fontId="24" fillId="0" borderId="0" xfId="6" applyFont="1"/>
    <xf numFmtId="165" fontId="24" fillId="0" borderId="0" xfId="6" applyNumberFormat="1" applyFont="1"/>
    <xf numFmtId="165" fontId="14" fillId="4" borderId="5" xfId="6" applyNumberFormat="1" applyFill="1" applyBorder="1" applyProtection="1">
      <protection locked="0"/>
    </xf>
    <xf numFmtId="0" fontId="20" fillId="0" borderId="0" xfId="6" applyFont="1"/>
    <xf numFmtId="0" fontId="14" fillId="0" borderId="0" xfId="6" applyAlignment="1">
      <alignment horizontal="left"/>
    </xf>
    <xf numFmtId="0" fontId="26" fillId="0" borderId="0" xfId="6" applyFont="1"/>
    <xf numFmtId="41" fontId="22" fillId="0" borderId="0" xfId="8" applyNumberFormat="1" applyFont="1" applyBorder="1" applyAlignment="1"/>
    <xf numFmtId="0" fontId="14" fillId="0" borderId="0" xfId="6" applyAlignment="1">
      <alignment horizontal="right" vertical="center" wrapText="1"/>
    </xf>
    <xf numFmtId="0" fontId="14" fillId="0" borderId="0" xfId="6" applyAlignment="1">
      <alignment vertical="center" wrapText="1"/>
    </xf>
    <xf numFmtId="0" fontId="14" fillId="0" borderId="0" xfId="6" applyAlignment="1">
      <alignment wrapText="1"/>
    </xf>
    <xf numFmtId="0" fontId="18" fillId="0" borderId="29" xfId="6" applyFont="1" applyBorder="1" applyAlignment="1">
      <alignment horizontal="center" wrapText="1"/>
    </xf>
    <xf numFmtId="0" fontId="14" fillId="0" borderId="29" xfId="6" applyBorder="1" applyAlignment="1">
      <alignment horizontal="left" wrapText="1"/>
    </xf>
    <xf numFmtId="0" fontId="14" fillId="0" borderId="0" xfId="10"/>
    <xf numFmtId="0" fontId="18" fillId="0" borderId="5" xfId="6" applyFont="1" applyBorder="1"/>
    <xf numFmtId="0" fontId="14" fillId="2" borderId="0" xfId="10" applyFill="1"/>
    <xf numFmtId="0" fontId="18" fillId="0" borderId="0" xfId="6" applyFont="1"/>
    <xf numFmtId="0" fontId="14" fillId="0" borderId="0" xfId="6" applyAlignment="1">
      <alignment vertical="center"/>
    </xf>
    <xf numFmtId="0" fontId="16" fillId="0" borderId="0" xfId="6" applyFont="1"/>
    <xf numFmtId="0" fontId="36" fillId="0" borderId="0" xfId="6" applyFont="1"/>
    <xf numFmtId="0" fontId="15" fillId="0" borderId="0" xfId="6" applyFont="1"/>
    <xf numFmtId="0" fontId="19" fillId="0" borderId="0" xfId="6" applyFont="1" applyAlignment="1">
      <alignment wrapText="1"/>
    </xf>
    <xf numFmtId="0" fontId="15" fillId="0" borderId="0" xfId="6" applyFont="1" applyAlignment="1">
      <alignment horizontal="right"/>
    </xf>
    <xf numFmtId="0" fontId="18" fillId="2" borderId="8" xfId="6" applyFont="1" applyFill="1" applyBorder="1" applyAlignment="1">
      <alignment horizontal="right"/>
    </xf>
    <xf numFmtId="173" fontId="18" fillId="2" borderId="46" xfId="8" applyNumberFormat="1" applyFont="1" applyFill="1" applyBorder="1" applyAlignment="1" applyProtection="1">
      <alignment horizontal="center" wrapText="1"/>
    </xf>
    <xf numFmtId="0" fontId="14" fillId="2" borderId="8" xfId="6" applyFill="1" applyBorder="1"/>
    <xf numFmtId="0" fontId="18" fillId="2" borderId="0" xfId="6" applyFont="1" applyFill="1" applyAlignment="1">
      <alignment horizontal="right"/>
    </xf>
    <xf numFmtId="43" fontId="18" fillId="2" borderId="57" xfId="8" applyFont="1" applyFill="1" applyBorder="1" applyAlignment="1" applyProtection="1">
      <alignment horizontal="center" wrapText="1"/>
    </xf>
    <xf numFmtId="0" fontId="18" fillId="2" borderId="6" xfId="6" applyFont="1" applyFill="1" applyBorder="1" applyAlignment="1">
      <alignment horizontal="right"/>
    </xf>
    <xf numFmtId="169" fontId="31" fillId="2" borderId="6" xfId="8" applyNumberFormat="1" applyFont="1" applyFill="1" applyBorder="1" applyAlignment="1" applyProtection="1">
      <alignment horizontal="center" wrapText="1"/>
    </xf>
    <xf numFmtId="0" fontId="20" fillId="2" borderId="6" xfId="6" applyFont="1" applyFill="1" applyBorder="1"/>
    <xf numFmtId="0" fontId="14" fillId="2" borderId="8" xfId="6" applyFill="1" applyBorder="1" applyAlignment="1">
      <alignment horizontal="right"/>
    </xf>
    <xf numFmtId="44" fontId="18" fillId="2" borderId="8" xfId="11" applyFont="1" applyFill="1" applyBorder="1" applyAlignment="1" applyProtection="1">
      <alignment horizontal="center" wrapText="1"/>
    </xf>
    <xf numFmtId="0" fontId="18" fillId="2" borderId="11" xfId="6" applyFont="1" applyFill="1" applyBorder="1"/>
    <xf numFmtId="0" fontId="14" fillId="2" borderId="0" xfId="6" applyFill="1" applyAlignment="1">
      <alignment horizontal="right"/>
    </xf>
    <xf numFmtId="44" fontId="18" fillId="2" borderId="6" xfId="11" applyFont="1" applyFill="1" applyBorder="1" applyAlignment="1" applyProtection="1">
      <alignment horizontal="center" wrapText="1"/>
    </xf>
    <xf numFmtId="0" fontId="18" fillId="2" borderId="11" xfId="6" applyFont="1" applyFill="1" applyBorder="1" applyAlignment="1">
      <alignment horizontal="center"/>
    </xf>
    <xf numFmtId="0" fontId="18" fillId="2" borderId="0" xfId="6" applyFont="1" applyFill="1" applyAlignment="1">
      <alignment horizontal="center"/>
    </xf>
    <xf numFmtId="0" fontId="18" fillId="2" borderId="10" xfId="6" applyFont="1" applyFill="1" applyBorder="1" applyAlignment="1">
      <alignment horizontal="center"/>
    </xf>
    <xf numFmtId="0" fontId="18" fillId="2" borderId="22" xfId="6" applyFont="1" applyFill="1" applyBorder="1" applyAlignment="1">
      <alignment horizontal="center" wrapText="1"/>
    </xf>
    <xf numFmtId="0" fontId="18" fillId="2" borderId="64" xfId="6" applyFont="1" applyFill="1" applyBorder="1" applyAlignment="1">
      <alignment horizontal="center" wrapText="1"/>
    </xf>
    <xf numFmtId="0" fontId="18" fillId="2" borderId="25" xfId="6" applyFont="1" applyFill="1" applyBorder="1" applyAlignment="1">
      <alignment horizontal="center" wrapText="1"/>
    </xf>
    <xf numFmtId="0" fontId="18" fillId="2" borderId="47" xfId="6" applyFont="1" applyFill="1" applyBorder="1" applyAlignment="1">
      <alignment horizontal="center" wrapText="1"/>
    </xf>
    <xf numFmtId="0" fontId="18" fillId="2" borderId="48" xfId="6" applyFont="1" applyFill="1" applyBorder="1" applyAlignment="1">
      <alignment horizontal="center" wrapText="1"/>
    </xf>
    <xf numFmtId="0" fontId="18" fillId="2" borderId="43" xfId="6" applyFont="1" applyFill="1" applyBorder="1" applyAlignment="1">
      <alignment horizontal="center" wrapText="1"/>
    </xf>
    <xf numFmtId="0" fontId="18" fillId="2" borderId="57" xfId="6" applyFont="1" applyFill="1" applyBorder="1" applyAlignment="1">
      <alignment horizontal="center" wrapText="1"/>
    </xf>
    <xf numFmtId="0" fontId="18" fillId="2" borderId="65" xfId="6" applyFont="1" applyFill="1" applyBorder="1" applyAlignment="1">
      <alignment horizontal="center" wrapText="1"/>
    </xf>
    <xf numFmtId="0" fontId="18" fillId="2" borderId="26" xfId="6" applyFont="1" applyFill="1" applyBorder="1" applyAlignment="1">
      <alignment horizontal="center" wrapText="1"/>
    </xf>
    <xf numFmtId="0" fontId="18" fillId="2" borderId="27" xfId="6" applyFont="1" applyFill="1" applyBorder="1" applyAlignment="1">
      <alignment horizontal="center" wrapText="1"/>
    </xf>
    <xf numFmtId="0" fontId="18" fillId="2" borderId="58" xfId="6" applyFont="1" applyFill="1" applyBorder="1" applyAlignment="1">
      <alignment horizontal="center" wrapText="1"/>
    </xf>
    <xf numFmtId="0" fontId="18" fillId="2" borderId="38" xfId="6" applyFont="1" applyFill="1" applyBorder="1" applyAlignment="1">
      <alignment horizontal="center" wrapText="1"/>
    </xf>
    <xf numFmtId="169" fontId="37" fillId="0" borderId="40" xfId="8" applyNumberFormat="1" applyFont="1" applyBorder="1" applyAlignment="1">
      <alignment horizontal="center"/>
    </xf>
    <xf numFmtId="169" fontId="37" fillId="0" borderId="41" xfId="8" applyNumberFormat="1" applyFont="1" applyBorder="1" applyAlignment="1">
      <alignment horizontal="center"/>
    </xf>
    <xf numFmtId="0" fontId="38" fillId="0" borderId="0" xfId="6" applyFont="1"/>
    <xf numFmtId="0" fontId="18" fillId="0" borderId="9" xfId="6" applyFont="1" applyBorder="1" applyAlignment="1">
      <alignment horizontal="center"/>
    </xf>
    <xf numFmtId="0" fontId="18" fillId="0" borderId="20" xfId="6" applyFont="1" applyBorder="1"/>
    <xf numFmtId="0" fontId="18" fillId="0" borderId="1" xfId="6" applyFont="1" applyBorder="1"/>
    <xf numFmtId="0" fontId="18" fillId="0" borderId="21" xfId="6" applyFont="1" applyBorder="1"/>
    <xf numFmtId="0" fontId="16" fillId="0" borderId="44" xfId="6" applyFont="1" applyBorder="1"/>
    <xf numFmtId="0" fontId="21" fillId="0" borderId="5" xfId="6" applyFont="1" applyBorder="1" applyAlignment="1">
      <alignment horizontal="center"/>
    </xf>
    <xf numFmtId="0" fontId="21" fillId="0" borderId="5" xfId="6" applyFont="1" applyBorder="1" applyAlignment="1">
      <alignment horizontal="center" wrapText="1"/>
    </xf>
    <xf numFmtId="44" fontId="14" fillId="4" borderId="57" xfId="11" applyFont="1" applyFill="1" applyBorder="1"/>
    <xf numFmtId="3" fontId="18" fillId="4" borderId="57" xfId="6" applyNumberFormat="1" applyFont="1" applyFill="1" applyBorder="1" applyAlignment="1">
      <alignment horizontal="right"/>
    </xf>
    <xf numFmtId="6" fontId="18" fillId="4" borderId="5" xfId="3" applyNumberFormat="1" applyFont="1" applyFill="1" applyBorder="1" applyAlignment="1">
      <alignment horizontal="left"/>
    </xf>
    <xf numFmtId="0" fontId="14" fillId="0" borderId="0" xfId="0" applyFont="1" applyAlignment="1">
      <alignment wrapText="1"/>
    </xf>
    <xf numFmtId="0" fontId="14" fillId="0" borderId="0" xfId="0" applyFont="1"/>
    <xf numFmtId="0" fontId="14" fillId="0" borderId="3" xfId="6" applyBorder="1"/>
    <xf numFmtId="0" fontId="18" fillId="0" borderId="15" xfId="0" applyFont="1" applyBorder="1" applyAlignment="1">
      <alignment horizontal="center" wrapText="1"/>
    </xf>
    <xf numFmtId="0" fontId="18" fillId="2" borderId="47" xfId="0" applyFont="1" applyFill="1" applyBorder="1" applyAlignment="1">
      <alignment horizontal="center" wrapText="1"/>
    </xf>
    <xf numFmtId="0" fontId="18" fillId="2" borderId="48" xfId="0" applyFont="1" applyFill="1" applyBorder="1" applyAlignment="1">
      <alignment horizontal="center" wrapText="1"/>
    </xf>
    <xf numFmtId="0" fontId="18" fillId="2" borderId="69" xfId="0" applyFont="1" applyFill="1" applyBorder="1" applyAlignment="1">
      <alignment horizontal="center" wrapText="1"/>
    </xf>
    <xf numFmtId="176" fontId="18" fillId="6" borderId="57" xfId="0" applyNumberFormat="1" applyFont="1" applyFill="1" applyBorder="1" applyAlignment="1">
      <alignment horizontal="center"/>
    </xf>
    <xf numFmtId="176" fontId="18" fillId="6" borderId="57" xfId="11" applyNumberFormat="1" applyFont="1" applyFill="1" applyBorder="1" applyAlignment="1">
      <alignment horizontal="center"/>
    </xf>
    <xf numFmtId="0" fontId="14" fillId="0" borderId="0" xfId="6" applyAlignment="1">
      <alignment horizontal="left" vertical="top" wrapText="1"/>
    </xf>
    <xf numFmtId="0" fontId="14" fillId="0" borderId="0" xfId="6" applyAlignment="1">
      <alignment horizontal="center"/>
    </xf>
    <xf numFmtId="0" fontId="18" fillId="2" borderId="23" xfId="6" applyFont="1" applyFill="1" applyBorder="1" applyAlignment="1">
      <alignment horizontal="center" wrapText="1"/>
    </xf>
    <xf numFmtId="0" fontId="44" fillId="0" borderId="0" xfId="18" applyFont="1"/>
    <xf numFmtId="0" fontId="37" fillId="0" borderId="0" xfId="18" applyFont="1"/>
    <xf numFmtId="0" fontId="35" fillId="0" borderId="0" xfId="18" applyFont="1"/>
    <xf numFmtId="0" fontId="35" fillId="0" borderId="8" xfId="18" applyFont="1" applyBorder="1"/>
    <xf numFmtId="0" fontId="35" fillId="0" borderId="18" xfId="18" applyFont="1" applyBorder="1"/>
    <xf numFmtId="0" fontId="35" fillId="0" borderId="10" xfId="18" applyFont="1" applyBorder="1"/>
    <xf numFmtId="0" fontId="35" fillId="0" borderId="34" xfId="18" applyFont="1" applyBorder="1"/>
    <xf numFmtId="164" fontId="44" fillId="0" borderId="0" xfId="21" applyNumberFormat="1" applyFont="1"/>
    <xf numFmtId="0" fontId="44" fillId="0" borderId="0" xfId="18" applyFont="1" applyAlignment="1">
      <alignment wrapText="1"/>
    </xf>
    <xf numFmtId="0" fontId="37" fillId="0" borderId="0" xfId="18" applyFont="1" applyAlignment="1">
      <alignment wrapText="1"/>
    </xf>
    <xf numFmtId="0" fontId="35" fillId="0" borderId="0" xfId="18" applyFont="1" applyAlignment="1">
      <alignment wrapText="1"/>
    </xf>
    <xf numFmtId="0" fontId="14" fillId="0" borderId="2" xfId="0" applyFont="1" applyBorder="1"/>
    <xf numFmtId="14" fontId="14" fillId="0" borderId="0" xfId="0" applyNumberFormat="1" applyFont="1"/>
    <xf numFmtId="0" fontId="35" fillId="0" borderId="0" xfId="15" applyFont="1"/>
    <xf numFmtId="0" fontId="35" fillId="0" borderId="0" xfId="24" applyFont="1"/>
    <xf numFmtId="0" fontId="46" fillId="0" borderId="5" xfId="24" applyFont="1" applyBorder="1" applyAlignment="1">
      <alignment vertical="center" wrapText="1"/>
    </xf>
    <xf numFmtId="1" fontId="29" fillId="0" borderId="5" xfId="24" applyNumberFormat="1" applyFont="1" applyBorder="1" applyAlignment="1">
      <alignment horizontal="center" vertical="center" wrapText="1"/>
    </xf>
    <xf numFmtId="0" fontId="45" fillId="6" borderId="0" xfId="24" applyFont="1" applyFill="1" applyAlignment="1">
      <alignment wrapText="1"/>
    </xf>
    <xf numFmtId="44" fontId="14" fillId="0" borderId="5" xfId="11" applyFont="1" applyBorder="1" applyAlignment="1">
      <alignment horizontal="left"/>
    </xf>
    <xf numFmtId="1" fontId="35" fillId="0" borderId="5" xfId="15" applyNumberFormat="1" applyFont="1" applyBorder="1"/>
    <xf numFmtId="9" fontId="14" fillId="0" borderId="5" xfId="16" applyFont="1" applyBorder="1"/>
    <xf numFmtId="0" fontId="29" fillId="0" borderId="5" xfId="24" applyFont="1" applyBorder="1" applyAlignment="1">
      <alignment horizontal="center" vertical="center" wrapText="1"/>
    </xf>
    <xf numFmtId="2" fontId="14" fillId="0" borderId="0" xfId="6" applyNumberFormat="1"/>
    <xf numFmtId="1" fontId="22" fillId="0" borderId="5" xfId="24" applyNumberFormat="1" applyFont="1" applyBorder="1" applyAlignment="1">
      <alignment horizontal="center" vertical="center" wrapText="1"/>
    </xf>
    <xf numFmtId="0" fontId="22" fillId="0" borderId="5" xfId="24" applyFont="1" applyBorder="1" applyAlignment="1">
      <alignment horizontal="center" vertical="center" wrapText="1"/>
    </xf>
    <xf numFmtId="0" fontId="22" fillId="0" borderId="5" xfId="24" applyFont="1" applyBorder="1" applyAlignment="1">
      <alignment vertical="center" wrapText="1"/>
    </xf>
    <xf numFmtId="0" fontId="35" fillId="0" borderId="0" xfId="9" applyFont="1"/>
    <xf numFmtId="164" fontId="37" fillId="0" borderId="31" xfId="6" applyNumberFormat="1" applyFont="1" applyBorder="1" applyAlignment="1">
      <alignment horizontal="left"/>
    </xf>
    <xf numFmtId="0" fontId="35" fillId="0" borderId="3" xfId="9" applyFont="1" applyBorder="1"/>
    <xf numFmtId="44" fontId="37" fillId="13" borderId="5" xfId="11" applyFont="1" applyFill="1" applyBorder="1"/>
    <xf numFmtId="0" fontId="37" fillId="0" borderId="5" xfId="9" applyFont="1" applyBorder="1"/>
    <xf numFmtId="164" fontId="37" fillId="0" borderId="60" xfId="6" applyNumberFormat="1" applyFont="1" applyBorder="1" applyAlignment="1">
      <alignment horizontal="left"/>
    </xf>
    <xf numFmtId="0" fontId="35" fillId="0" borderId="2" xfId="9" applyFont="1" applyBorder="1"/>
    <xf numFmtId="44" fontId="37" fillId="13" borderId="29" xfId="11" applyFont="1" applyFill="1" applyBorder="1"/>
    <xf numFmtId="0" fontId="35" fillId="14" borderId="0" xfId="9" applyFont="1" applyFill="1"/>
    <xf numFmtId="9" fontId="37" fillId="0" borderId="0" xfId="12" applyFont="1" applyBorder="1"/>
    <xf numFmtId="0" fontId="14" fillId="0" borderId="37" xfId="13" applyBorder="1" applyAlignment="1">
      <alignment horizontal="center"/>
    </xf>
    <xf numFmtId="176" fontId="14" fillId="3" borderId="56" xfId="0" applyNumberFormat="1" applyFont="1" applyFill="1" applyBorder="1" applyAlignment="1">
      <alignment horizontal="center"/>
    </xf>
    <xf numFmtId="176" fontId="14" fillId="3" borderId="53" xfId="0" applyNumberFormat="1" applyFont="1" applyFill="1" applyBorder="1" applyAlignment="1">
      <alignment horizontal="center"/>
    </xf>
    <xf numFmtId="176" fontId="14" fillId="3" borderId="54" xfId="0" applyNumberFormat="1" applyFont="1" applyFill="1" applyBorder="1" applyAlignment="1">
      <alignment horizontal="center"/>
    </xf>
    <xf numFmtId="0" fontId="14" fillId="0" borderId="44" xfId="0" applyFont="1" applyBorder="1" applyAlignment="1">
      <alignment horizontal="center"/>
    </xf>
    <xf numFmtId="176" fontId="14" fillId="3" borderId="34" xfId="11" applyNumberFormat="1" applyFont="1" applyFill="1" applyBorder="1" applyAlignment="1">
      <alignment horizontal="center"/>
    </xf>
    <xf numFmtId="176" fontId="14" fillId="3" borderId="5" xfId="11" applyNumberFormat="1" applyFont="1" applyFill="1" applyBorder="1" applyAlignment="1">
      <alignment horizontal="center"/>
    </xf>
    <xf numFmtId="176" fontId="14" fillId="3" borderId="35" xfId="11" applyNumberFormat="1" applyFont="1" applyFill="1" applyBorder="1" applyAlignment="1">
      <alignment horizontal="center"/>
    </xf>
    <xf numFmtId="0" fontId="14" fillId="0" borderId="33" xfId="13" applyBorder="1" applyAlignment="1">
      <alignment horizontal="center"/>
    </xf>
    <xf numFmtId="176" fontId="14" fillId="3" borderId="34" xfId="0" applyNumberFormat="1" applyFont="1" applyFill="1" applyBorder="1" applyAlignment="1">
      <alignment horizontal="center"/>
    </xf>
    <xf numFmtId="176" fontId="14" fillId="3" borderId="5" xfId="0" applyNumberFormat="1" applyFont="1" applyFill="1" applyBorder="1" applyAlignment="1">
      <alignment horizontal="center"/>
    </xf>
    <xf numFmtId="176" fontId="14" fillId="3" borderId="35" xfId="0" applyNumberFormat="1" applyFont="1" applyFill="1" applyBorder="1" applyAlignment="1">
      <alignment horizontal="center"/>
    </xf>
    <xf numFmtId="176" fontId="14" fillId="3" borderId="27" xfId="0" applyNumberFormat="1" applyFont="1" applyFill="1" applyBorder="1" applyAlignment="1">
      <alignment horizontal="center"/>
    </xf>
    <xf numFmtId="176" fontId="14" fillId="3" borderId="26" xfId="11" applyNumberFormat="1" applyFont="1" applyFill="1" applyBorder="1" applyAlignment="1">
      <alignment horizontal="center"/>
    </xf>
    <xf numFmtId="176" fontId="14" fillId="3" borderId="31" xfId="0" applyNumberFormat="1" applyFont="1" applyFill="1" applyBorder="1" applyAlignment="1">
      <alignment horizontal="center"/>
    </xf>
    <xf numFmtId="176" fontId="14" fillId="3" borderId="32" xfId="0" applyNumberFormat="1" applyFont="1" applyFill="1" applyBorder="1" applyAlignment="1">
      <alignment horizontal="center"/>
    </xf>
    <xf numFmtId="0" fontId="14" fillId="0" borderId="11" xfId="0" applyFont="1" applyBorder="1" applyAlignment="1">
      <alignment horizontal="center"/>
    </xf>
    <xf numFmtId="176" fontId="14" fillId="3" borderId="55" xfId="11" applyNumberFormat="1" applyFont="1" applyFill="1" applyBorder="1" applyAlignment="1">
      <alignment horizontal="center"/>
    </xf>
    <xf numFmtId="44" fontId="14" fillId="0" borderId="0" xfId="14" applyFont="1"/>
    <xf numFmtId="1" fontId="46" fillId="0" borderId="5" xfId="24" applyNumberFormat="1" applyFont="1" applyBorder="1" applyAlignment="1">
      <alignment vertical="center" wrapText="1"/>
    </xf>
    <xf numFmtId="0" fontId="22" fillId="0" borderId="0" xfId="24" applyFont="1" applyAlignment="1">
      <alignment horizontal="center" vertical="center" wrapText="1"/>
    </xf>
    <xf numFmtId="0" fontId="22" fillId="0" borderId="0" xfId="24" applyFont="1" applyAlignment="1">
      <alignment vertical="center" wrapText="1"/>
    </xf>
    <xf numFmtId="0" fontId="46" fillId="0" borderId="0" xfId="24" applyFont="1" applyAlignment="1">
      <alignment vertical="center" wrapText="1"/>
    </xf>
    <xf numFmtId="1" fontId="22" fillId="0" borderId="0" xfId="24" applyNumberFormat="1" applyFont="1" applyAlignment="1">
      <alignment horizontal="center" vertical="center" wrapText="1"/>
    </xf>
    <xf numFmtId="0" fontId="35" fillId="0" borderId="0" xfId="22" applyFont="1"/>
    <xf numFmtId="0" fontId="35" fillId="0" borderId="0" xfId="22" applyFont="1" applyAlignment="1">
      <alignment horizontal="center"/>
    </xf>
    <xf numFmtId="0" fontId="45" fillId="0" borderId="23" xfId="22" applyFont="1" applyBorder="1" applyAlignment="1">
      <alignment horizontal="center"/>
    </xf>
    <xf numFmtId="0" fontId="45" fillId="0" borderId="23" xfId="22" applyFont="1" applyBorder="1" applyAlignment="1">
      <alignment horizontal="center" wrapText="1"/>
    </xf>
    <xf numFmtId="0" fontId="35" fillId="0" borderId="67" xfId="22" quotePrefix="1" applyFont="1" applyBorder="1"/>
    <xf numFmtId="14" fontId="35" fillId="4" borderId="56" xfId="22" applyNumberFormat="1" applyFont="1" applyFill="1" applyBorder="1" applyAlignment="1">
      <alignment horizontal="center"/>
    </xf>
    <xf numFmtId="14" fontId="35" fillId="4" borderId="53" xfId="22" applyNumberFormat="1" applyFont="1" applyFill="1" applyBorder="1" applyAlignment="1">
      <alignment horizontal="center"/>
    </xf>
    <xf numFmtId="14" fontId="35" fillId="10" borderId="54" xfId="22" applyNumberFormat="1" applyFont="1" applyFill="1" applyBorder="1" applyAlignment="1">
      <alignment horizontal="center"/>
    </xf>
    <xf numFmtId="14" fontId="35" fillId="4" borderId="34" xfId="22" applyNumberFormat="1" applyFont="1" applyFill="1" applyBorder="1" applyAlignment="1">
      <alignment horizontal="center"/>
    </xf>
    <xf numFmtId="14" fontId="35" fillId="4" borderId="5" xfId="22" applyNumberFormat="1" applyFont="1" applyFill="1" applyBorder="1" applyAlignment="1">
      <alignment horizontal="center"/>
    </xf>
    <xf numFmtId="14" fontId="35" fillId="10" borderId="35" xfId="22" applyNumberFormat="1" applyFont="1" applyFill="1" applyBorder="1" applyAlignment="1">
      <alignment horizontal="center"/>
    </xf>
    <xf numFmtId="0" fontId="35" fillId="0" borderId="66" xfId="22" applyFont="1" applyBorder="1"/>
    <xf numFmtId="14" fontId="35" fillId="10" borderId="30" xfId="22" applyNumberFormat="1" applyFont="1" applyFill="1" applyBorder="1" applyAlignment="1">
      <alignment horizontal="center"/>
    </xf>
    <xf numFmtId="14" fontId="35" fillId="10" borderId="29" xfId="22" applyNumberFormat="1" applyFont="1" applyFill="1" applyBorder="1" applyAlignment="1">
      <alignment horizontal="center"/>
    </xf>
    <xf numFmtId="14" fontId="35" fillId="4" borderId="28" xfId="22" applyNumberFormat="1" applyFont="1" applyFill="1" applyBorder="1" applyAlignment="1">
      <alignment horizontal="center"/>
    </xf>
    <xf numFmtId="0" fontId="45" fillId="0" borderId="66" xfId="22" applyFont="1" applyBorder="1"/>
    <xf numFmtId="0" fontId="35" fillId="0" borderId="66" xfId="22" quotePrefix="1" applyFont="1" applyBorder="1"/>
    <xf numFmtId="0" fontId="45" fillId="0" borderId="67" xfId="22" applyFont="1" applyBorder="1"/>
    <xf numFmtId="14" fontId="35" fillId="4" borderId="30" xfId="22" applyNumberFormat="1" applyFont="1" applyFill="1" applyBorder="1" applyAlignment="1">
      <alignment horizontal="center"/>
    </xf>
    <xf numFmtId="0" fontId="35" fillId="0" borderId="67" xfId="22" applyFont="1" applyBorder="1"/>
    <xf numFmtId="0" fontId="35" fillId="0" borderId="67" xfId="22" applyFont="1" applyBorder="1" applyAlignment="1">
      <alignment horizontal="left" indent="1"/>
    </xf>
    <xf numFmtId="0" fontId="35" fillId="0" borderId="67" xfId="22" applyFont="1" applyBorder="1" applyAlignment="1">
      <alignment horizontal="left"/>
    </xf>
    <xf numFmtId="14" fontId="35" fillId="10" borderId="5" xfId="22" applyNumberFormat="1" applyFont="1" applyFill="1" applyBorder="1" applyAlignment="1">
      <alignment horizontal="center"/>
    </xf>
    <xf numFmtId="0" fontId="35" fillId="0" borderId="67" xfId="22" applyFont="1" applyBorder="1" applyAlignment="1">
      <alignment horizontal="left" wrapText="1" indent="1"/>
    </xf>
    <xf numFmtId="14" fontId="35" fillId="4" borderId="35" xfId="22" applyNumberFormat="1" applyFont="1" applyFill="1" applyBorder="1" applyAlignment="1">
      <alignment horizontal="center"/>
    </xf>
    <xf numFmtId="0" fontId="35" fillId="0" borderId="70" xfId="22" quotePrefix="1" applyFont="1" applyBorder="1"/>
    <xf numFmtId="0" fontId="35" fillId="0" borderId="70" xfId="22" applyFont="1" applyBorder="1" applyAlignment="1">
      <alignment horizontal="left" indent="1"/>
    </xf>
    <xf numFmtId="0" fontId="35" fillId="0" borderId="64" xfId="22" quotePrefix="1" applyFont="1" applyBorder="1"/>
    <xf numFmtId="14" fontId="51" fillId="4" borderId="22" xfId="22" applyNumberFormat="1" applyFont="1" applyFill="1" applyBorder="1" applyAlignment="1">
      <alignment horizontal="center"/>
    </xf>
    <xf numFmtId="14" fontId="35" fillId="4" borderId="23" xfId="22" applyNumberFormat="1" applyFont="1" applyFill="1" applyBorder="1" applyAlignment="1">
      <alignment horizontal="center"/>
    </xf>
    <xf numFmtId="14" fontId="35" fillId="4" borderId="24" xfId="22" applyNumberFormat="1" applyFont="1" applyFill="1" applyBorder="1" applyAlignment="1">
      <alignment horizontal="center"/>
    </xf>
    <xf numFmtId="0" fontId="35" fillId="0" borderId="64" xfId="22" applyFont="1" applyBorder="1" applyAlignment="1">
      <alignment horizontal="left" indent="1"/>
    </xf>
    <xf numFmtId="0" fontId="45" fillId="0" borderId="29" xfId="22" applyFont="1" applyBorder="1" applyAlignment="1">
      <alignment horizontal="center"/>
    </xf>
    <xf numFmtId="0" fontId="35" fillId="0" borderId="5" xfId="22" applyFont="1" applyBorder="1" applyAlignment="1">
      <alignment horizontal="right"/>
    </xf>
    <xf numFmtId="0" fontId="35" fillId="4" borderId="5" xfId="22" applyFont="1" applyFill="1" applyBorder="1"/>
    <xf numFmtId="0" fontId="36" fillId="0" borderId="0" xfId="6" applyFont="1" applyAlignment="1">
      <alignment horizontal="right"/>
    </xf>
    <xf numFmtId="0" fontId="14" fillId="0" borderId="0" xfId="6" applyAlignment="1">
      <alignment horizontal="left" indent="2"/>
    </xf>
    <xf numFmtId="172" fontId="14" fillId="0" borderId="0" xfId="11" applyNumberFormat="1" applyFont="1" applyAlignment="1">
      <alignment horizontal="center"/>
    </xf>
    <xf numFmtId="0" fontId="14" fillId="2" borderId="7" xfId="6" applyFill="1" applyBorder="1"/>
    <xf numFmtId="14" fontId="14" fillId="4" borderId="1" xfId="6" applyNumberFormat="1" applyFill="1" applyBorder="1" applyAlignment="1">
      <alignment horizontal="left"/>
    </xf>
    <xf numFmtId="0" fontId="14" fillId="0" borderId="8" xfId="6" applyBorder="1"/>
    <xf numFmtId="0" fontId="14" fillId="0" borderId="0" xfId="6" applyAlignment="1">
      <alignment horizontal="left" wrapText="1" indent="2"/>
    </xf>
    <xf numFmtId="0" fontId="14" fillId="2" borderId="11" xfId="6" applyFill="1" applyBorder="1"/>
    <xf numFmtId="14" fontId="14" fillId="2" borderId="0" xfId="6" applyNumberFormat="1" applyFill="1" applyAlignment="1">
      <alignment horizontal="left"/>
    </xf>
    <xf numFmtId="0" fontId="14" fillId="2" borderId="0" xfId="6" applyFill="1"/>
    <xf numFmtId="0" fontId="14" fillId="2" borderId="5" xfId="6" applyFill="1" applyBorder="1" applyAlignment="1">
      <alignment wrapText="1"/>
    </xf>
    <xf numFmtId="169" fontId="14" fillId="12" borderId="5" xfId="6" applyNumberFormat="1" applyFill="1" applyBorder="1"/>
    <xf numFmtId="0" fontId="14" fillId="0" borderId="10" xfId="6" applyBorder="1"/>
    <xf numFmtId="0" fontId="14" fillId="2" borderId="15" xfId="6" applyFill="1" applyBorder="1"/>
    <xf numFmtId="0" fontId="14" fillId="2" borderId="6" xfId="6" applyFill="1" applyBorder="1" applyAlignment="1">
      <alignment horizontal="center"/>
    </xf>
    <xf numFmtId="0" fontId="14" fillId="2" borderId="6" xfId="6" applyFill="1" applyBorder="1"/>
    <xf numFmtId="0" fontId="14" fillId="2" borderId="8" xfId="6" applyFill="1" applyBorder="1" applyAlignment="1">
      <alignment horizontal="center"/>
    </xf>
    <xf numFmtId="0" fontId="14" fillId="2" borderId="18" xfId="6" applyFill="1" applyBorder="1"/>
    <xf numFmtId="0" fontId="14" fillId="2" borderId="10" xfId="6" applyFill="1" applyBorder="1"/>
    <xf numFmtId="0" fontId="14" fillId="2" borderId="17" xfId="6" applyFill="1" applyBorder="1"/>
    <xf numFmtId="172" fontId="14" fillId="0" borderId="12" xfId="11" applyNumberFormat="1" applyFont="1" applyBorder="1" applyAlignment="1"/>
    <xf numFmtId="172" fontId="14" fillId="0" borderId="13" xfId="11" applyNumberFormat="1" applyFont="1" applyBorder="1" applyAlignment="1"/>
    <xf numFmtId="172" fontId="14" fillId="0" borderId="14" xfId="11" applyNumberFormat="1" applyFont="1" applyBorder="1" applyAlignment="1"/>
    <xf numFmtId="172" fontId="14" fillId="0" borderId="13" xfId="11" applyNumberFormat="1" applyFont="1" applyBorder="1" applyAlignment="1">
      <alignment horizontal="center"/>
    </xf>
    <xf numFmtId="172" fontId="14" fillId="0" borderId="29" xfId="11" applyNumberFormat="1" applyFont="1" applyBorder="1" applyAlignment="1">
      <alignment horizontal="center" wrapText="1"/>
    </xf>
    <xf numFmtId="8" fontId="14" fillId="0" borderId="26" xfId="6" applyNumberFormat="1" applyBorder="1"/>
    <xf numFmtId="8" fontId="14" fillId="0" borderId="0" xfId="6" applyNumberFormat="1"/>
    <xf numFmtId="8" fontId="14" fillId="0" borderId="45" xfId="6" applyNumberFormat="1" applyBorder="1"/>
    <xf numFmtId="0" fontId="14" fillId="0" borderId="16" xfId="6" applyBorder="1"/>
    <xf numFmtId="8" fontId="14" fillId="0" borderId="40" xfId="6" applyNumberFormat="1" applyBorder="1"/>
    <xf numFmtId="8" fontId="14" fillId="0" borderId="6" xfId="6" applyNumberFormat="1" applyBorder="1"/>
    <xf numFmtId="0" fontId="14" fillId="0" borderId="17" xfId="6" applyBorder="1"/>
    <xf numFmtId="0" fontId="14" fillId="0" borderId="44" xfId="6" applyBorder="1" applyAlignment="1">
      <alignment horizontal="center"/>
    </xf>
    <xf numFmtId="0" fontId="14" fillId="0" borderId="16" xfId="6" applyBorder="1" applyAlignment="1">
      <alignment horizontal="center"/>
    </xf>
    <xf numFmtId="0" fontId="14" fillId="0" borderId="0" xfId="3" applyFont="1"/>
    <xf numFmtId="0" fontId="14" fillId="0" borderId="0" xfId="3" applyFont="1" applyAlignment="1">
      <alignment horizontal="left" wrapText="1"/>
    </xf>
    <xf numFmtId="0" fontId="14" fillId="0" borderId="0" xfId="3" applyFont="1" applyAlignment="1">
      <alignment horizontal="left"/>
    </xf>
    <xf numFmtId="0" fontId="14" fillId="0" borderId="7" xfId="3" applyFont="1" applyBorder="1" applyAlignment="1">
      <alignment horizontal="left"/>
    </xf>
    <xf numFmtId="0" fontId="14" fillId="0" borderId="8" xfId="3" applyFont="1" applyBorder="1" applyAlignment="1">
      <alignment horizontal="left"/>
    </xf>
    <xf numFmtId="0" fontId="14" fillId="0" borderId="18" xfId="3" applyFont="1" applyBorder="1" applyAlignment="1">
      <alignment horizontal="left"/>
    </xf>
    <xf numFmtId="0" fontId="14" fillId="0" borderId="0" xfId="3" applyFont="1" applyAlignment="1">
      <alignment horizontal="right"/>
    </xf>
    <xf numFmtId="3" fontId="14" fillId="4" borderId="5" xfId="3" applyNumberFormat="1" applyFont="1" applyFill="1" applyBorder="1" applyAlignment="1">
      <alignment horizontal="left"/>
    </xf>
    <xf numFmtId="44" fontId="14" fillId="4" borderId="5" xfId="17" applyFont="1" applyFill="1" applyBorder="1" applyAlignment="1">
      <alignment horizontal="left"/>
    </xf>
    <xf numFmtId="0" fontId="14" fillId="0" borderId="10" xfId="3" applyFont="1" applyBorder="1"/>
    <xf numFmtId="0" fontId="14" fillId="0" borderId="11" xfId="3" applyFont="1" applyBorder="1"/>
    <xf numFmtId="44" fontId="14" fillId="4" borderId="29" xfId="2" applyFont="1" applyFill="1" applyBorder="1"/>
    <xf numFmtId="0" fontId="14" fillId="0" borderId="0" xfId="3" applyFont="1" applyAlignment="1">
      <alignment horizontal="center"/>
    </xf>
    <xf numFmtId="0" fontId="14" fillId="4" borderId="34" xfId="3" applyFont="1" applyFill="1" applyBorder="1"/>
    <xf numFmtId="44" fontId="14" fillId="4" borderId="31" xfId="2" applyFont="1" applyFill="1" applyBorder="1"/>
    <xf numFmtId="44" fontId="14" fillId="4" borderId="5" xfId="2" applyFont="1" applyFill="1" applyBorder="1"/>
    <xf numFmtId="0" fontId="14" fillId="0" borderId="44" xfId="3" applyFont="1" applyBorder="1" applyAlignment="1">
      <alignment horizontal="center"/>
    </xf>
    <xf numFmtId="8" fontId="14" fillId="0" borderId="26" xfId="3" applyNumberFormat="1" applyFont="1" applyBorder="1"/>
    <xf numFmtId="8" fontId="14" fillId="0" borderId="0" xfId="3" applyNumberFormat="1" applyFont="1"/>
    <xf numFmtId="0" fontId="14" fillId="0" borderId="16" xfId="3" applyFont="1" applyBorder="1" applyAlignment="1">
      <alignment horizontal="center"/>
    </xf>
    <xf numFmtId="8" fontId="14" fillId="0" borderId="45" xfId="3" applyNumberFormat="1" applyFont="1" applyBorder="1"/>
    <xf numFmtId="0" fontId="14" fillId="0" borderId="16" xfId="3" applyFont="1" applyBorder="1"/>
    <xf numFmtId="8" fontId="14" fillId="0" borderId="40" xfId="3" applyNumberFormat="1" applyFont="1" applyBorder="1"/>
    <xf numFmtId="8" fontId="14" fillId="0" borderId="6" xfId="3" applyNumberFormat="1" applyFont="1" applyBorder="1"/>
    <xf numFmtId="0" fontId="14" fillId="0" borderId="17" xfId="3" applyFont="1" applyBorder="1"/>
    <xf numFmtId="0" fontId="14" fillId="4" borderId="22" xfId="3" applyFont="1" applyFill="1" applyBorder="1"/>
    <xf numFmtId="44" fontId="14" fillId="4" borderId="39" xfId="2" applyFont="1" applyFill="1" applyBorder="1"/>
    <xf numFmtId="44" fontId="14" fillId="4" borderId="23" xfId="2" applyFont="1" applyFill="1" applyBorder="1"/>
    <xf numFmtId="0" fontId="14" fillId="4" borderId="29" xfId="6" applyFill="1" applyBorder="1"/>
    <xf numFmtId="0" fontId="14" fillId="4" borderId="5" xfId="6" applyFill="1" applyBorder="1"/>
    <xf numFmtId="0" fontId="14" fillId="4" borderId="27" xfId="6" applyFill="1" applyBorder="1"/>
    <xf numFmtId="0" fontId="14" fillId="0" borderId="2" xfId="3" applyFont="1" applyBorder="1" applyAlignment="1">
      <alignment vertical="center" wrapText="1"/>
    </xf>
    <xf numFmtId="0" fontId="14" fillId="0" borderId="2" xfId="3" applyFont="1" applyBorder="1"/>
    <xf numFmtId="0" fontId="14" fillId="0" borderId="6" xfId="3" applyFont="1" applyBorder="1"/>
    <xf numFmtId="0" fontId="14" fillId="0" borderId="6" xfId="3" applyFont="1" applyBorder="1" applyAlignment="1">
      <alignment horizontal="center"/>
    </xf>
    <xf numFmtId="0" fontId="14" fillId="0" borderId="17" xfId="3" applyFont="1" applyBorder="1" applyAlignment="1">
      <alignment horizontal="center"/>
    </xf>
    <xf numFmtId="0" fontId="14" fillId="0" borderId="7" xfId="3" applyFont="1" applyBorder="1" applyAlignment="1">
      <alignment horizontal="center" vertical="center"/>
    </xf>
    <xf numFmtId="0" fontId="14" fillId="0" borderId="8" xfId="3" applyFont="1" applyBorder="1"/>
    <xf numFmtId="0" fontId="14" fillId="0" borderId="18" xfId="3" applyFont="1" applyBorder="1"/>
    <xf numFmtId="0" fontId="22" fillId="17" borderId="11" xfId="18" applyFont="1" applyFill="1" applyBorder="1"/>
    <xf numFmtId="0" fontId="22" fillId="17" borderId="46" xfId="18" applyFont="1" applyFill="1" applyBorder="1"/>
    <xf numFmtId="0" fontId="35" fillId="0" borderId="11" xfId="18" applyFont="1" applyBorder="1" applyAlignment="1">
      <alignment vertical="top"/>
    </xf>
    <xf numFmtId="0" fontId="35" fillId="0" borderId="10" xfId="18" applyFont="1" applyBorder="1" applyAlignment="1">
      <alignment vertical="top"/>
    </xf>
    <xf numFmtId="0" fontId="35" fillId="0" borderId="11" xfId="18" applyFont="1" applyBorder="1"/>
    <xf numFmtId="0" fontId="35" fillId="0" borderId="15" xfId="18" applyFont="1" applyBorder="1"/>
    <xf numFmtId="0" fontId="35" fillId="0" borderId="6" xfId="18" applyFont="1" applyBorder="1"/>
    <xf numFmtId="0" fontId="35" fillId="0" borderId="17" xfId="18" applyFont="1" applyBorder="1"/>
    <xf numFmtId="0" fontId="44" fillId="0" borderId="0" xfId="9" applyFont="1"/>
    <xf numFmtId="0" fontId="6" fillId="0" borderId="0" xfId="15" applyFont="1"/>
    <xf numFmtId="0" fontId="35" fillId="14" borderId="0" xfId="15" applyFont="1" applyFill="1"/>
    <xf numFmtId="1" fontId="35" fillId="14" borderId="5" xfId="15" applyNumberFormat="1" applyFont="1" applyFill="1" applyBorder="1"/>
    <xf numFmtId="9" fontId="14" fillId="14" borderId="5" xfId="16" applyFont="1" applyFill="1" applyBorder="1"/>
    <xf numFmtId="44" fontId="22" fillId="14" borderId="0" xfId="17" applyFont="1" applyFill="1"/>
    <xf numFmtId="44" fontId="14" fillId="0" borderId="5" xfId="17" applyFont="1" applyBorder="1" applyAlignment="1"/>
    <xf numFmtId="164" fontId="14" fillId="0" borderId="5" xfId="17" applyNumberFormat="1" applyFont="1" applyBorder="1" applyAlignment="1">
      <alignment horizontal="left"/>
    </xf>
    <xf numFmtId="164" fontId="22" fillId="14" borderId="0" xfId="17" applyNumberFormat="1" applyFont="1" applyFill="1"/>
    <xf numFmtId="164" fontId="35" fillId="8" borderId="5" xfId="14" applyNumberFormat="1" applyFont="1" applyFill="1" applyBorder="1" applyAlignment="1" applyProtection="1">
      <alignment horizontal="center" vertical="center"/>
      <protection locked="0"/>
    </xf>
    <xf numFmtId="0" fontId="49" fillId="7" borderId="11" xfId="18" applyFont="1" applyFill="1" applyBorder="1" applyAlignment="1">
      <alignment horizontal="right" vertical="center"/>
    </xf>
    <xf numFmtId="0" fontId="49" fillId="7" borderId="5" xfId="18" applyFont="1" applyFill="1" applyBorder="1" applyAlignment="1">
      <alignment horizontal="right" vertical="center" wrapText="1"/>
    </xf>
    <xf numFmtId="0" fontId="45" fillId="0" borderId="5" xfId="18" applyFont="1" applyBorder="1" applyAlignment="1">
      <alignment horizontal="right" vertical="center"/>
    </xf>
    <xf numFmtId="0" fontId="35" fillId="8" borderId="5" xfId="18" applyFont="1" applyFill="1" applyBorder="1" applyAlignment="1" applyProtection="1">
      <alignment horizontal="left" vertical="top" wrapText="1"/>
      <protection locked="0"/>
    </xf>
    <xf numFmtId="0" fontId="35" fillId="8" borderId="31" xfId="18" applyFont="1" applyFill="1" applyBorder="1" applyAlignment="1" applyProtection="1">
      <alignment vertical="center" wrapText="1"/>
      <protection locked="0"/>
    </xf>
    <xf numFmtId="169" fontId="35" fillId="8" borderId="31" xfId="19" applyNumberFormat="1" applyFont="1" applyFill="1" applyBorder="1" applyAlignment="1" applyProtection="1">
      <alignment vertical="center"/>
      <protection locked="0"/>
    </xf>
    <xf numFmtId="0" fontId="35" fillId="0" borderId="31" xfId="18" applyFont="1" applyBorder="1" applyAlignment="1">
      <alignment vertical="center"/>
    </xf>
    <xf numFmtId="0" fontId="35" fillId="0" borderId="33" xfId="18" applyFont="1" applyBorder="1" applyAlignment="1">
      <alignment horizontal="right" vertical="center" wrapText="1"/>
    </xf>
    <xf numFmtId="37" fontId="35" fillId="8" borderId="5" xfId="19" applyNumberFormat="1" applyFont="1" applyFill="1" applyBorder="1" applyAlignment="1" applyProtection="1">
      <alignment vertical="center" wrapText="1"/>
      <protection locked="0"/>
    </xf>
    <xf numFmtId="165" fontId="35" fillId="0" borderId="5" xfId="18" applyNumberFormat="1" applyFont="1" applyBorder="1" applyAlignment="1">
      <alignment horizontal="right" vertical="center" wrapText="1"/>
    </xf>
    <xf numFmtId="165" fontId="35" fillId="0" borderId="31" xfId="18" applyNumberFormat="1" applyFont="1" applyBorder="1" applyAlignment="1">
      <alignment horizontal="left" vertical="center" wrapText="1"/>
    </xf>
    <xf numFmtId="165" fontId="35" fillId="0" borderId="5" xfId="18" applyNumberFormat="1" applyFont="1" applyBorder="1" applyAlignment="1">
      <alignment vertical="center" wrapText="1"/>
    </xf>
    <xf numFmtId="0" fontId="35" fillId="0" borderId="34" xfId="18" applyFont="1" applyBorder="1" applyAlignment="1">
      <alignment horizontal="right"/>
    </xf>
    <xf numFmtId="0" fontId="35" fillId="0" borderId="53" xfId="18" applyFont="1" applyBorder="1" applyAlignment="1">
      <alignment wrapText="1"/>
    </xf>
    <xf numFmtId="0" fontId="35" fillId="8" borderId="5" xfId="18" applyFont="1" applyFill="1" applyBorder="1" applyProtection="1">
      <protection locked="0"/>
    </xf>
    <xf numFmtId="0" fontId="35" fillId="0" borderId="7" xfId="18" applyFont="1" applyBorder="1" applyAlignment="1">
      <alignment wrapText="1"/>
    </xf>
    <xf numFmtId="0" fontId="52" fillId="0" borderId="11" xfId="18" applyFont="1" applyBorder="1" applyAlignment="1">
      <alignment wrapText="1"/>
    </xf>
    <xf numFmtId="0" fontId="35" fillId="2" borderId="53" xfId="18" applyFont="1" applyFill="1" applyBorder="1" applyAlignment="1">
      <alignment wrapText="1"/>
    </xf>
    <xf numFmtId="0" fontId="35" fillId="0" borderId="54" xfId="18" applyFont="1" applyBorder="1" applyAlignment="1">
      <alignment wrapText="1"/>
    </xf>
    <xf numFmtId="0" fontId="49" fillId="8" borderId="57" xfId="10" applyFont="1" applyFill="1" applyBorder="1" applyProtection="1">
      <protection locked="0"/>
    </xf>
    <xf numFmtId="164" fontId="37" fillId="16" borderId="61" xfId="17" applyNumberFormat="1" applyFont="1" applyFill="1" applyBorder="1" applyAlignment="1"/>
    <xf numFmtId="164" fontId="37" fillId="16" borderId="61" xfId="14" applyNumberFormat="1" applyFont="1" applyFill="1" applyBorder="1" applyAlignment="1"/>
    <xf numFmtId="0" fontId="37" fillId="16" borderId="29" xfId="10" applyFont="1" applyFill="1" applyBorder="1" applyAlignment="1">
      <alignment wrapText="1"/>
    </xf>
    <xf numFmtId="43" fontId="37" fillId="16" borderId="29" xfId="8" applyFont="1" applyFill="1" applyBorder="1"/>
    <xf numFmtId="164" fontId="37" fillId="16" borderId="55" xfId="17" applyNumberFormat="1" applyFont="1" applyFill="1" applyBorder="1" applyAlignment="1"/>
    <xf numFmtId="164" fontId="37" fillId="16" borderId="5" xfId="21" applyNumberFormat="1" applyFont="1" applyFill="1" applyBorder="1" applyAlignment="1"/>
    <xf numFmtId="43" fontId="37" fillId="16" borderId="5" xfId="8" applyFont="1" applyFill="1" applyBorder="1"/>
    <xf numFmtId="164" fontId="37" fillId="16" borderId="55" xfId="14" applyNumberFormat="1" applyFont="1" applyFill="1" applyBorder="1" applyAlignment="1"/>
    <xf numFmtId="169" fontId="37" fillId="16" borderId="55" xfId="19" applyNumberFormat="1" applyFont="1" applyFill="1" applyBorder="1" applyAlignment="1"/>
    <xf numFmtId="169" fontId="37" fillId="16" borderId="5" xfId="19" applyNumberFormat="1" applyFont="1" applyFill="1" applyBorder="1" applyAlignment="1">
      <alignment horizontal="left"/>
    </xf>
    <xf numFmtId="43" fontId="37" fillId="16" borderId="5" xfId="10" applyNumberFormat="1" applyFont="1" applyFill="1" applyBorder="1"/>
    <xf numFmtId="0" fontId="35" fillId="0" borderId="7" xfId="18" applyFont="1" applyBorder="1" applyAlignment="1">
      <alignment vertical="top" wrapText="1"/>
    </xf>
    <xf numFmtId="0" fontId="35" fillId="0" borderId="8" xfId="18" applyFont="1" applyBorder="1" applyAlignment="1">
      <alignment vertical="top" wrapText="1"/>
    </xf>
    <xf numFmtId="0" fontId="35" fillId="0" borderId="18" xfId="18" applyFont="1" applyBorder="1" applyAlignment="1">
      <alignment vertical="top" wrapText="1"/>
    </xf>
    <xf numFmtId="0" fontId="35" fillId="0" borderId="11" xfId="18" applyFont="1" applyBorder="1" applyAlignment="1">
      <alignment vertical="top" wrapText="1"/>
    </xf>
    <xf numFmtId="0" fontId="35" fillId="0" borderId="10" xfId="18" applyFont="1" applyBorder="1" applyAlignment="1">
      <alignment vertical="top" wrapText="1"/>
    </xf>
    <xf numFmtId="0" fontId="35" fillId="0" borderId="56" xfId="18" applyFont="1" applyBorder="1" applyAlignment="1">
      <alignment wrapText="1"/>
    </xf>
    <xf numFmtId="0" fontId="49" fillId="7" borderId="7" xfId="18" applyFont="1" applyFill="1" applyBorder="1" applyAlignment="1">
      <alignment horizontal="right" vertical="center"/>
    </xf>
    <xf numFmtId="0" fontId="49" fillId="7" borderId="33" xfId="18" applyFont="1" applyFill="1" applyBorder="1" applyAlignment="1">
      <alignment horizontal="right" vertical="center"/>
    </xf>
    <xf numFmtId="0" fontId="43" fillId="0" borderId="0" xfId="13" applyFont="1" applyAlignment="1">
      <alignment vertical="top" wrapText="1"/>
    </xf>
    <xf numFmtId="0" fontId="14" fillId="0" borderId="6" xfId="3" applyFont="1" applyBorder="1" applyAlignment="1">
      <alignment horizontal="left"/>
    </xf>
    <xf numFmtId="164" fontId="35" fillId="0" borderId="17" xfId="18" applyNumberFormat="1" applyFont="1" applyBorder="1"/>
    <xf numFmtId="164" fontId="35" fillId="0" borderId="5" xfId="21" applyNumberFormat="1" applyFont="1" applyBorder="1"/>
    <xf numFmtId="43" fontId="35" fillId="0" borderId="5" xfId="19" applyFont="1" applyBorder="1"/>
    <xf numFmtId="9" fontId="35" fillId="0" borderId="5" xfId="18" applyNumberFormat="1" applyFont="1" applyBorder="1"/>
    <xf numFmtId="9" fontId="35" fillId="2" borderId="5" xfId="20" applyFont="1" applyFill="1" applyBorder="1"/>
    <xf numFmtId="164" fontId="35" fillId="0" borderId="35" xfId="18" applyNumberFormat="1" applyFont="1" applyBorder="1"/>
    <xf numFmtId="0" fontId="35" fillId="0" borderId="15" xfId="18" applyFont="1" applyBorder="1" applyAlignment="1">
      <alignment horizontal="right"/>
    </xf>
    <xf numFmtId="9" fontId="35" fillId="0" borderId="23" xfId="20" applyFont="1" applyFill="1" applyBorder="1"/>
    <xf numFmtId="164" fontId="35" fillId="0" borderId="23" xfId="21" applyNumberFormat="1" applyFont="1" applyFill="1" applyBorder="1"/>
    <xf numFmtId="43" fontId="35" fillId="0" borderId="23" xfId="19" applyFont="1" applyFill="1" applyBorder="1"/>
    <xf numFmtId="9" fontId="35" fillId="0" borderId="23" xfId="18" applyNumberFormat="1" applyFont="1" applyBorder="1"/>
    <xf numFmtId="0" fontId="49" fillId="0" borderId="0" xfId="6" applyFont="1" applyAlignment="1">
      <alignment horizontal="center"/>
    </xf>
    <xf numFmtId="0" fontId="15" fillId="0" borderId="0" xfId="0" applyFont="1" applyAlignment="1">
      <alignment horizontal="center" vertical="center" wrapText="1"/>
    </xf>
    <xf numFmtId="0" fontId="54" fillId="4" borderId="55" xfId="5" applyFont="1" applyFill="1" applyBorder="1" applyAlignment="1">
      <alignment horizontal="left"/>
    </xf>
    <xf numFmtId="0" fontId="49" fillId="0" borderId="0" xfId="6" applyFont="1"/>
    <xf numFmtId="14" fontId="35" fillId="10" borderId="35" xfId="5" applyNumberFormat="1" applyFont="1" applyFill="1" applyBorder="1" applyAlignment="1">
      <alignment horizontal="center"/>
    </xf>
    <xf numFmtId="14" fontId="35" fillId="4" borderId="5" xfId="5" applyNumberFormat="1" applyFont="1" applyFill="1" applyBorder="1" applyAlignment="1">
      <alignment horizontal="center"/>
    </xf>
    <xf numFmtId="14" fontId="35" fillId="10" borderId="55" xfId="5" applyNumberFormat="1" applyFont="1" applyFill="1" applyBorder="1" applyAlignment="1">
      <alignment horizontal="center"/>
    </xf>
    <xf numFmtId="0" fontId="22" fillId="0" borderId="67" xfId="22" applyFont="1" applyBorder="1" applyAlignment="1">
      <alignment horizontal="left" vertical="top" indent="1"/>
    </xf>
    <xf numFmtId="0" fontId="22" fillId="0" borderId="67" xfId="22" applyFont="1" applyBorder="1" applyAlignment="1">
      <alignment horizontal="left" indent="1"/>
    </xf>
    <xf numFmtId="0" fontId="18" fillId="0" borderId="11" xfId="3" applyFont="1" applyBorder="1" applyAlignment="1">
      <alignment horizontal="left"/>
    </xf>
    <xf numFmtId="0" fontId="14" fillId="0" borderId="0" xfId="3" applyFont="1" applyAlignment="1">
      <alignment horizontal="left" vertical="center" wrapText="1"/>
    </xf>
    <xf numFmtId="0" fontId="18" fillId="0" borderId="15" xfId="3" applyFont="1" applyBorder="1" applyAlignment="1">
      <alignment horizontal="left" vertical="center"/>
    </xf>
    <xf numFmtId="0" fontId="18" fillId="0" borderId="4" xfId="3" applyFont="1" applyBorder="1" applyAlignment="1">
      <alignment horizontal="left" vertical="center"/>
    </xf>
    <xf numFmtId="0" fontId="18" fillId="0" borderId="0" xfId="3" applyFont="1" applyAlignment="1">
      <alignment horizontal="right" vertical="center"/>
    </xf>
    <xf numFmtId="0" fontId="18" fillId="0" borderId="6" xfId="3" applyFont="1" applyBorder="1" applyAlignment="1">
      <alignment horizontal="right"/>
    </xf>
    <xf numFmtId="0" fontId="18" fillId="0" borderId="0" xfId="3" applyFont="1" applyAlignment="1">
      <alignment horizontal="right"/>
    </xf>
    <xf numFmtId="0" fontId="18" fillId="0" borderId="43" xfId="3" applyFont="1" applyBorder="1" applyAlignment="1">
      <alignment horizontal="center" vertical="center" wrapText="1"/>
    </xf>
    <xf numFmtId="0" fontId="45" fillId="0" borderId="0" xfId="15" applyFont="1"/>
    <xf numFmtId="0" fontId="45" fillId="0" borderId="19" xfId="22" applyFont="1" applyBorder="1" applyAlignment="1">
      <alignment horizontal="center"/>
    </xf>
    <xf numFmtId="0" fontId="14" fillId="4" borderId="5" xfId="3" applyFont="1" applyFill="1" applyBorder="1" applyAlignment="1">
      <alignment horizontal="left" vertical="top" wrapText="1"/>
    </xf>
    <xf numFmtId="169" fontId="37" fillId="0" borderId="5" xfId="8" applyNumberFormat="1" applyFont="1" applyBorder="1" applyAlignment="1">
      <alignment horizontal="center"/>
    </xf>
    <xf numFmtId="169" fontId="37" fillId="0" borderId="5" xfId="8" applyNumberFormat="1" applyFont="1" applyBorder="1"/>
    <xf numFmtId="3" fontId="37" fillId="0" borderId="5" xfId="8" applyNumberFormat="1" applyFont="1" applyBorder="1" applyAlignment="1">
      <alignment horizontal="center"/>
    </xf>
    <xf numFmtId="43" fontId="14" fillId="2" borderId="7" xfId="8" applyFont="1" applyFill="1" applyBorder="1" applyAlignment="1">
      <alignment horizontal="center" vertical="center" wrapText="1"/>
    </xf>
    <xf numFmtId="0" fontId="14" fillId="4" borderId="20" xfId="6" applyFill="1" applyBorder="1" applyAlignment="1">
      <alignment horizontal="center" vertical="center" wrapText="1"/>
    </xf>
    <xf numFmtId="169" fontId="14" fillId="4" borderId="30" xfId="8" applyNumberFormat="1" applyFont="1" applyFill="1" applyBorder="1" applyAlignment="1">
      <alignment horizontal="center" vertical="center" wrapText="1"/>
    </xf>
    <xf numFmtId="169" fontId="14" fillId="4" borderId="29" xfId="8" applyNumberFormat="1" applyFont="1" applyFill="1" applyBorder="1" applyAlignment="1">
      <alignment horizontal="center" vertical="center" wrapText="1"/>
    </xf>
    <xf numFmtId="169" fontId="14" fillId="4" borderId="60" xfId="8" applyNumberFormat="1" applyFont="1" applyFill="1" applyBorder="1" applyAlignment="1">
      <alignment horizontal="center" vertical="center" wrapText="1"/>
    </xf>
    <xf numFmtId="169" fontId="14" fillId="2" borderId="66" xfId="8" applyNumberFormat="1" applyFont="1" applyFill="1" applyBorder="1" applyAlignment="1">
      <alignment horizontal="center" vertical="center" wrapText="1"/>
    </xf>
    <xf numFmtId="164" fontId="14" fillId="2" borderId="36" xfId="6" applyNumberFormat="1" applyFill="1" applyBorder="1" applyAlignment="1">
      <alignment horizontal="center" vertical="center" wrapText="1"/>
    </xf>
    <xf numFmtId="164" fontId="14" fillId="4" borderId="56" xfId="11" applyNumberFormat="1" applyFont="1" applyFill="1" applyBorder="1" applyAlignment="1">
      <alignment horizontal="center" vertical="center" wrapText="1"/>
    </xf>
    <xf numFmtId="0" fontId="14" fillId="4" borderId="19" xfId="6" applyFill="1" applyBorder="1" applyAlignment="1">
      <alignment horizontal="center" vertical="center" wrapText="1"/>
    </xf>
    <xf numFmtId="0" fontId="14" fillId="4" borderId="54" xfId="6" applyFill="1" applyBorder="1" applyAlignment="1">
      <alignment horizontal="center" vertical="center" wrapText="1"/>
    </xf>
    <xf numFmtId="0" fontId="14" fillId="4" borderId="56" xfId="6" applyFill="1" applyBorder="1" applyAlignment="1">
      <alignment horizontal="center" vertical="center" wrapText="1"/>
    </xf>
    <xf numFmtId="0" fontId="14" fillId="4" borderId="21" xfId="6" applyFill="1" applyBorder="1" applyAlignment="1">
      <alignment horizontal="center" vertical="center" wrapText="1"/>
    </xf>
    <xf numFmtId="165" fontId="14" fillId="2" borderId="33" xfId="6" applyNumberFormat="1" applyFill="1" applyBorder="1" applyAlignment="1">
      <alignment horizontal="center" vertical="center" wrapText="1"/>
    </xf>
    <xf numFmtId="165" fontId="14" fillId="4" borderId="33" xfId="6" applyNumberFormat="1" applyFill="1" applyBorder="1" applyAlignment="1">
      <alignment horizontal="center" vertical="center" wrapText="1"/>
    </xf>
    <xf numFmtId="169" fontId="14" fillId="4" borderId="34" xfId="8" applyNumberFormat="1" applyFont="1" applyFill="1" applyBorder="1" applyAlignment="1">
      <alignment horizontal="center" vertical="center" wrapText="1"/>
    </xf>
    <xf numFmtId="169" fontId="14" fillId="4" borderId="5" xfId="8" applyNumberFormat="1" applyFont="1" applyFill="1" applyBorder="1" applyAlignment="1">
      <alignment horizontal="center" vertical="center" wrapText="1"/>
    </xf>
    <xf numFmtId="169" fontId="14" fillId="4" borderId="31" xfId="8" applyNumberFormat="1" applyFont="1" applyFill="1" applyBorder="1" applyAlignment="1">
      <alignment horizontal="center" vertical="center" wrapText="1"/>
    </xf>
    <xf numFmtId="169" fontId="14" fillId="2" borderId="67" xfId="8" applyNumberFormat="1" applyFont="1" applyFill="1" applyBorder="1" applyAlignment="1">
      <alignment horizontal="center" vertical="center" wrapText="1"/>
    </xf>
    <xf numFmtId="164" fontId="14" fillId="4" borderId="34" xfId="11" applyNumberFormat="1" applyFont="1" applyFill="1" applyBorder="1" applyAlignment="1">
      <alignment horizontal="center" vertical="center" wrapText="1"/>
    </xf>
    <xf numFmtId="0" fontId="14" fillId="4" borderId="31" xfId="6" applyFill="1" applyBorder="1" applyAlignment="1">
      <alignment horizontal="center" vertical="center" wrapText="1"/>
    </xf>
    <xf numFmtId="0" fontId="14" fillId="4" borderId="35" xfId="6" applyFill="1" applyBorder="1" applyAlignment="1">
      <alignment horizontal="center" vertical="center" wrapText="1"/>
    </xf>
    <xf numFmtId="0" fontId="14" fillId="4" borderId="34" xfId="6" applyFill="1" applyBorder="1" applyAlignment="1">
      <alignment horizontal="center" vertical="center" wrapText="1"/>
    </xf>
    <xf numFmtId="0" fontId="14" fillId="4" borderId="32" xfId="6" applyFill="1" applyBorder="1" applyAlignment="1">
      <alignment horizontal="center" vertical="center" wrapText="1"/>
    </xf>
    <xf numFmtId="169" fontId="18" fillId="4" borderId="31" xfId="8" applyNumberFormat="1" applyFont="1" applyFill="1" applyBorder="1" applyAlignment="1">
      <alignment horizontal="center" vertical="center" wrapText="1"/>
    </xf>
    <xf numFmtId="164" fontId="14" fillId="4" borderId="34" xfId="6" applyNumberFormat="1" applyFill="1" applyBorder="1" applyAlignment="1">
      <alignment horizontal="center" vertical="center" wrapText="1"/>
    </xf>
    <xf numFmtId="165" fontId="14" fillId="4" borderId="37" xfId="6" applyNumberFormat="1" applyFill="1" applyBorder="1" applyAlignment="1">
      <alignment horizontal="center" vertical="center" wrapText="1"/>
    </xf>
    <xf numFmtId="164" fontId="14" fillId="4" borderId="30" xfId="11" applyNumberFormat="1" applyFont="1" applyFill="1" applyBorder="1" applyAlignment="1">
      <alignment horizontal="center" vertical="center" wrapText="1"/>
    </xf>
    <xf numFmtId="0" fontId="14" fillId="4" borderId="60" xfId="6" applyFill="1" applyBorder="1" applyAlignment="1">
      <alignment horizontal="center" vertical="center" wrapText="1"/>
    </xf>
    <xf numFmtId="0" fontId="14" fillId="4" borderId="36" xfId="6" applyFill="1" applyBorder="1" applyAlignment="1">
      <alignment horizontal="center" vertical="center" wrapText="1"/>
    </xf>
    <xf numFmtId="165" fontId="14" fillId="2" borderId="68" xfId="6" applyNumberFormat="1" applyFill="1" applyBorder="1" applyAlignment="1">
      <alignment horizontal="center" vertical="center" wrapText="1"/>
    </xf>
    <xf numFmtId="165" fontId="14" fillId="4" borderId="68" xfId="6" applyNumberFormat="1" applyFill="1" applyBorder="1" applyAlignment="1">
      <alignment horizontal="center" vertical="center" wrapText="1"/>
    </xf>
    <xf numFmtId="169" fontId="14" fillId="4" borderId="22" xfId="8" applyNumberFormat="1" applyFont="1" applyFill="1" applyBorder="1" applyAlignment="1">
      <alignment horizontal="center" vertical="center" wrapText="1"/>
    </xf>
    <xf numFmtId="169" fontId="14" fillId="4" borderId="23" xfId="8" applyNumberFormat="1" applyFont="1" applyFill="1" applyBorder="1" applyAlignment="1">
      <alignment horizontal="center" vertical="center" wrapText="1"/>
    </xf>
    <xf numFmtId="169" fontId="14" fillId="4" borderId="39" xfId="8" applyNumberFormat="1" applyFont="1" applyFill="1" applyBorder="1" applyAlignment="1">
      <alignment horizontal="center" vertical="center" wrapText="1"/>
    </xf>
    <xf numFmtId="169" fontId="14" fillId="2" borderId="64" xfId="8" applyNumberFormat="1" applyFont="1" applyFill="1" applyBorder="1" applyAlignment="1">
      <alignment horizontal="center" vertical="center" wrapText="1"/>
    </xf>
    <xf numFmtId="164" fontId="14" fillId="4" borderId="22" xfId="6" applyNumberFormat="1" applyFill="1" applyBorder="1" applyAlignment="1">
      <alignment horizontal="center" vertical="center" wrapText="1"/>
    </xf>
    <xf numFmtId="0" fontId="14" fillId="4" borderId="39" xfId="6" applyFill="1" applyBorder="1" applyAlignment="1">
      <alignment horizontal="center" vertical="center" wrapText="1"/>
    </xf>
    <xf numFmtId="0" fontId="14" fillId="4" borderId="24" xfId="6" applyFill="1" applyBorder="1" applyAlignment="1">
      <alignment horizontal="center" vertical="center" wrapText="1"/>
    </xf>
    <xf numFmtId="0" fontId="14" fillId="4" borderId="22" xfId="6" applyFill="1" applyBorder="1" applyAlignment="1">
      <alignment horizontal="center" vertical="center" wrapText="1"/>
    </xf>
    <xf numFmtId="0" fontId="14" fillId="4" borderId="65" xfId="6" applyFill="1" applyBorder="1" applyAlignment="1">
      <alignment horizontal="center" vertical="center" wrapText="1"/>
    </xf>
    <xf numFmtId="165" fontId="37" fillId="0" borderId="16" xfId="6" applyNumberFormat="1" applyFont="1" applyBorder="1" applyAlignment="1">
      <alignment horizontal="center"/>
    </xf>
    <xf numFmtId="1" fontId="37" fillId="0" borderId="15" xfId="6" applyNumberFormat="1" applyFont="1" applyBorder="1" applyAlignment="1">
      <alignment horizontal="center"/>
    </xf>
    <xf numFmtId="169" fontId="37" fillId="0" borderId="15" xfId="8" applyNumberFormat="1" applyFont="1" applyBorder="1" applyAlignment="1">
      <alignment horizontal="center"/>
    </xf>
    <xf numFmtId="164" fontId="37" fillId="2" borderId="57" xfId="11" applyNumberFormat="1" applyFont="1" applyFill="1" applyBorder="1" applyAlignment="1">
      <alignment horizontal="center"/>
    </xf>
    <xf numFmtId="164" fontId="37" fillId="2" borderId="16" xfId="11" applyNumberFormat="1" applyFont="1" applyFill="1" applyBorder="1" applyAlignment="1">
      <alignment horizontal="center"/>
    </xf>
    <xf numFmtId="0" fontId="14" fillId="4" borderId="62" xfId="6" applyFill="1" applyBorder="1" applyAlignment="1">
      <alignment horizontal="left" vertical="top" wrapText="1"/>
    </xf>
    <xf numFmtId="0" fontId="14" fillId="4" borderId="61" xfId="6" applyFill="1" applyBorder="1" applyAlignment="1">
      <alignment horizontal="left" vertical="top" wrapText="1"/>
    </xf>
    <xf numFmtId="0" fontId="14" fillId="4" borderId="5" xfId="6" applyFill="1" applyBorder="1" applyAlignment="1">
      <alignment horizontal="left" vertical="top" wrapText="1"/>
    </xf>
    <xf numFmtId="0" fontId="14" fillId="4" borderId="31" xfId="6" applyFill="1" applyBorder="1" applyAlignment="1">
      <alignment horizontal="left" vertical="top" wrapText="1"/>
    </xf>
    <xf numFmtId="0" fontId="14" fillId="4" borderId="32" xfId="6" applyFill="1" applyBorder="1" applyAlignment="1">
      <alignment horizontal="left" vertical="top" wrapText="1"/>
    </xf>
    <xf numFmtId="0" fontId="14" fillId="4" borderId="27" xfId="6" applyFill="1" applyBorder="1" applyAlignment="1">
      <alignment horizontal="left" vertical="top" wrapText="1"/>
    </xf>
    <xf numFmtId="0" fontId="14" fillId="4" borderId="59" xfId="6" applyFill="1" applyBorder="1" applyAlignment="1">
      <alignment horizontal="left" vertical="top" wrapText="1"/>
    </xf>
    <xf numFmtId="0" fontId="14" fillId="2" borderId="13" xfId="6" applyFill="1" applyBorder="1" applyAlignment="1">
      <alignment horizontal="right"/>
    </xf>
    <xf numFmtId="0" fontId="18" fillId="2" borderId="33" xfId="6" applyFont="1" applyFill="1" applyBorder="1" applyAlignment="1">
      <alignment horizontal="center"/>
    </xf>
    <xf numFmtId="0" fontId="18" fillId="2" borderId="3" xfId="6" applyFont="1" applyFill="1" applyBorder="1" applyAlignment="1">
      <alignment horizontal="center"/>
    </xf>
    <xf numFmtId="0" fontId="18" fillId="2" borderId="32" xfId="6" applyFont="1" applyFill="1" applyBorder="1" applyAlignment="1">
      <alignment horizontal="center"/>
    </xf>
    <xf numFmtId="0" fontId="14" fillId="0" borderId="0" xfId="3" applyFont="1" applyAlignment="1">
      <alignment horizontal="left" vertical="top" wrapText="1"/>
    </xf>
    <xf numFmtId="0" fontId="14" fillId="4" borderId="5" xfId="3" applyFont="1" applyFill="1" applyBorder="1"/>
    <xf numFmtId="0" fontId="14" fillId="4" borderId="5" xfId="3" applyFont="1" applyFill="1" applyBorder="1" applyAlignment="1">
      <alignment horizontal="center" vertical="top" wrapText="1"/>
    </xf>
    <xf numFmtId="0" fontId="14" fillId="0" borderId="0" xfId="3" applyFont="1" applyAlignment="1">
      <alignment horizontal="right" vertical="center"/>
    </xf>
    <xf numFmtId="0" fontId="14" fillId="4" borderId="5" xfId="3" applyFont="1" applyFill="1" applyBorder="1" applyAlignment="1">
      <alignment horizontal="center" vertical="center"/>
    </xf>
    <xf numFmtId="164" fontId="14" fillId="4" borderId="5" xfId="17" applyNumberFormat="1" applyFont="1" applyFill="1" applyBorder="1" applyAlignment="1"/>
    <xf numFmtId="0" fontId="18" fillId="0" borderId="4" xfId="3" applyFont="1" applyBorder="1" applyAlignment="1">
      <alignment horizontal="center" wrapText="1"/>
    </xf>
    <xf numFmtId="0" fontId="14" fillId="0" borderId="72" xfId="3" applyFont="1" applyBorder="1" applyAlignment="1">
      <alignment horizontal="left" vertical="top" wrapText="1"/>
    </xf>
    <xf numFmtId="0" fontId="14" fillId="0" borderId="0" xfId="6" applyAlignment="1">
      <alignment horizontal="right" vertical="center"/>
    </xf>
    <xf numFmtId="0" fontId="35" fillId="0" borderId="67" xfId="5" applyFont="1" applyBorder="1"/>
    <xf numFmtId="0" fontId="35" fillId="0" borderId="67" xfId="5" applyFont="1" applyBorder="1" applyAlignment="1">
      <alignment horizontal="left"/>
    </xf>
    <xf numFmtId="0" fontId="29" fillId="0" borderId="67" xfId="22" applyFont="1" applyBorder="1" applyAlignment="1">
      <alignment horizontal="left"/>
    </xf>
    <xf numFmtId="0" fontId="14" fillId="4" borderId="30" xfId="6" applyFill="1" applyBorder="1" applyAlignment="1">
      <alignment horizontal="center" vertical="center" wrapText="1"/>
    </xf>
    <xf numFmtId="0" fontId="14" fillId="4" borderId="26" xfId="6" applyFill="1" applyBorder="1" applyAlignment="1">
      <alignment horizontal="center" vertical="center" wrapText="1"/>
    </xf>
    <xf numFmtId="0" fontId="18" fillId="0" borderId="0" xfId="0" applyFont="1"/>
    <xf numFmtId="0" fontId="18" fillId="0" borderId="0" xfId="0" applyFont="1" applyAlignment="1">
      <alignment horizontal="center" wrapText="1"/>
    </xf>
    <xf numFmtId="0" fontId="18" fillId="0" borderId="0" xfId="0" applyFont="1" applyAlignment="1">
      <alignment horizontal="right" indent="1"/>
    </xf>
    <xf numFmtId="10" fontId="14" fillId="3" borderId="5" xfId="25" applyNumberFormat="1" applyFont="1" applyFill="1" applyBorder="1" applyAlignment="1" applyProtection="1">
      <alignment horizontal="center"/>
    </xf>
    <xf numFmtId="9" fontId="14" fillId="3" borderId="5" xfId="25" applyFont="1" applyFill="1" applyBorder="1" applyAlignment="1" applyProtection="1">
      <alignment horizontal="center"/>
    </xf>
    <xf numFmtId="0" fontId="22" fillId="0" borderId="0" xfId="15" applyFont="1"/>
    <xf numFmtId="0" fontId="22" fillId="0" borderId="0" xfId="9" applyFont="1"/>
    <xf numFmtId="0" fontId="18" fillId="0" borderId="0" xfId="0" applyFont="1" applyAlignment="1">
      <alignment horizontal="center"/>
    </xf>
    <xf numFmtId="0" fontId="14" fillId="3" borderId="5" xfId="0" applyFont="1" applyFill="1" applyBorder="1"/>
    <xf numFmtId="167" fontId="14" fillId="3" borderId="5" xfId="0" applyNumberFormat="1" applyFont="1" applyFill="1" applyBorder="1"/>
    <xf numFmtId="0" fontId="29" fillId="0" borderId="0" xfId="9" applyFont="1"/>
    <xf numFmtId="166" fontId="14" fillId="3" borderId="5" xfId="0" applyNumberFormat="1" applyFont="1" applyFill="1" applyBorder="1" applyAlignment="1">
      <alignment horizontal="center"/>
    </xf>
    <xf numFmtId="174" fontId="22" fillId="0" borderId="5" xfId="9" applyNumberFormat="1" applyFont="1" applyBorder="1"/>
    <xf numFmtId="2" fontId="14" fillId="3" borderId="5" xfId="0" applyNumberFormat="1" applyFont="1" applyFill="1" applyBorder="1" applyAlignment="1">
      <alignment horizontal="center"/>
    </xf>
    <xf numFmtId="0" fontId="37" fillId="0" borderId="58" xfId="18" applyFont="1" applyBorder="1"/>
    <xf numFmtId="0" fontId="37" fillId="0" borderId="61" xfId="18" applyFont="1" applyBorder="1"/>
    <xf numFmtId="0" fontId="35" fillId="0" borderId="59" xfId="15" applyFont="1" applyBorder="1"/>
    <xf numFmtId="0" fontId="37" fillId="0" borderId="4" xfId="18" applyFont="1" applyBorder="1" applyAlignment="1">
      <alignment horizontal="right"/>
    </xf>
    <xf numFmtId="0" fontId="35" fillId="0" borderId="60" xfId="15" applyFont="1" applyBorder="1"/>
    <xf numFmtId="0" fontId="37" fillId="0" borderId="2" xfId="18" applyFont="1" applyBorder="1" applyAlignment="1">
      <alignment horizontal="right"/>
    </xf>
    <xf numFmtId="164" fontId="35" fillId="16" borderId="73" xfId="17" applyNumberFormat="1" applyFont="1" applyFill="1" applyBorder="1"/>
    <xf numFmtId="164" fontId="35" fillId="16" borderId="73" xfId="18" applyNumberFormat="1" applyFont="1" applyFill="1" applyBorder="1"/>
    <xf numFmtId="169" fontId="35" fillId="16" borderId="63" xfId="19" applyNumberFormat="1" applyFont="1" applyFill="1" applyBorder="1"/>
    <xf numFmtId="169" fontId="37" fillId="16" borderId="29" xfId="19" applyNumberFormat="1" applyFont="1" applyFill="1" applyBorder="1" applyAlignment="1">
      <alignment horizontal="left"/>
    </xf>
    <xf numFmtId="43" fontId="35" fillId="16" borderId="29" xfId="19" applyFont="1" applyFill="1" applyBorder="1"/>
    <xf numFmtId="169" fontId="35" fillId="16" borderId="10" xfId="19" applyNumberFormat="1" applyFont="1" applyFill="1" applyBorder="1" applyAlignment="1">
      <alignment horizontal="right"/>
    </xf>
    <xf numFmtId="164" fontId="37" fillId="16" borderId="71" xfId="17" applyNumberFormat="1" applyFont="1" applyFill="1" applyBorder="1" applyAlignment="1"/>
    <xf numFmtId="164" fontId="37" fillId="16" borderId="23" xfId="21" applyNumberFormat="1" applyFont="1" applyFill="1" applyBorder="1" applyAlignment="1"/>
    <xf numFmtId="0" fontId="37" fillId="16" borderId="23" xfId="10" applyFont="1" applyFill="1" applyBorder="1" applyAlignment="1">
      <alignment wrapText="1"/>
    </xf>
    <xf numFmtId="43" fontId="37" fillId="16" borderId="23" xfId="10" applyNumberFormat="1" applyFont="1" applyFill="1" applyBorder="1"/>
    <xf numFmtId="0" fontId="56" fillId="0" borderId="0" xfId="0" applyFont="1"/>
    <xf numFmtId="0" fontId="14" fillId="0" borderId="0" xfId="3" applyFont="1" applyAlignment="1">
      <alignment wrapText="1"/>
    </xf>
    <xf numFmtId="0" fontId="45" fillId="0" borderId="1" xfId="22" applyFont="1" applyBorder="1" applyAlignment="1">
      <alignment horizontal="center"/>
    </xf>
    <xf numFmtId="0" fontId="35" fillId="0" borderId="19" xfId="22" applyFont="1" applyBorder="1" applyAlignment="1">
      <alignment horizontal="center"/>
    </xf>
    <xf numFmtId="0" fontId="35" fillId="0" borderId="62" xfId="22" applyFont="1" applyBorder="1" applyAlignment="1">
      <alignment horizontal="center"/>
    </xf>
    <xf numFmtId="0" fontId="14" fillId="0" borderId="0" xfId="6" applyAlignment="1">
      <alignment wrapText="1" readingOrder="1"/>
    </xf>
    <xf numFmtId="0" fontId="57" fillId="0" borderId="0" xfId="18" applyFont="1"/>
    <xf numFmtId="0" fontId="52" fillId="0" borderId="53" xfId="18" applyFont="1" applyBorder="1" applyAlignment="1">
      <alignment horizontal="center" wrapText="1"/>
    </xf>
    <xf numFmtId="9" fontId="52" fillId="0" borderId="53" xfId="20" applyFont="1" applyFill="1" applyBorder="1" applyAlignment="1">
      <alignment horizontal="center" wrapText="1"/>
    </xf>
    <xf numFmtId="171" fontId="35" fillId="0" borderId="0" xfId="20" applyNumberFormat="1" applyFont="1" applyFill="1" applyBorder="1" applyProtection="1"/>
    <xf numFmtId="169" fontId="35" fillId="0" borderId="0" xfId="19" applyNumberFormat="1" applyFont="1" applyFill="1" applyBorder="1" applyProtection="1"/>
    <xf numFmtId="0" fontId="52" fillId="0" borderId="15" xfId="18" applyFont="1" applyBorder="1" applyAlignment="1">
      <alignment wrapText="1"/>
    </xf>
    <xf numFmtId="0" fontId="52" fillId="0" borderId="19" xfId="18" applyFont="1" applyBorder="1" applyAlignment="1">
      <alignment horizontal="center" wrapText="1"/>
    </xf>
    <xf numFmtId="164" fontId="44" fillId="16" borderId="31" xfId="18" applyNumberFormat="1" applyFont="1" applyFill="1" applyBorder="1"/>
    <xf numFmtId="9" fontId="37" fillId="8" borderId="27" xfId="12" applyFont="1" applyFill="1" applyBorder="1" applyAlignment="1" applyProtection="1">
      <alignment horizontal="right" vertical="center" wrapText="1"/>
      <protection locked="0"/>
    </xf>
    <xf numFmtId="175" fontId="52" fillId="0" borderId="27" xfId="20" applyNumberFormat="1" applyFont="1" applyBorder="1" applyAlignment="1" applyProtection="1">
      <alignment vertical="center" wrapText="1"/>
    </xf>
    <xf numFmtId="0" fontId="35" fillId="0" borderId="59" xfId="18" applyFont="1" applyBorder="1" applyAlignment="1">
      <alignment vertical="center"/>
    </xf>
    <xf numFmtId="0" fontId="35" fillId="0" borderId="37" xfId="18" applyFont="1" applyBorder="1" applyAlignment="1">
      <alignment horizontal="right" vertical="center" wrapText="1"/>
    </xf>
    <xf numFmtId="2" fontId="35" fillId="0" borderId="29" xfId="18" applyNumberFormat="1" applyFont="1" applyBorder="1" applyAlignment="1">
      <alignment horizontal="right" vertical="center" wrapText="1"/>
    </xf>
    <xf numFmtId="0" fontId="35" fillId="0" borderId="60" xfId="18" applyFont="1" applyBorder="1" applyAlignment="1">
      <alignment vertical="center"/>
    </xf>
    <xf numFmtId="0" fontId="35" fillId="0" borderId="31" xfId="18" applyFont="1" applyBorder="1"/>
    <xf numFmtId="0" fontId="35" fillId="0" borderId="32" xfId="18" applyFont="1" applyBorder="1"/>
    <xf numFmtId="171" fontId="44" fillId="16" borderId="5" xfId="20" applyNumberFormat="1" applyFont="1" applyFill="1" applyBorder="1" applyAlignment="1" applyProtection="1">
      <alignment horizontal="center"/>
    </xf>
    <xf numFmtId="171" fontId="35" fillId="2" borderId="5" xfId="20" applyNumberFormat="1" applyFont="1" applyFill="1" applyBorder="1" applyAlignment="1" applyProtection="1">
      <alignment horizontal="center"/>
    </xf>
    <xf numFmtId="171" fontId="35" fillId="2" borderId="23" xfId="20" applyNumberFormat="1" applyFont="1" applyFill="1" applyBorder="1" applyAlignment="1" applyProtection="1">
      <alignment horizontal="center"/>
    </xf>
    <xf numFmtId="3" fontId="44" fillId="16" borderId="5" xfId="19" applyNumberFormat="1" applyFont="1" applyFill="1" applyBorder="1" applyAlignment="1" applyProtection="1">
      <alignment horizontal="center" wrapText="1"/>
    </xf>
    <xf numFmtId="3" fontId="44" fillId="16" borderId="5" xfId="19" applyNumberFormat="1" applyFont="1" applyFill="1" applyBorder="1" applyAlignment="1" applyProtection="1">
      <alignment horizontal="center"/>
    </xf>
    <xf numFmtId="3" fontId="35" fillId="8" borderId="5" xfId="19" applyNumberFormat="1" applyFont="1" applyFill="1" applyBorder="1" applyAlignment="1" applyProtection="1">
      <alignment horizontal="center" wrapText="1"/>
      <protection locked="0"/>
    </xf>
    <xf numFmtId="3" fontId="35" fillId="0" borderId="5" xfId="19" applyNumberFormat="1" applyFont="1" applyBorder="1" applyAlignment="1" applyProtection="1">
      <alignment horizontal="center"/>
    </xf>
    <xf numFmtId="3" fontId="35" fillId="8" borderId="23" xfId="19" applyNumberFormat="1" applyFont="1" applyFill="1" applyBorder="1" applyAlignment="1" applyProtection="1">
      <alignment horizontal="center" wrapText="1"/>
      <protection locked="0"/>
    </xf>
    <xf numFmtId="3" fontId="35" fillId="0" borderId="23" xfId="19" applyNumberFormat="1" applyFont="1" applyBorder="1" applyAlignment="1" applyProtection="1">
      <alignment horizontal="center"/>
    </xf>
    <xf numFmtId="37" fontId="35" fillId="8" borderId="5" xfId="19" applyNumberFormat="1" applyFont="1" applyFill="1" applyBorder="1" applyProtection="1"/>
    <xf numFmtId="0" fontId="52" fillId="0" borderId="29" xfId="18" applyFont="1" applyBorder="1" applyAlignment="1">
      <alignment horizontal="center" vertical="center" wrapText="1"/>
    </xf>
    <xf numFmtId="164" fontId="45" fillId="21" borderId="23" xfId="18" applyNumberFormat="1" applyFont="1" applyFill="1" applyBorder="1" applyAlignment="1" applyProtection="1">
      <alignment horizontal="right" vertical="center"/>
      <protection locked="0"/>
    </xf>
    <xf numFmtId="37" fontId="35" fillId="8" borderId="23" xfId="19" applyNumberFormat="1" applyFont="1" applyFill="1" applyBorder="1" applyProtection="1"/>
    <xf numFmtId="0" fontId="35" fillId="8" borderId="23" xfId="18" applyFont="1" applyFill="1" applyBorder="1" applyProtection="1">
      <protection locked="0"/>
    </xf>
    <xf numFmtId="0" fontId="58" fillId="0" borderId="0" xfId="18" quotePrefix="1" applyFont="1"/>
    <xf numFmtId="164" fontId="59" fillId="0" borderId="0" xfId="21" applyNumberFormat="1" applyFont="1" applyBorder="1" applyAlignment="1"/>
    <xf numFmtId="0" fontId="59" fillId="0" borderId="0" xfId="18" applyFont="1"/>
    <xf numFmtId="0" fontId="59" fillId="0" borderId="0" xfId="18" applyFont="1" applyAlignment="1">
      <alignment horizontal="center"/>
    </xf>
    <xf numFmtId="164" fontId="44" fillId="0" borderId="0" xfId="21" applyNumberFormat="1" applyFont="1" applyBorder="1" applyAlignment="1"/>
    <xf numFmtId="43" fontId="44" fillId="0" borderId="0" xfId="18" applyNumberFormat="1" applyFont="1" applyAlignment="1">
      <alignment horizontal="center"/>
    </xf>
    <xf numFmtId="0" fontId="44" fillId="0" borderId="0" xfId="18" applyFont="1" applyAlignment="1">
      <alignment horizontal="center"/>
    </xf>
    <xf numFmtId="43" fontId="44" fillId="0" borderId="0" xfId="18" applyNumberFormat="1" applyFont="1"/>
    <xf numFmtId="0" fontId="44" fillId="0" borderId="0" xfId="18" quotePrefix="1" applyFont="1"/>
    <xf numFmtId="0" fontId="60" fillId="0" borderId="0" xfId="18" applyFont="1"/>
    <xf numFmtId="169" fontId="44" fillId="0" borderId="0" xfId="19" applyNumberFormat="1" applyFont="1" applyFill="1" applyBorder="1" applyAlignment="1">
      <alignment horizontal="left"/>
    </xf>
    <xf numFmtId="169" fontId="44" fillId="0" borderId="0" xfId="18" applyNumberFormat="1" applyFont="1"/>
    <xf numFmtId="164" fontId="44" fillId="0" borderId="0" xfId="18" applyNumberFormat="1" applyFont="1"/>
    <xf numFmtId="9" fontId="59" fillId="0" borderId="0" xfId="20" applyFont="1"/>
    <xf numFmtId="164" fontId="44" fillId="0" borderId="0" xfId="20" quotePrefix="1" applyNumberFormat="1" applyFont="1"/>
    <xf numFmtId="171" fontId="44" fillId="0" borderId="0" xfId="18" applyNumberFormat="1" applyFont="1"/>
    <xf numFmtId="0" fontId="59" fillId="0" borderId="0" xfId="9" applyFont="1" applyAlignment="1">
      <alignment wrapText="1"/>
    </xf>
    <xf numFmtId="169" fontId="44" fillId="0" borderId="0" xfId="9" applyNumberFormat="1" applyFont="1"/>
    <xf numFmtId="164" fontId="44" fillId="0" borderId="0" xfId="21" applyNumberFormat="1" applyFont="1" applyBorder="1"/>
    <xf numFmtId="9" fontId="59" fillId="0" borderId="0" xfId="12" applyFont="1"/>
    <xf numFmtId="164" fontId="44" fillId="0" borderId="0" xfId="9" applyNumberFormat="1" applyFont="1"/>
    <xf numFmtId="164" fontId="44" fillId="0" borderId="0" xfId="12" quotePrefix="1" applyNumberFormat="1" applyFont="1"/>
    <xf numFmtId="171" fontId="44" fillId="0" borderId="0" xfId="9" applyNumberFormat="1" applyFont="1"/>
    <xf numFmtId="0" fontId="59" fillId="0" borderId="0" xfId="9" applyFont="1"/>
    <xf numFmtId="164" fontId="44" fillId="0" borderId="0" xfId="9" quotePrefix="1" applyNumberFormat="1" applyFont="1"/>
    <xf numFmtId="0" fontId="51" fillId="0" borderId="0" xfId="18" applyFont="1"/>
    <xf numFmtId="170" fontId="51" fillId="0" borderId="0" xfId="18" applyNumberFormat="1" applyFont="1"/>
    <xf numFmtId="0" fontId="14" fillId="0" borderId="0" xfId="6" applyProtection="1">
      <protection locked="0"/>
    </xf>
    <xf numFmtId="168" fontId="22" fillId="4" borderId="2" xfId="8" applyNumberFormat="1" applyFont="1" applyFill="1" applyBorder="1" applyAlignment="1" applyProtection="1">
      <alignment vertical="center"/>
      <protection locked="0"/>
    </xf>
    <xf numFmtId="0" fontId="26" fillId="0" borderId="0" xfId="6" applyFont="1" applyAlignment="1">
      <alignment vertical="center"/>
    </xf>
    <xf numFmtId="0" fontId="14" fillId="0" borderId="0" xfId="6" applyAlignment="1">
      <alignment horizontal="left" vertical="center"/>
    </xf>
    <xf numFmtId="14" fontId="14" fillId="4" borderId="2" xfId="6" applyNumberFormat="1" applyFill="1" applyBorder="1" applyAlignment="1" applyProtection="1">
      <alignment vertical="center"/>
      <protection locked="0"/>
    </xf>
    <xf numFmtId="165" fontId="18" fillId="0" borderId="5" xfId="6" applyNumberFormat="1" applyFont="1" applyBorder="1"/>
    <xf numFmtId="0" fontId="49" fillId="7" borderId="37" xfId="18" applyFont="1" applyFill="1" applyBorder="1" applyAlignment="1">
      <alignment horizontal="right" vertical="center" wrapText="1"/>
    </xf>
    <xf numFmtId="0" fontId="45" fillId="8" borderId="60" xfId="18" applyFont="1" applyFill="1" applyBorder="1" applyAlignment="1" applyProtection="1">
      <alignment vertical="center" wrapText="1"/>
      <protection locked="0"/>
    </xf>
    <xf numFmtId="0" fontId="45" fillId="0" borderId="29" xfId="18" applyFont="1" applyBorder="1" applyAlignment="1">
      <alignment horizontal="right" vertical="center"/>
    </xf>
    <xf numFmtId="0" fontId="49" fillId="7" borderId="68" xfId="18" applyFont="1" applyFill="1" applyBorder="1" applyAlignment="1">
      <alignment horizontal="right" vertical="center"/>
    </xf>
    <xf numFmtId="0" fontId="18" fillId="0" borderId="0" xfId="3" applyFont="1" applyAlignment="1">
      <alignment shrinkToFit="1"/>
    </xf>
    <xf numFmtId="0" fontId="35" fillId="0" borderId="0" xfId="18" applyFont="1" applyAlignment="1">
      <alignment vertical="top" wrapText="1"/>
    </xf>
    <xf numFmtId="0" fontId="49" fillId="7" borderId="34" xfId="18" applyFont="1" applyFill="1" applyBorder="1" applyAlignment="1">
      <alignment horizontal="right" vertical="center" wrapText="1"/>
    </xf>
    <xf numFmtId="0" fontId="35" fillId="0" borderId="0" xfId="18" applyFont="1" applyAlignment="1">
      <alignment vertical="center"/>
    </xf>
    <xf numFmtId="0" fontId="45" fillId="0" borderId="26" xfId="18" applyFont="1" applyBorder="1" applyAlignment="1">
      <alignment horizontal="right" vertical="center" wrapText="1"/>
    </xf>
    <xf numFmtId="0" fontId="35" fillId="0" borderId="0" xfId="18" applyFont="1" applyAlignment="1">
      <alignment vertical="top"/>
    </xf>
    <xf numFmtId="0" fontId="35" fillId="0" borderId="0" xfId="9" applyFont="1" applyAlignment="1">
      <alignment vertical="center"/>
    </xf>
    <xf numFmtId="0" fontId="52" fillId="0" borderId="37" xfId="18" applyFont="1" applyBorder="1" applyAlignment="1">
      <alignment horizontal="center" vertical="center" wrapText="1"/>
    </xf>
    <xf numFmtId="164" fontId="45" fillId="21" borderId="22" xfId="18" applyNumberFormat="1" applyFont="1" applyFill="1" applyBorder="1" applyAlignment="1" applyProtection="1">
      <alignment horizontal="right" vertical="center"/>
      <protection locked="0"/>
    </xf>
    <xf numFmtId="0" fontId="61" fillId="0" borderId="0" xfId="0" applyFont="1"/>
    <xf numFmtId="0" fontId="52" fillId="0" borderId="0" xfId="18" applyFont="1"/>
    <xf numFmtId="0" fontId="63" fillId="16" borderId="48" xfId="10" applyFont="1" applyFill="1" applyBorder="1" applyAlignment="1">
      <alignment horizontal="center" wrapText="1"/>
    </xf>
    <xf numFmtId="0" fontId="63" fillId="16" borderId="43" xfId="10" applyFont="1" applyFill="1" applyBorder="1" applyAlignment="1">
      <alignment horizontal="center" wrapText="1"/>
    </xf>
    <xf numFmtId="0" fontId="63" fillId="16" borderId="69" xfId="10" applyFont="1" applyFill="1" applyBorder="1" applyAlignment="1">
      <alignment horizontal="center" wrapText="1"/>
    </xf>
    <xf numFmtId="0" fontId="5" fillId="0" borderId="0" xfId="26"/>
    <xf numFmtId="0" fontId="65" fillId="0" borderId="0" xfId="0" applyFont="1"/>
    <xf numFmtId="177" fontId="35" fillId="0" borderId="35" xfId="18" applyNumberFormat="1" applyFont="1" applyBorder="1"/>
    <xf numFmtId="178" fontId="35" fillId="0" borderId="35" xfId="18" applyNumberFormat="1" applyFont="1" applyBorder="1"/>
    <xf numFmtId="177" fontId="37" fillId="16" borderId="61" xfId="19" applyNumberFormat="1" applyFont="1" applyFill="1" applyBorder="1" applyAlignment="1"/>
    <xf numFmtId="177" fontId="37" fillId="16" borderId="5" xfId="8" applyNumberFormat="1" applyFont="1" applyFill="1" applyBorder="1" applyAlignment="1"/>
    <xf numFmtId="178" fontId="37" fillId="16" borderId="55" xfId="19" applyNumberFormat="1" applyFont="1" applyFill="1" applyBorder="1" applyAlignment="1"/>
    <xf numFmtId="178" fontId="37" fillId="16" borderId="5" xfId="8" applyNumberFormat="1" applyFont="1" applyFill="1" applyBorder="1" applyAlignment="1"/>
    <xf numFmtId="178" fontId="37" fillId="16" borderId="23" xfId="8" applyNumberFormat="1" applyFont="1" applyFill="1" applyBorder="1" applyAlignment="1"/>
    <xf numFmtId="3" fontId="35" fillId="8" borderId="29" xfId="19" applyNumberFormat="1" applyFont="1" applyFill="1" applyBorder="1" applyAlignment="1" applyProtection="1">
      <alignment vertical="center" wrapText="1"/>
      <protection locked="0"/>
    </xf>
    <xf numFmtId="177" fontId="37" fillId="16" borderId="28" xfId="10" applyNumberFormat="1" applyFont="1" applyFill="1" applyBorder="1"/>
    <xf numFmtId="177" fontId="37" fillId="16" borderId="35" xfId="10" applyNumberFormat="1" applyFont="1" applyFill="1" applyBorder="1"/>
    <xf numFmtId="169" fontId="37" fillId="16" borderId="35" xfId="10" applyNumberFormat="1" applyFont="1" applyFill="1" applyBorder="1"/>
    <xf numFmtId="178" fontId="37" fillId="16" borderId="35" xfId="10" applyNumberFormat="1" applyFont="1" applyFill="1" applyBorder="1"/>
    <xf numFmtId="178" fontId="37" fillId="16" borderId="35" xfId="10" quotePrefix="1" applyNumberFormat="1" applyFont="1" applyFill="1" applyBorder="1"/>
    <xf numFmtId="178" fontId="37" fillId="16" borderId="52" xfId="10" applyNumberFormat="1" applyFont="1" applyFill="1" applyBorder="1"/>
    <xf numFmtId="178" fontId="37" fillId="16" borderId="24" xfId="10" applyNumberFormat="1" applyFont="1" applyFill="1" applyBorder="1"/>
    <xf numFmtId="0" fontId="4" fillId="0" borderId="0" xfId="27"/>
    <xf numFmtId="0" fontId="70" fillId="5" borderId="0" xfId="27" applyFont="1" applyFill="1"/>
    <xf numFmtId="0" fontId="4" fillId="22" borderId="0" xfId="27" applyFill="1" applyAlignment="1">
      <alignment horizontal="left"/>
    </xf>
    <xf numFmtId="0" fontId="70" fillId="5" borderId="0" xfId="27" applyFont="1" applyFill="1" applyAlignment="1">
      <alignment horizontal="left"/>
    </xf>
    <xf numFmtId="0" fontId="71" fillId="22" borderId="0" xfId="27" applyFont="1" applyFill="1" applyAlignment="1">
      <alignment horizontal="left"/>
    </xf>
    <xf numFmtId="0" fontId="70" fillId="0" borderId="0" xfId="27" applyFont="1" applyAlignment="1">
      <alignment horizontal="left"/>
    </xf>
    <xf numFmtId="0" fontId="25" fillId="0" borderId="0" xfId="7" applyAlignment="1">
      <alignment horizontal="left"/>
    </xf>
    <xf numFmtId="0" fontId="76" fillId="0" borderId="0" xfId="0" applyFont="1"/>
    <xf numFmtId="0" fontId="77" fillId="0" borderId="0" xfId="0" applyFont="1"/>
    <xf numFmtId="0" fontId="76" fillId="0" borderId="0" xfId="0" applyFont="1" applyAlignment="1">
      <alignment vertical="top" wrapText="1"/>
    </xf>
    <xf numFmtId="0" fontId="14" fillId="0" borderId="0" xfId="6" applyAlignment="1">
      <alignment vertical="center" readingOrder="1"/>
    </xf>
    <xf numFmtId="0" fontId="78" fillId="0" borderId="0" xfId="0" applyFont="1"/>
    <xf numFmtId="0" fontId="70" fillId="5" borderId="78" xfId="27" applyFont="1" applyFill="1" applyBorder="1" applyAlignment="1">
      <alignment horizontal="left"/>
    </xf>
    <xf numFmtId="14" fontId="14" fillId="4" borderId="2" xfId="6" applyNumberFormat="1" applyFill="1" applyBorder="1" applyProtection="1">
      <protection locked="0"/>
    </xf>
    <xf numFmtId="0" fontId="49" fillId="8" borderId="16" xfId="18" applyFont="1" applyFill="1" applyBorder="1" applyAlignment="1" applyProtection="1">
      <alignment vertical="center"/>
      <protection locked="0" hidden="1"/>
    </xf>
    <xf numFmtId="164" fontId="35" fillId="0" borderId="5" xfId="18" applyNumberFormat="1" applyFont="1" applyBorder="1" applyAlignment="1" applyProtection="1">
      <alignment horizontal="center" vertical="center"/>
      <protection locked="0"/>
    </xf>
    <xf numFmtId="164" fontId="35" fillId="0" borderId="27" xfId="21" applyNumberFormat="1" applyFont="1" applyFill="1" applyBorder="1" applyAlignment="1" applyProtection="1">
      <alignment horizontal="center" vertical="center" wrapText="1"/>
      <protection locked="0"/>
    </xf>
    <xf numFmtId="0" fontId="35" fillId="0" borderId="0" xfId="18" applyFont="1" applyAlignment="1">
      <alignment horizontal="left"/>
    </xf>
    <xf numFmtId="0" fontId="52" fillId="0" borderId="0" xfId="18" applyFont="1" applyAlignment="1">
      <alignment wrapText="1"/>
    </xf>
    <xf numFmtId="169" fontId="35" fillId="0" borderId="0" xfId="19" applyNumberFormat="1" applyFont="1" applyFill="1" applyBorder="1" applyAlignment="1" applyProtection="1">
      <alignment wrapText="1"/>
    </xf>
    <xf numFmtId="164" fontId="45" fillId="0" borderId="0" xfId="18" applyNumberFormat="1" applyFont="1" applyAlignment="1">
      <alignment horizontal="right" vertical="center"/>
    </xf>
    <xf numFmtId="9" fontId="35" fillId="0" borderId="0" xfId="20" applyFont="1" applyFill="1" applyBorder="1" applyProtection="1"/>
    <xf numFmtId="164" fontId="45" fillId="21" borderId="31" xfId="18" applyNumberFormat="1" applyFont="1" applyFill="1" applyBorder="1" applyAlignment="1">
      <alignment horizontal="right" vertical="center"/>
    </xf>
    <xf numFmtId="164" fontId="45" fillId="23" borderId="34" xfId="18" applyNumberFormat="1" applyFont="1" applyFill="1" applyBorder="1" applyAlignment="1">
      <alignment horizontal="right" vertical="center"/>
    </xf>
    <xf numFmtId="164" fontId="45" fillId="21" borderId="39" xfId="18" applyNumberFormat="1" applyFont="1" applyFill="1" applyBorder="1" applyAlignment="1">
      <alignment horizontal="right" vertical="center"/>
    </xf>
    <xf numFmtId="164" fontId="45" fillId="23" borderId="22" xfId="18" applyNumberFormat="1" applyFont="1" applyFill="1" applyBorder="1" applyAlignment="1">
      <alignment horizontal="right" vertical="center"/>
    </xf>
    <xf numFmtId="164" fontId="61" fillId="0" borderId="11" xfId="18" applyNumberFormat="1" applyFont="1" applyBorder="1" applyAlignment="1">
      <alignment horizontal="right" vertical="center"/>
    </xf>
    <xf numFmtId="171" fontId="52" fillId="0" borderId="0" xfId="18" applyNumberFormat="1" applyFont="1" applyAlignment="1">
      <alignment horizontal="right" vertical="center"/>
    </xf>
    <xf numFmtId="0" fontId="3" fillId="0" borderId="0" xfId="27" applyFont="1"/>
    <xf numFmtId="0" fontId="3" fillId="0" borderId="0" xfId="27" quotePrefix="1" applyFont="1"/>
    <xf numFmtId="0" fontId="18" fillId="5" borderId="12" xfId="6" applyFont="1" applyFill="1" applyBorder="1" applyAlignment="1">
      <alignment horizontal="center"/>
    </xf>
    <xf numFmtId="0" fontId="18" fillId="5" borderId="13" xfId="6" applyFont="1" applyFill="1" applyBorder="1" applyAlignment="1">
      <alignment horizontal="center"/>
    </xf>
    <xf numFmtId="0" fontId="18" fillId="5" borderId="14" xfId="6" applyFont="1" applyFill="1" applyBorder="1" applyAlignment="1">
      <alignment horizontal="center"/>
    </xf>
    <xf numFmtId="0" fontId="18" fillId="6" borderId="5" xfId="6" applyFont="1" applyFill="1" applyBorder="1" applyAlignment="1">
      <alignment horizontal="center"/>
    </xf>
    <xf numFmtId="0" fontId="14" fillId="0" borderId="5" xfId="6" applyBorder="1" applyAlignment="1">
      <alignment horizontal="center"/>
    </xf>
    <xf numFmtId="0" fontId="15" fillId="0" borderId="12" xfId="13" applyFont="1" applyBorder="1" applyAlignment="1">
      <alignment horizontal="center" vertical="center" wrapText="1"/>
    </xf>
    <xf numFmtId="0" fontId="15" fillId="0" borderId="13" xfId="13" applyFont="1" applyBorder="1" applyAlignment="1">
      <alignment horizontal="center" vertical="center" wrapText="1"/>
    </xf>
    <xf numFmtId="0" fontId="15" fillId="0" borderId="14" xfId="13"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2" fillId="0" borderId="0" xfId="24" applyFont="1" applyAlignment="1">
      <alignment horizontal="left" vertical="center" wrapText="1"/>
    </xf>
    <xf numFmtId="0" fontId="30" fillId="15" borderId="0" xfId="24" applyFont="1" applyFill="1" applyAlignment="1">
      <alignment horizontal="center" vertical="center"/>
    </xf>
    <xf numFmtId="0" fontId="29" fillId="0" borderId="5" xfId="24" applyFont="1" applyBorder="1" applyAlignment="1">
      <alignment horizontal="center" vertical="center" wrapText="1"/>
    </xf>
    <xf numFmtId="1" fontId="29" fillId="0" borderId="5" xfId="24" applyNumberFormat="1" applyFont="1" applyBorder="1" applyAlignment="1">
      <alignment horizontal="center" vertical="center" wrapText="1"/>
    </xf>
    <xf numFmtId="0" fontId="42" fillId="0" borderId="12" xfId="13" applyFont="1" applyBorder="1" applyAlignment="1">
      <alignment horizontal="center" vertical="center" wrapText="1"/>
    </xf>
    <xf numFmtId="0" fontId="42" fillId="0" borderId="13" xfId="13" applyFont="1" applyBorder="1" applyAlignment="1">
      <alignment horizontal="center" vertical="center" wrapText="1"/>
    </xf>
    <xf numFmtId="0" fontId="42" fillId="0" borderId="14" xfId="13" applyFont="1" applyBorder="1" applyAlignment="1">
      <alignment horizontal="center" vertical="center" wrapText="1"/>
    </xf>
    <xf numFmtId="0" fontId="42" fillId="0" borderId="12"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43" fillId="0" borderId="0" xfId="13" applyFont="1" applyAlignment="1">
      <alignment vertical="top" wrapText="1"/>
    </xf>
    <xf numFmtId="0" fontId="35" fillId="0" borderId="34" xfId="9" applyFont="1" applyBorder="1" applyAlignment="1">
      <alignment horizontal="right" vertical="center"/>
    </xf>
    <xf numFmtId="0" fontId="35" fillId="0" borderId="5" xfId="9" applyFont="1" applyBorder="1" applyAlignment="1">
      <alignment horizontal="right" vertical="center"/>
    </xf>
    <xf numFmtId="0" fontId="0" fillId="0" borderId="59" xfId="0" applyBorder="1" applyAlignment="1">
      <alignment horizontal="left" vertical="top" wrapText="1"/>
    </xf>
    <xf numFmtId="0" fontId="0" fillId="0" borderId="4" xfId="0" applyBorder="1" applyAlignment="1">
      <alignment horizontal="left" vertical="top" wrapText="1"/>
    </xf>
    <xf numFmtId="0" fontId="0" fillId="0" borderId="58" xfId="0" applyBorder="1" applyAlignment="1">
      <alignment horizontal="left" vertical="top" wrapText="1"/>
    </xf>
    <xf numFmtId="0" fontId="0" fillId="0" borderId="63" xfId="0" applyBorder="1" applyAlignment="1">
      <alignment horizontal="left" vertical="top" wrapText="1"/>
    </xf>
    <xf numFmtId="0" fontId="0" fillId="0" borderId="0" xfId="0" applyAlignment="1">
      <alignment horizontal="left" vertical="top" wrapText="1"/>
    </xf>
    <xf numFmtId="0" fontId="0" fillId="0" borderId="50" xfId="0" applyBorder="1" applyAlignment="1">
      <alignment horizontal="left" vertical="top" wrapText="1"/>
    </xf>
    <xf numFmtId="0" fontId="0" fillId="0" borderId="60" xfId="0" applyBorder="1" applyAlignment="1">
      <alignment horizontal="left" vertical="top" wrapText="1"/>
    </xf>
    <xf numFmtId="0" fontId="0" fillId="0" borderId="2" xfId="0" applyBorder="1" applyAlignment="1">
      <alignment horizontal="left" vertical="top" wrapText="1"/>
    </xf>
    <xf numFmtId="0" fontId="0" fillId="0" borderId="61" xfId="0" applyBorder="1" applyAlignment="1">
      <alignment horizontal="left" vertical="top" wrapText="1"/>
    </xf>
    <xf numFmtId="0" fontId="79" fillId="0" borderId="2" xfId="0" applyFont="1" applyBorder="1"/>
    <xf numFmtId="0" fontId="14" fillId="0" borderId="59" xfId="0" applyFont="1" applyBorder="1" applyAlignment="1">
      <alignment horizontal="left" vertical="top" wrapText="1"/>
    </xf>
    <xf numFmtId="0" fontId="25" fillId="0" borderId="0" xfId="7" quotePrefix="1" applyAlignment="1"/>
    <xf numFmtId="0" fontId="25" fillId="5" borderId="0" xfId="7" applyFill="1" applyAlignment="1"/>
    <xf numFmtId="0" fontId="25" fillId="22" borderId="0" xfId="7" applyFill="1" applyAlignment="1"/>
    <xf numFmtId="0" fontId="4" fillId="22" borderId="0" xfId="27" applyFill="1" applyAlignment="1">
      <alignment horizontal="left"/>
    </xf>
    <xf numFmtId="0" fontId="69" fillId="5" borderId="0" xfId="27" applyFont="1" applyFill="1"/>
    <xf numFmtId="0" fontId="70" fillId="5" borderId="0" xfId="27" applyFont="1" applyFill="1" applyAlignment="1">
      <alignment horizontal="left"/>
    </xf>
    <xf numFmtId="0" fontId="72" fillId="22" borderId="0" xfId="27" applyFont="1" applyFill="1"/>
    <xf numFmtId="0" fontId="25" fillId="22" borderId="0" xfId="7" applyFill="1" applyAlignment="1">
      <alignment horizontal="left"/>
    </xf>
    <xf numFmtId="0" fontId="2" fillId="22" borderId="0" xfId="27" applyFont="1" applyFill="1" applyAlignment="1">
      <alignment horizontal="left"/>
    </xf>
    <xf numFmtId="0" fontId="67" fillId="22" borderId="0" xfId="27" applyFont="1" applyFill="1" applyAlignment="1">
      <alignment horizontal="left"/>
    </xf>
    <xf numFmtId="0" fontId="68" fillId="5" borderId="0" xfId="27" applyFont="1" applyFill="1" applyAlignment="1">
      <alignment horizontal="left"/>
    </xf>
    <xf numFmtId="0" fontId="25" fillId="5" borderId="0" xfId="7" applyFill="1" applyAlignment="1">
      <alignment horizontal="left"/>
    </xf>
    <xf numFmtId="0" fontId="4" fillId="22" borderId="0" xfId="27" applyFill="1" applyAlignment="1">
      <alignment horizontal="center"/>
    </xf>
    <xf numFmtId="0" fontId="4" fillId="22" borderId="0" xfId="27" applyFill="1"/>
    <xf numFmtId="0" fontId="4" fillId="22" borderId="78" xfId="27" applyFill="1" applyBorder="1" applyAlignment="1">
      <alignment horizontal="left"/>
    </xf>
    <xf numFmtId="0" fontId="76" fillId="0" borderId="0" xfId="0" applyFont="1" applyAlignment="1">
      <alignment vertical="top" wrapText="1"/>
    </xf>
    <xf numFmtId="0" fontId="14" fillId="4" borderId="2" xfId="6" applyFill="1" applyBorder="1" applyProtection="1">
      <protection locked="0"/>
    </xf>
    <xf numFmtId="0" fontId="49" fillId="4" borderId="2" xfId="6" applyFont="1" applyFill="1" applyBorder="1" applyAlignment="1" applyProtection="1">
      <alignment horizontal="center"/>
      <protection locked="0" hidden="1"/>
    </xf>
    <xf numFmtId="0" fontId="14" fillId="4" borderId="2" xfId="6" applyFill="1" applyBorder="1" applyAlignment="1" applyProtection="1">
      <alignment vertical="center"/>
      <protection locked="0"/>
    </xf>
    <xf numFmtId="0" fontId="19" fillId="0" borderId="0" xfId="6" applyFont="1" applyAlignment="1">
      <alignment horizontal="left"/>
    </xf>
    <xf numFmtId="3" fontId="22" fillId="4" borderId="2" xfId="8" applyNumberFormat="1" applyFont="1" applyFill="1" applyBorder="1" applyAlignment="1" applyProtection="1">
      <alignment horizontal="center" vertical="center"/>
      <protection locked="0"/>
    </xf>
    <xf numFmtId="0" fontId="14" fillId="0" borderId="0" xfId="6" applyAlignment="1">
      <alignment horizontal="left" wrapText="1"/>
    </xf>
    <xf numFmtId="0" fontId="14" fillId="0" borderId="0" xfId="6" applyAlignment="1">
      <alignment horizontal="left" vertical="top" wrapText="1"/>
    </xf>
    <xf numFmtId="0" fontId="14" fillId="4" borderId="77" xfId="6" applyFill="1" applyBorder="1" applyAlignment="1" applyProtection="1">
      <alignment vertical="center"/>
      <protection locked="0"/>
    </xf>
    <xf numFmtId="0" fontId="0" fillId="4" borderId="59" xfId="0" applyFill="1" applyBorder="1" applyAlignment="1" applyProtection="1">
      <alignment vertical="top" wrapText="1"/>
      <protection locked="0"/>
    </xf>
    <xf numFmtId="0" fontId="0" fillId="4" borderId="4" xfId="0" applyFill="1" applyBorder="1" applyAlignment="1" applyProtection="1">
      <alignment vertical="top" wrapText="1"/>
      <protection locked="0"/>
    </xf>
    <xf numFmtId="0" fontId="0" fillId="4" borderId="58" xfId="0" applyFill="1" applyBorder="1" applyAlignment="1" applyProtection="1">
      <alignment vertical="top" wrapText="1"/>
      <protection locked="0"/>
    </xf>
    <xf numFmtId="0" fontId="0" fillId="4" borderId="63" xfId="0" applyFill="1" applyBorder="1" applyAlignment="1" applyProtection="1">
      <alignment vertical="top" wrapText="1"/>
      <protection locked="0"/>
    </xf>
    <xf numFmtId="0" fontId="0" fillId="4" borderId="0" xfId="0" applyFill="1" applyAlignment="1" applyProtection="1">
      <alignment vertical="top" wrapText="1"/>
      <protection locked="0"/>
    </xf>
    <xf numFmtId="0" fontId="0" fillId="4" borderId="50" xfId="0" applyFill="1" applyBorder="1" applyAlignment="1" applyProtection="1">
      <alignment vertical="top" wrapText="1"/>
      <protection locked="0"/>
    </xf>
    <xf numFmtId="0" fontId="0" fillId="4" borderId="60" xfId="0" applyFill="1" applyBorder="1" applyAlignment="1" applyProtection="1">
      <alignment vertical="top" wrapText="1"/>
      <protection locked="0"/>
    </xf>
    <xf numFmtId="0" fontId="0" fillId="4" borderId="2" xfId="0" applyFill="1" applyBorder="1" applyAlignment="1" applyProtection="1">
      <alignment vertical="top" wrapText="1"/>
      <protection locked="0"/>
    </xf>
    <xf numFmtId="0" fontId="0" fillId="4" borderId="61" xfId="0" applyFill="1" applyBorder="1" applyAlignment="1" applyProtection="1">
      <alignment vertical="top" wrapText="1"/>
      <protection locked="0"/>
    </xf>
    <xf numFmtId="0" fontId="26" fillId="0" borderId="0" xfId="6" applyFont="1" applyAlignment="1">
      <alignment horizontal="center"/>
    </xf>
    <xf numFmtId="0" fontId="14" fillId="4" borderId="0" xfId="6" applyFill="1" applyAlignment="1" applyProtection="1">
      <alignment vertical="top" wrapText="1"/>
      <protection locked="0"/>
    </xf>
    <xf numFmtId="0" fontId="14" fillId="0" borderId="0" xfId="6" applyAlignment="1">
      <alignment horizontal="left"/>
    </xf>
    <xf numFmtId="0" fontId="18" fillId="0" borderId="0" xfId="6" applyFont="1" applyAlignment="1">
      <alignment horizontal="left"/>
    </xf>
    <xf numFmtId="0" fontId="14" fillId="0" borderId="0" xfId="6" applyAlignment="1">
      <alignment horizontal="left" vertical="center" wrapText="1"/>
    </xf>
    <xf numFmtId="0" fontId="18" fillId="0" borderId="0" xfId="6" applyFont="1" applyAlignment="1">
      <alignment horizontal="left" wrapText="1"/>
    </xf>
    <xf numFmtId="0" fontId="0" fillId="4" borderId="31" xfId="0" applyFill="1" applyBorder="1" applyAlignment="1" applyProtection="1">
      <alignment vertical="top" wrapText="1"/>
      <protection locked="0"/>
    </xf>
    <xf numFmtId="0" fontId="0" fillId="4" borderId="3" xfId="0" applyFill="1" applyBorder="1" applyAlignment="1" applyProtection="1">
      <alignment vertical="top" wrapText="1"/>
      <protection locked="0"/>
    </xf>
    <xf numFmtId="0" fontId="0" fillId="4" borderId="55" xfId="0" applyFill="1" applyBorder="1" applyAlignment="1" applyProtection="1">
      <alignment vertical="top" wrapText="1"/>
      <protection locked="0"/>
    </xf>
    <xf numFmtId="0" fontId="14" fillId="0" borderId="0" xfId="6" applyAlignment="1">
      <alignment horizontal="left" vertical="center"/>
    </xf>
    <xf numFmtId="0" fontId="35" fillId="8" borderId="34" xfId="18" applyFont="1" applyFill="1" applyBorder="1" applyAlignment="1" applyProtection="1">
      <alignment horizontal="left"/>
      <protection locked="0"/>
    </xf>
    <xf numFmtId="0" fontId="35" fillId="8" borderId="5" xfId="18" applyFont="1" applyFill="1" applyBorder="1" applyAlignment="1" applyProtection="1">
      <alignment horizontal="left"/>
      <protection locked="0"/>
    </xf>
    <xf numFmtId="0" fontId="37" fillId="16" borderId="34" xfId="10" applyFont="1" applyFill="1" applyBorder="1" applyAlignment="1">
      <alignment wrapText="1"/>
    </xf>
    <xf numFmtId="0" fontId="37" fillId="16" borderId="5" xfId="10" applyFont="1" applyFill="1" applyBorder="1" applyAlignment="1">
      <alignment wrapText="1"/>
    </xf>
    <xf numFmtId="0" fontId="37" fillId="16" borderId="37" xfId="10" applyFont="1" applyFill="1" applyBorder="1" applyAlignment="1">
      <alignment wrapText="1"/>
    </xf>
    <xf numFmtId="0" fontId="37" fillId="16" borderId="2" xfId="10" applyFont="1" applyFill="1" applyBorder="1" applyAlignment="1">
      <alignment wrapText="1"/>
    </xf>
    <xf numFmtId="0" fontId="37" fillId="16" borderId="61" xfId="10" applyFont="1" applyFill="1" applyBorder="1" applyAlignment="1">
      <alignment wrapText="1"/>
    </xf>
    <xf numFmtId="0" fontId="63" fillId="16" borderId="47" xfId="10" applyFont="1" applyFill="1" applyBorder="1" applyAlignment="1">
      <alignment horizontal="left" wrapText="1"/>
    </xf>
    <xf numFmtId="0" fontId="63" fillId="16" borderId="48" xfId="10" applyFont="1" applyFill="1" applyBorder="1" applyAlignment="1">
      <alignment horizontal="left" wrapText="1"/>
    </xf>
    <xf numFmtId="0" fontId="49" fillId="0" borderId="13" xfId="10" applyFont="1" applyBorder="1" applyAlignment="1">
      <alignment horizontal="center"/>
    </xf>
    <xf numFmtId="0" fontId="49" fillId="0" borderId="14" xfId="10" applyFont="1" applyBorder="1" applyAlignment="1">
      <alignment horizontal="center"/>
    </xf>
    <xf numFmtId="0" fontId="35" fillId="0" borderId="11" xfId="18" applyFont="1" applyBorder="1" applyAlignment="1" applyProtection="1">
      <alignment vertical="top" wrapText="1"/>
      <protection locked="0"/>
    </xf>
    <xf numFmtId="0" fontId="35" fillId="0" borderId="0" xfId="18" applyFont="1" applyAlignment="1" applyProtection="1">
      <alignment vertical="top" wrapText="1"/>
      <protection locked="0"/>
    </xf>
    <xf numFmtId="0" fontId="35" fillId="0" borderId="10" xfId="18" applyFont="1" applyBorder="1" applyAlignment="1" applyProtection="1">
      <alignment vertical="top" wrapText="1"/>
      <protection locked="0"/>
    </xf>
    <xf numFmtId="0" fontId="35" fillId="0" borderId="15" xfId="18" applyFont="1" applyBorder="1" applyAlignment="1" applyProtection="1">
      <alignment vertical="top" wrapText="1"/>
      <protection locked="0"/>
    </xf>
    <xf numFmtId="0" fontId="35" fillId="0" borderId="6" xfId="18" applyFont="1" applyBorder="1" applyAlignment="1" applyProtection="1">
      <alignment vertical="top" wrapText="1"/>
      <protection locked="0"/>
    </xf>
    <xf numFmtId="0" fontId="35" fillId="0" borderId="17" xfId="18" applyFont="1" applyBorder="1" applyAlignment="1" applyProtection="1">
      <alignment vertical="top" wrapText="1"/>
      <protection locked="0"/>
    </xf>
    <xf numFmtId="0" fontId="45" fillId="0" borderId="7" xfId="18" applyFont="1" applyBorder="1" applyAlignment="1" applyProtection="1">
      <alignment vertical="top" wrapText="1"/>
      <protection locked="0"/>
    </xf>
    <xf numFmtId="0" fontId="45" fillId="0" borderId="8" xfId="18" applyFont="1" applyBorder="1" applyAlignment="1" applyProtection="1">
      <alignment vertical="top" wrapText="1"/>
      <protection locked="0"/>
    </xf>
    <xf numFmtId="0" fontId="45" fillId="0" borderId="18" xfId="18" applyFont="1" applyBorder="1" applyAlignment="1" applyProtection="1">
      <alignment vertical="top" wrapText="1"/>
      <protection locked="0"/>
    </xf>
    <xf numFmtId="0" fontId="32" fillId="0" borderId="60" xfId="18" applyFont="1" applyBorder="1" applyAlignment="1">
      <alignment horizontal="left"/>
    </xf>
    <xf numFmtId="0" fontId="32" fillId="0" borderId="2" xfId="18" applyFont="1" applyBorder="1" applyAlignment="1">
      <alignment horizontal="left"/>
    </xf>
    <xf numFmtId="0" fontId="32" fillId="0" borderId="61" xfId="18" applyFont="1" applyBorder="1" applyAlignment="1">
      <alignment horizontal="left"/>
    </xf>
    <xf numFmtId="0" fontId="37" fillId="16" borderId="33" xfId="10" applyFont="1" applyFill="1" applyBorder="1" applyAlignment="1">
      <alignment wrapText="1"/>
    </xf>
    <xf numFmtId="0" fontId="37" fillId="16" borderId="3" xfId="10" applyFont="1" applyFill="1" applyBorder="1" applyAlignment="1">
      <alignment wrapText="1"/>
    </xf>
    <xf numFmtId="0" fontId="37" fillId="16" borderId="55" xfId="10" applyFont="1" applyFill="1" applyBorder="1" applyAlignment="1">
      <alignment wrapText="1"/>
    </xf>
    <xf numFmtId="0" fontId="37" fillId="16" borderId="22" xfId="10" applyFont="1" applyFill="1" applyBorder="1" applyAlignment="1">
      <alignment wrapText="1"/>
    </xf>
    <xf numFmtId="0" fontId="37" fillId="16" borderId="23" xfId="10" applyFont="1" applyFill="1" applyBorder="1" applyAlignment="1">
      <alignment wrapText="1"/>
    </xf>
    <xf numFmtId="0" fontId="28" fillId="18" borderId="12" xfId="10" applyFont="1" applyFill="1" applyBorder="1" applyAlignment="1">
      <alignment horizontal="center"/>
    </xf>
    <xf numFmtId="0" fontId="28" fillId="18" borderId="13" xfId="10" applyFont="1" applyFill="1" applyBorder="1" applyAlignment="1">
      <alignment horizontal="center"/>
    </xf>
    <xf numFmtId="0" fontId="28" fillId="18" borderId="14" xfId="10" applyFont="1" applyFill="1" applyBorder="1" applyAlignment="1">
      <alignment horizontal="center"/>
    </xf>
    <xf numFmtId="14" fontId="28" fillId="18" borderId="13" xfId="10" applyNumberFormat="1" applyFont="1" applyFill="1" applyBorder="1" applyAlignment="1">
      <alignment horizontal="right"/>
    </xf>
    <xf numFmtId="14" fontId="28" fillId="18" borderId="14" xfId="10" applyNumberFormat="1" applyFont="1" applyFill="1" applyBorder="1" applyAlignment="1">
      <alignment horizontal="right"/>
    </xf>
    <xf numFmtId="0" fontId="35" fillId="8" borderId="53" xfId="18" applyFont="1" applyFill="1" applyBorder="1" applyAlignment="1" applyProtection="1">
      <alignment horizontal="left" vertical="center"/>
      <protection locked="0"/>
    </xf>
    <xf numFmtId="0" fontId="35" fillId="8" borderId="54" xfId="18" applyFont="1" applyFill="1" applyBorder="1" applyAlignment="1" applyProtection="1">
      <alignment horizontal="left" vertical="center"/>
      <protection locked="0"/>
    </xf>
    <xf numFmtId="0" fontId="35" fillId="8" borderId="5" xfId="9" applyFont="1" applyFill="1" applyBorder="1" applyAlignment="1" applyProtection="1">
      <alignment horizontal="left" vertical="center"/>
      <protection locked="0"/>
    </xf>
    <xf numFmtId="0" fontId="35" fillId="8" borderId="35" xfId="9" applyFont="1" applyFill="1" applyBorder="1" applyAlignment="1" applyProtection="1">
      <alignment horizontal="left" vertical="center"/>
      <protection locked="0"/>
    </xf>
    <xf numFmtId="0" fontId="35" fillId="9" borderId="7" xfId="18" applyFont="1" applyFill="1" applyBorder="1" applyAlignment="1">
      <alignment horizontal="left" vertical="center" wrapText="1"/>
    </xf>
    <xf numFmtId="0" fontId="35" fillId="9" borderId="8" xfId="18" applyFont="1" applyFill="1" applyBorder="1" applyAlignment="1">
      <alignment horizontal="left" vertical="center" wrapText="1"/>
    </xf>
    <xf numFmtId="0" fontId="35" fillId="9" borderId="18" xfId="18" applyFont="1" applyFill="1" applyBorder="1" applyAlignment="1">
      <alignment horizontal="left" vertical="center" wrapText="1"/>
    </xf>
    <xf numFmtId="0" fontId="35" fillId="9" borderId="11" xfId="18" applyFont="1" applyFill="1" applyBorder="1" applyAlignment="1">
      <alignment horizontal="left" vertical="center" wrapText="1"/>
    </xf>
    <xf numFmtId="0" fontId="35" fillId="9" borderId="0" xfId="18" applyFont="1" applyFill="1" applyAlignment="1">
      <alignment horizontal="left" vertical="center" wrapText="1"/>
    </xf>
    <xf numFmtId="0" fontId="35" fillId="9" borderId="10" xfId="18" applyFont="1" applyFill="1" applyBorder="1" applyAlignment="1">
      <alignment horizontal="left" vertical="center" wrapText="1"/>
    </xf>
    <xf numFmtId="0" fontId="35" fillId="9" borderId="15" xfId="18" applyFont="1" applyFill="1" applyBorder="1" applyAlignment="1">
      <alignment horizontal="left" vertical="center" wrapText="1"/>
    </xf>
    <xf numFmtId="0" fontId="35" fillId="9" borderId="6" xfId="18" applyFont="1" applyFill="1" applyBorder="1" applyAlignment="1">
      <alignment horizontal="left" vertical="center" wrapText="1"/>
    </xf>
    <xf numFmtId="0" fontId="35" fillId="9" borderId="17" xfId="18" applyFont="1" applyFill="1" applyBorder="1" applyAlignment="1">
      <alignment horizontal="left" vertical="center" wrapText="1"/>
    </xf>
    <xf numFmtId="0" fontId="30" fillId="19" borderId="12" xfId="10" applyFont="1" applyFill="1" applyBorder="1" applyAlignment="1">
      <alignment horizontal="center" vertical="center"/>
    </xf>
    <xf numFmtId="0" fontId="30" fillId="19" borderId="13" xfId="10" applyFont="1" applyFill="1" applyBorder="1" applyAlignment="1">
      <alignment horizontal="center" vertical="center"/>
    </xf>
    <xf numFmtId="0" fontId="30" fillId="19" borderId="14" xfId="10" applyFont="1" applyFill="1" applyBorder="1" applyAlignment="1">
      <alignment horizontal="center" vertical="center"/>
    </xf>
    <xf numFmtId="0" fontId="35" fillId="0" borderId="75" xfId="18" applyFont="1" applyBorder="1" applyAlignment="1">
      <alignment horizontal="right" vertical="center"/>
    </xf>
    <xf numFmtId="0" fontId="35" fillId="0" borderId="76" xfId="18" applyFont="1" applyBorder="1" applyAlignment="1">
      <alignment horizontal="right" vertical="center"/>
    </xf>
    <xf numFmtId="164" fontId="44" fillId="16" borderId="33" xfId="18" applyNumberFormat="1" applyFont="1" applyFill="1" applyBorder="1" applyAlignment="1">
      <alignment horizontal="center"/>
    </xf>
    <xf numFmtId="164" fontId="44" fillId="16" borderId="3" xfId="18" applyNumberFormat="1" applyFont="1" applyFill="1" applyBorder="1" applyAlignment="1">
      <alignment horizontal="center"/>
    </xf>
    <xf numFmtId="164" fontId="44" fillId="16" borderId="32" xfId="18" applyNumberFormat="1" applyFont="1" applyFill="1" applyBorder="1" applyAlignment="1">
      <alignment horizontal="center"/>
    </xf>
    <xf numFmtId="0" fontId="30" fillId="19" borderId="12" xfId="10" applyFont="1" applyFill="1" applyBorder="1" applyAlignment="1">
      <alignment horizontal="center"/>
    </xf>
    <xf numFmtId="0" fontId="30" fillId="19" borderId="13" xfId="10" applyFont="1" applyFill="1" applyBorder="1" applyAlignment="1">
      <alignment horizontal="center"/>
    </xf>
    <xf numFmtId="0" fontId="30" fillId="19" borderId="14" xfId="10" applyFont="1" applyFill="1" applyBorder="1" applyAlignment="1">
      <alignment horizontal="center"/>
    </xf>
    <xf numFmtId="0" fontId="35" fillId="0" borderId="11" xfId="9" applyFont="1" applyBorder="1" applyAlignment="1">
      <alignment horizontal="right" vertical="center"/>
    </xf>
    <xf numFmtId="0" fontId="35" fillId="0" borderId="0" xfId="9" applyFont="1" applyAlignment="1">
      <alignment horizontal="right" vertical="center"/>
    </xf>
    <xf numFmtId="0" fontId="52" fillId="0" borderId="19" xfId="18" applyFont="1" applyBorder="1" applyAlignment="1">
      <alignment horizontal="center" vertical="center" wrapText="1"/>
    </xf>
    <xf numFmtId="0" fontId="52" fillId="0" borderId="21" xfId="18" applyFont="1" applyBorder="1" applyAlignment="1">
      <alignment horizontal="center" vertical="center" wrapText="1"/>
    </xf>
    <xf numFmtId="0" fontId="52" fillId="0" borderId="39" xfId="18" applyFont="1" applyBorder="1"/>
    <xf numFmtId="0" fontId="52" fillId="0" borderId="65" xfId="18" applyFont="1" applyBorder="1"/>
    <xf numFmtId="0" fontId="35" fillId="8" borderId="23" xfId="9" applyFont="1" applyFill="1" applyBorder="1" applyAlignment="1" applyProtection="1">
      <alignment horizontal="left" vertical="center"/>
      <protection locked="0"/>
    </xf>
    <xf numFmtId="0" fontId="35" fillId="8" borderId="24" xfId="9" applyFont="1" applyFill="1" applyBorder="1" applyAlignment="1" applyProtection="1">
      <alignment horizontal="left" vertical="center"/>
      <protection locked="0"/>
    </xf>
    <xf numFmtId="0" fontId="52" fillId="0" borderId="56" xfId="18" applyFont="1" applyBorder="1" applyAlignment="1">
      <alignment horizontal="left" wrapText="1"/>
    </xf>
    <xf numFmtId="0" fontId="52" fillId="0" borderId="53" xfId="18" applyFont="1" applyBorder="1" applyAlignment="1">
      <alignment horizontal="left" wrapText="1"/>
    </xf>
    <xf numFmtId="0" fontId="35" fillId="16" borderId="11" xfId="18" applyFont="1" applyFill="1" applyBorder="1" applyAlignment="1">
      <alignment horizontal="right"/>
    </xf>
    <xf numFmtId="0" fontId="35" fillId="16" borderId="0" xfId="18" applyFont="1" applyFill="1" applyAlignment="1">
      <alignment horizontal="right"/>
    </xf>
    <xf numFmtId="0" fontId="35" fillId="16" borderId="50" xfId="18" applyFont="1" applyFill="1" applyBorder="1" applyAlignment="1">
      <alignment horizontal="right"/>
    </xf>
    <xf numFmtId="0" fontId="35" fillId="8" borderId="22" xfId="18" applyFont="1" applyFill="1" applyBorder="1" applyAlignment="1" applyProtection="1">
      <alignment horizontal="left"/>
      <protection locked="0"/>
    </xf>
    <xf numFmtId="0" fontId="35" fillId="8" borderId="23" xfId="18" applyFont="1" applyFill="1" applyBorder="1" applyAlignment="1" applyProtection="1">
      <alignment horizontal="left"/>
      <protection locked="0"/>
    </xf>
    <xf numFmtId="0" fontId="30" fillId="19" borderId="12" xfId="18" applyFont="1" applyFill="1" applyBorder="1" applyAlignment="1">
      <alignment horizontal="center" wrapText="1"/>
    </xf>
    <xf numFmtId="0" fontId="30" fillId="19" borderId="14" xfId="18" applyFont="1" applyFill="1" applyBorder="1" applyAlignment="1">
      <alignment horizontal="center" wrapText="1"/>
    </xf>
    <xf numFmtId="0" fontId="53" fillId="20" borderId="12" xfId="18" applyFont="1" applyFill="1" applyBorder="1" applyAlignment="1">
      <alignment horizontal="center" wrapText="1"/>
    </xf>
    <xf numFmtId="0" fontId="53" fillId="20" borderId="13" xfId="18" applyFont="1" applyFill="1" applyBorder="1" applyAlignment="1">
      <alignment horizontal="center" wrapText="1"/>
    </xf>
    <xf numFmtId="0" fontId="53" fillId="20" borderId="14" xfId="18" applyFont="1" applyFill="1" applyBorder="1" applyAlignment="1">
      <alignment horizontal="center" wrapText="1"/>
    </xf>
    <xf numFmtId="0" fontId="52" fillId="0" borderId="20" xfId="18" applyFont="1" applyBorder="1" applyAlignment="1">
      <alignment horizontal="center" wrapText="1"/>
    </xf>
    <xf numFmtId="0" fontId="52" fillId="0" borderId="21" xfId="18" applyFont="1" applyBorder="1" applyAlignment="1">
      <alignment horizontal="center" wrapText="1"/>
    </xf>
    <xf numFmtId="0" fontId="52" fillId="0" borderId="19" xfId="18" applyFont="1" applyBorder="1" applyAlignment="1">
      <alignment horizontal="center" wrapText="1"/>
    </xf>
    <xf numFmtId="0" fontId="52" fillId="0" borderId="1" xfId="18" applyFont="1" applyBorder="1" applyAlignment="1">
      <alignment horizontal="center" wrapText="1"/>
    </xf>
    <xf numFmtId="0" fontId="35" fillId="8" borderId="31" xfId="18" applyFont="1" applyFill="1" applyBorder="1" applyProtection="1">
      <protection locked="0"/>
    </xf>
    <xf numFmtId="0" fontId="35" fillId="8" borderId="3" xfId="18" applyFont="1" applyFill="1" applyBorder="1" applyProtection="1">
      <protection locked="0"/>
    </xf>
    <xf numFmtId="0" fontId="35" fillId="8" borderId="32" xfId="18" applyFont="1" applyFill="1" applyBorder="1" applyProtection="1">
      <protection locked="0"/>
    </xf>
    <xf numFmtId="0" fontId="35" fillId="8" borderId="39" xfId="18" applyFont="1" applyFill="1" applyBorder="1" applyProtection="1">
      <protection locked="0"/>
    </xf>
    <xf numFmtId="0" fontId="35" fillId="8" borderId="74" xfId="18" applyFont="1" applyFill="1" applyBorder="1" applyProtection="1">
      <protection locked="0"/>
    </xf>
    <xf numFmtId="0" fontId="35" fillId="8" borderId="65" xfId="18" applyFont="1" applyFill="1" applyBorder="1" applyProtection="1">
      <protection locked="0"/>
    </xf>
    <xf numFmtId="0" fontId="29" fillId="0" borderId="12" xfId="18" applyFont="1" applyBorder="1" applyAlignment="1">
      <alignment horizontal="left" vertical="center" wrapText="1"/>
    </xf>
    <xf numFmtId="0" fontId="29" fillId="0" borderId="13" xfId="18" applyFont="1" applyBorder="1" applyAlignment="1">
      <alignment horizontal="left" vertical="center" wrapText="1"/>
    </xf>
    <xf numFmtId="0" fontId="29" fillId="0" borderId="14" xfId="18" applyFont="1" applyBorder="1" applyAlignment="1">
      <alignment horizontal="left" vertical="center" wrapText="1"/>
    </xf>
    <xf numFmtId="0" fontId="49" fillId="0" borderId="2" xfId="6" applyFont="1" applyBorder="1" applyAlignment="1">
      <alignment horizontal="center"/>
    </xf>
    <xf numFmtId="0" fontId="54" fillId="4" borderId="31" xfId="5" applyFont="1" applyFill="1" applyBorder="1" applyAlignment="1">
      <alignment horizontal="left"/>
    </xf>
    <xf numFmtId="0" fontId="54" fillId="4" borderId="3" xfId="5" applyFont="1" applyFill="1" applyBorder="1" applyAlignment="1">
      <alignment horizontal="left"/>
    </xf>
    <xf numFmtId="0" fontId="35" fillId="4" borderId="31" xfId="22" applyFont="1" applyFill="1" applyBorder="1" applyAlignment="1">
      <alignment horizontal="center"/>
    </xf>
    <xf numFmtId="0" fontId="35" fillId="4" borderId="3" xfId="22" applyFont="1" applyFill="1" applyBorder="1" applyAlignment="1">
      <alignment horizontal="center"/>
    </xf>
    <xf numFmtId="0" fontId="35" fillId="4" borderId="55" xfId="22" applyFont="1" applyFill="1" applyBorder="1" applyAlignment="1">
      <alignment horizontal="center"/>
    </xf>
    <xf numFmtId="0" fontId="45" fillId="0" borderId="54" xfId="22" applyFont="1" applyBorder="1" applyAlignment="1">
      <alignment horizontal="center" vertical="center" wrapText="1"/>
    </xf>
    <xf numFmtId="0" fontId="45" fillId="0" borderId="24" xfId="22" applyFont="1" applyBorder="1" applyAlignment="1">
      <alignment horizontal="center" vertical="center"/>
    </xf>
    <xf numFmtId="0" fontId="45" fillId="0" borderId="46" xfId="22" applyFont="1" applyBorder="1" applyAlignment="1">
      <alignment horizontal="center" vertical="center"/>
    </xf>
    <xf numFmtId="0" fontId="45" fillId="0" borderId="44" xfId="22" applyFont="1" applyBorder="1" applyAlignment="1">
      <alignment horizontal="center" vertical="center"/>
    </xf>
    <xf numFmtId="0" fontId="45" fillId="0" borderId="66" xfId="22" applyFont="1" applyBorder="1" applyAlignment="1">
      <alignment horizontal="center" vertical="center"/>
    </xf>
    <xf numFmtId="0" fontId="45" fillId="0" borderId="51" xfId="22" applyFont="1" applyBorder="1" applyAlignment="1">
      <alignment horizontal="center" vertical="center" wrapText="1"/>
    </xf>
    <xf numFmtId="0" fontId="45" fillId="0" borderId="40" xfId="22" applyFont="1" applyBorder="1" applyAlignment="1">
      <alignment horizontal="center" vertical="center" wrapText="1"/>
    </xf>
    <xf numFmtId="0" fontId="45" fillId="0" borderId="19" xfId="22" applyFont="1" applyBorder="1" applyAlignment="1">
      <alignment horizontal="center"/>
    </xf>
    <xf numFmtId="0" fontId="45" fillId="0" borderId="1" xfId="22" applyFont="1" applyBorder="1" applyAlignment="1">
      <alignment horizontal="center"/>
    </xf>
    <xf numFmtId="0" fontId="45" fillId="0" borderId="62" xfId="22" applyFont="1" applyBorder="1" applyAlignment="1">
      <alignment horizontal="center"/>
    </xf>
    <xf numFmtId="0" fontId="45" fillId="0" borderId="47" xfId="22" applyFont="1" applyBorder="1" applyAlignment="1">
      <alignment horizontal="center"/>
    </xf>
    <xf numFmtId="0" fontId="45" fillId="0" borderId="48" xfId="22" applyFont="1" applyBorder="1" applyAlignment="1">
      <alignment horizontal="center"/>
    </xf>
    <xf numFmtId="0" fontId="45" fillId="0" borderId="69" xfId="22" applyFont="1" applyBorder="1" applyAlignment="1">
      <alignment horizontal="center"/>
    </xf>
    <xf numFmtId="0" fontId="14" fillId="4" borderId="31" xfId="6" applyFill="1" applyBorder="1" applyAlignment="1">
      <alignment horizontal="left" vertical="top" wrapText="1"/>
    </xf>
    <xf numFmtId="0" fontId="14" fillId="4" borderId="32" xfId="6" applyFill="1" applyBorder="1" applyAlignment="1">
      <alignment horizontal="left" vertical="top" wrapText="1"/>
    </xf>
    <xf numFmtId="0" fontId="36" fillId="4" borderId="0" xfId="6" applyFont="1" applyFill="1" applyAlignment="1">
      <alignment horizontal="right"/>
    </xf>
    <xf numFmtId="0" fontId="38" fillId="11" borderId="42" xfId="6" applyFont="1" applyFill="1" applyBorder="1" applyAlignment="1">
      <alignment horizontal="center"/>
    </xf>
    <xf numFmtId="0" fontId="38" fillId="11" borderId="6" xfId="6" applyFont="1" applyFill="1" applyBorder="1" applyAlignment="1">
      <alignment horizontal="center"/>
    </xf>
    <xf numFmtId="0" fontId="38" fillId="11" borderId="17" xfId="6" applyFont="1" applyFill="1" applyBorder="1" applyAlignment="1">
      <alignment horizontal="center"/>
    </xf>
    <xf numFmtId="0" fontId="18" fillId="0" borderId="12" xfId="6" applyFont="1" applyBorder="1" applyAlignment="1">
      <alignment horizontal="center"/>
    </xf>
    <xf numFmtId="0" fontId="18" fillId="0" borderId="13" xfId="6" applyFont="1" applyBorder="1" applyAlignment="1">
      <alignment horizontal="center"/>
    </xf>
    <xf numFmtId="0" fontId="18" fillId="0" borderId="14" xfId="6" applyFont="1" applyBorder="1" applyAlignment="1">
      <alignment horizontal="center"/>
    </xf>
    <xf numFmtId="0" fontId="14" fillId="4" borderId="60" xfId="6" applyFill="1" applyBorder="1" applyAlignment="1">
      <alignment horizontal="left" vertical="top" wrapText="1"/>
    </xf>
    <xf numFmtId="0" fontId="14" fillId="4" borderId="36" xfId="6" applyFill="1" applyBorder="1" applyAlignment="1">
      <alignment horizontal="left" vertical="top" wrapText="1"/>
    </xf>
    <xf numFmtId="0" fontId="14" fillId="4" borderId="59" xfId="6" applyFill="1" applyBorder="1" applyAlignment="1">
      <alignment horizontal="left" vertical="top" wrapText="1"/>
    </xf>
    <xf numFmtId="0" fontId="14" fillId="4" borderId="38" xfId="6" applyFill="1" applyBorder="1" applyAlignment="1">
      <alignment horizontal="left" vertical="top" wrapText="1"/>
    </xf>
    <xf numFmtId="0" fontId="15" fillId="0" borderId="12" xfId="6" applyFont="1" applyBorder="1" applyAlignment="1">
      <alignment horizontal="right"/>
    </xf>
    <xf numFmtId="0" fontId="15" fillId="0" borderId="13" xfId="6" applyFont="1" applyBorder="1" applyAlignment="1">
      <alignment horizontal="right"/>
    </xf>
    <xf numFmtId="0" fontId="15" fillId="0" borderId="14" xfId="6" applyFont="1" applyBorder="1" applyAlignment="1">
      <alignment horizontal="right"/>
    </xf>
    <xf numFmtId="0" fontId="14" fillId="4" borderId="3" xfId="6" applyFill="1" applyBorder="1" applyAlignment="1">
      <alignment horizontal="left" vertical="top" wrapText="1"/>
    </xf>
    <xf numFmtId="0" fontId="14" fillId="4" borderId="2" xfId="6" applyFill="1" applyBorder="1" applyAlignment="1">
      <alignment horizontal="left"/>
    </xf>
    <xf numFmtId="0" fontId="14" fillId="0" borderId="0" xfId="6" applyAlignment="1">
      <alignment horizontal="center"/>
    </xf>
    <xf numFmtId="0" fontId="14" fillId="4" borderId="7" xfId="6" applyFill="1" applyBorder="1" applyAlignment="1">
      <alignment horizontal="left"/>
    </xf>
    <xf numFmtId="0" fontId="14" fillId="4" borderId="8" xfId="6" applyFill="1" applyBorder="1" applyAlignment="1">
      <alignment horizontal="left"/>
    </xf>
    <xf numFmtId="0" fontId="14" fillId="4" borderId="18" xfId="6" applyFill="1" applyBorder="1" applyAlignment="1">
      <alignment horizontal="left"/>
    </xf>
    <xf numFmtId="0" fontId="14" fillId="4" borderId="12" xfId="6" applyFill="1" applyBorder="1" applyAlignment="1">
      <alignment horizontal="left"/>
    </xf>
    <xf numFmtId="0" fontId="14" fillId="4" borderId="13" xfId="6" applyFill="1" applyBorder="1" applyAlignment="1">
      <alignment horizontal="left"/>
    </xf>
    <xf numFmtId="0" fontId="14" fillId="4" borderId="14" xfId="6" applyFill="1" applyBorder="1" applyAlignment="1">
      <alignment horizontal="left"/>
    </xf>
    <xf numFmtId="0" fontId="14" fillId="4" borderId="6" xfId="6" applyFill="1" applyBorder="1" applyAlignment="1">
      <alignment horizontal="left"/>
    </xf>
    <xf numFmtId="0" fontId="20" fillId="2" borderId="6" xfId="6" applyFont="1" applyFill="1" applyBorder="1" applyAlignment="1">
      <alignment horizontal="left"/>
    </xf>
    <xf numFmtId="0" fontId="20" fillId="2" borderId="17" xfId="6" applyFont="1" applyFill="1" applyBorder="1" applyAlignment="1">
      <alignment horizontal="left"/>
    </xf>
    <xf numFmtId="164" fontId="41" fillId="2" borderId="0" xfId="6" applyNumberFormat="1" applyFont="1" applyFill="1" applyAlignment="1">
      <alignment horizontal="center"/>
    </xf>
    <xf numFmtId="0" fontId="18" fillId="2" borderId="56" xfId="6" applyFont="1" applyFill="1" applyBorder="1" applyAlignment="1">
      <alignment horizontal="center"/>
    </xf>
    <xf numFmtId="0" fontId="18" fillId="2" borderId="53" xfId="6" applyFont="1" applyFill="1" applyBorder="1" applyAlignment="1">
      <alignment horizontal="center"/>
    </xf>
    <xf numFmtId="0" fontId="18" fillId="2" borderId="19" xfId="6" applyFont="1" applyFill="1" applyBorder="1" applyAlignment="1">
      <alignment horizontal="center"/>
    </xf>
    <xf numFmtId="0" fontId="18" fillId="2" borderId="54" xfId="6" applyFont="1" applyFill="1" applyBorder="1" applyAlignment="1">
      <alignment horizontal="center"/>
    </xf>
    <xf numFmtId="0" fontId="18" fillId="2" borderId="20" xfId="6" applyFont="1" applyFill="1" applyBorder="1" applyAlignment="1">
      <alignment horizontal="center"/>
    </xf>
    <xf numFmtId="0" fontId="18" fillId="2" borderId="1" xfId="6" applyFont="1" applyFill="1" applyBorder="1" applyAlignment="1">
      <alignment horizontal="center"/>
    </xf>
    <xf numFmtId="0" fontId="18" fillId="2" borderId="8" xfId="6" applyFont="1" applyFill="1" applyBorder="1" applyAlignment="1">
      <alignment horizontal="center"/>
    </xf>
    <xf numFmtId="0" fontId="18" fillId="2" borderId="21" xfId="6" applyFont="1" applyFill="1" applyBorder="1" applyAlignment="1">
      <alignment horizontal="center"/>
    </xf>
    <xf numFmtId="0" fontId="18" fillId="2" borderId="7" xfId="6" applyFont="1" applyFill="1" applyBorder="1" applyAlignment="1">
      <alignment horizontal="center"/>
    </xf>
    <xf numFmtId="0" fontId="18" fillId="2" borderId="18" xfId="6" applyFont="1" applyFill="1" applyBorder="1" applyAlignment="1">
      <alignment horizontal="center"/>
    </xf>
    <xf numFmtId="0" fontId="18" fillId="2" borderId="23" xfId="6" applyFont="1" applyFill="1" applyBorder="1" applyAlignment="1">
      <alignment horizontal="center" wrapText="1"/>
    </xf>
    <xf numFmtId="0" fontId="18" fillId="2" borderId="24" xfId="6" applyFont="1" applyFill="1" applyBorder="1" applyAlignment="1">
      <alignment horizontal="center" wrapText="1"/>
    </xf>
    <xf numFmtId="0" fontId="14" fillId="4" borderId="19" xfId="6" applyFill="1" applyBorder="1" applyAlignment="1">
      <alignment horizontal="left" vertical="top" wrapText="1"/>
    </xf>
    <xf numFmtId="0" fontId="14" fillId="4" borderId="21" xfId="6" applyFill="1" applyBorder="1" applyAlignment="1">
      <alignment horizontal="left" vertical="top" wrapText="1"/>
    </xf>
    <xf numFmtId="0" fontId="14" fillId="4" borderId="31" xfId="3" applyFont="1" applyFill="1" applyBorder="1"/>
    <xf numFmtId="0" fontId="14" fillId="4" borderId="3" xfId="3" applyFont="1" applyFill="1" applyBorder="1"/>
    <xf numFmtId="0" fontId="14" fillId="4" borderId="55" xfId="3" applyFont="1" applyFill="1" applyBorder="1"/>
    <xf numFmtId="0" fontId="18" fillId="0" borderId="63" xfId="3" applyFont="1" applyBorder="1" applyAlignment="1">
      <alignment horizontal="right"/>
    </xf>
    <xf numFmtId="0" fontId="18" fillId="0" borderId="0" xfId="3" applyFont="1" applyAlignment="1">
      <alignment horizontal="right"/>
    </xf>
    <xf numFmtId="0" fontId="18" fillId="0" borderId="50" xfId="3" applyFont="1" applyBorder="1" applyAlignment="1">
      <alignment horizontal="right"/>
    </xf>
    <xf numFmtId="0" fontId="18" fillId="0" borderId="3" xfId="3" applyFont="1" applyBorder="1" applyAlignment="1">
      <alignment horizontal="center" wrapText="1"/>
    </xf>
    <xf numFmtId="0" fontId="14" fillId="4" borderId="31" xfId="3" applyFont="1" applyFill="1" applyBorder="1" applyAlignment="1">
      <alignment vertical="top" wrapText="1"/>
    </xf>
    <xf numFmtId="0" fontId="14" fillId="4" borderId="3" xfId="3" applyFont="1" applyFill="1" applyBorder="1" applyAlignment="1">
      <alignment vertical="top" wrapText="1"/>
    </xf>
    <xf numFmtId="0" fontId="14" fillId="4" borderId="55" xfId="3" applyFont="1" applyFill="1" applyBorder="1" applyAlignment="1">
      <alignment vertical="top" wrapText="1"/>
    </xf>
    <xf numFmtId="0" fontId="18" fillId="0" borderId="2" xfId="3" applyFont="1" applyBorder="1" applyAlignment="1">
      <alignment horizontal="left" wrapText="1"/>
    </xf>
    <xf numFmtId="0" fontId="14" fillId="4" borderId="31" xfId="3" applyFont="1" applyFill="1" applyBorder="1" applyAlignment="1">
      <alignment horizontal="left" vertical="top" wrapText="1"/>
    </xf>
    <xf numFmtId="0" fontId="14" fillId="4" borderId="3" xfId="3" applyFont="1" applyFill="1" applyBorder="1" applyAlignment="1">
      <alignment horizontal="left" vertical="top" wrapText="1"/>
    </xf>
    <xf numFmtId="0" fontId="14" fillId="4" borderId="55" xfId="3" applyFont="1" applyFill="1" applyBorder="1" applyAlignment="1">
      <alignment horizontal="left" vertical="top" wrapText="1"/>
    </xf>
    <xf numFmtId="0" fontId="18" fillId="0" borderId="3" xfId="3" applyFont="1" applyBorder="1" applyAlignment="1">
      <alignment horizontal="left"/>
    </xf>
    <xf numFmtId="0" fontId="14" fillId="4" borderId="31" xfId="3" applyFont="1" applyFill="1" applyBorder="1" applyAlignment="1">
      <alignment horizontal="center"/>
    </xf>
    <xf numFmtId="0" fontId="14" fillId="4" borderId="3" xfId="3" applyFont="1" applyFill="1" applyBorder="1" applyAlignment="1">
      <alignment horizontal="center"/>
    </xf>
    <xf numFmtId="0" fontId="14" fillId="4" borderId="32" xfId="3" applyFont="1" applyFill="1" applyBorder="1" applyAlignment="1">
      <alignment horizontal="center"/>
    </xf>
    <xf numFmtId="0" fontId="14" fillId="0" borderId="11" xfId="3" applyFont="1" applyBorder="1" applyAlignment="1">
      <alignment horizontal="left"/>
    </xf>
    <xf numFmtId="0" fontId="14" fillId="0" borderId="0" xfId="3" applyFont="1" applyAlignment="1">
      <alignment horizontal="left"/>
    </xf>
    <xf numFmtId="0" fontId="14" fillId="0" borderId="10" xfId="3" applyFont="1" applyBorder="1" applyAlignment="1">
      <alignment horizontal="left"/>
    </xf>
    <xf numFmtId="0" fontId="14" fillId="0" borderId="15" xfId="3" applyFont="1" applyBorder="1" applyAlignment="1">
      <alignment horizontal="left"/>
    </xf>
    <xf numFmtId="0" fontId="14" fillId="0" borderId="6" xfId="3" applyFont="1" applyBorder="1" applyAlignment="1">
      <alignment horizontal="left"/>
    </xf>
    <xf numFmtId="0" fontId="14" fillId="0" borderId="17" xfId="3" applyFont="1" applyBorder="1" applyAlignment="1">
      <alignment horizontal="left"/>
    </xf>
    <xf numFmtId="0" fontId="14" fillId="0" borderId="11" xfId="3" applyFont="1" applyBorder="1" applyAlignment="1">
      <alignment horizontal="right"/>
    </xf>
    <xf numFmtId="0" fontId="14" fillId="0" borderId="0" xfId="3" applyFont="1" applyAlignment="1">
      <alignment horizontal="right"/>
    </xf>
    <xf numFmtId="0" fontId="14" fillId="0" borderId="50" xfId="3" applyFont="1" applyBorder="1" applyAlignment="1">
      <alignment horizontal="right"/>
    </xf>
    <xf numFmtId="0" fontId="18" fillId="0" borderId="43" xfId="3" applyFont="1" applyBorder="1" applyAlignment="1">
      <alignment horizontal="center"/>
    </xf>
    <xf numFmtId="0" fontId="18" fillId="0" borderId="13" xfId="3" applyFont="1" applyBorder="1" applyAlignment="1">
      <alignment horizontal="center"/>
    </xf>
    <xf numFmtId="0" fontId="18" fillId="0" borderId="14" xfId="3" applyFont="1" applyBorder="1" applyAlignment="1">
      <alignment horizontal="center"/>
    </xf>
    <xf numFmtId="0" fontId="14" fillId="4" borderId="5" xfId="3" applyFont="1" applyFill="1" applyBorder="1" applyAlignment="1">
      <alignment horizontal="center"/>
    </xf>
    <xf numFmtId="0" fontId="14" fillId="4" borderId="35" xfId="3" applyFont="1" applyFill="1" applyBorder="1" applyAlignment="1">
      <alignment horizontal="center"/>
    </xf>
    <xf numFmtId="0" fontId="18" fillId="0" borderId="42" xfId="3" applyFont="1" applyBorder="1" applyAlignment="1">
      <alignment horizontal="left"/>
    </xf>
    <xf numFmtId="0" fontId="18" fillId="0" borderId="6" xfId="3" applyFont="1" applyBorder="1" applyAlignment="1">
      <alignment horizontal="left"/>
    </xf>
    <xf numFmtId="0" fontId="18" fillId="0" borderId="17" xfId="3" applyFont="1" applyBorder="1" applyAlignment="1">
      <alignment horizontal="left"/>
    </xf>
    <xf numFmtId="0" fontId="14" fillId="4" borderId="23" xfId="3" applyFont="1" applyFill="1" applyBorder="1" applyAlignment="1">
      <alignment horizontal="center"/>
    </xf>
    <xf numFmtId="0" fontId="14" fillId="4" borderId="39" xfId="3" applyFont="1" applyFill="1" applyBorder="1" applyAlignment="1">
      <alignment horizontal="center"/>
    </xf>
    <xf numFmtId="0" fontId="14" fillId="4" borderId="24" xfId="3" applyFont="1" applyFill="1" applyBorder="1" applyAlignment="1">
      <alignment horizontal="center"/>
    </xf>
    <xf numFmtId="0" fontId="18" fillId="0" borderId="12" xfId="3" applyFont="1" applyBorder="1" applyAlignment="1">
      <alignment horizontal="center"/>
    </xf>
    <xf numFmtId="0" fontId="14" fillId="4" borderId="19" xfId="3" applyFont="1" applyFill="1" applyBorder="1" applyAlignment="1">
      <alignment horizontal="center"/>
    </xf>
    <xf numFmtId="0" fontId="14" fillId="4" borderId="1" xfId="3" applyFont="1" applyFill="1" applyBorder="1" applyAlignment="1">
      <alignment horizontal="center"/>
    </xf>
    <xf numFmtId="0" fontId="14" fillId="4" borderId="21" xfId="3" applyFont="1" applyFill="1" applyBorder="1" applyAlignment="1">
      <alignment horizontal="center"/>
    </xf>
    <xf numFmtId="0" fontId="15" fillId="0" borderId="12" xfId="3" applyFont="1" applyBorder="1" applyAlignment="1">
      <alignment horizontal="right" wrapText="1"/>
    </xf>
    <xf numFmtId="0" fontId="15" fillId="0" borderId="13" xfId="3" applyFont="1" applyBorder="1" applyAlignment="1">
      <alignment horizontal="right" wrapText="1"/>
    </xf>
    <xf numFmtId="0" fontId="38" fillId="4" borderId="13" xfId="3" applyFont="1" applyFill="1" applyBorder="1" applyAlignment="1">
      <alignment wrapText="1"/>
    </xf>
    <xf numFmtId="0" fontId="38" fillId="4" borderId="14" xfId="3" applyFont="1" applyFill="1" applyBorder="1" applyAlignment="1">
      <alignment wrapText="1"/>
    </xf>
    <xf numFmtId="0" fontId="14" fillId="0" borderId="7" xfId="3" applyFont="1" applyBorder="1" applyAlignment="1">
      <alignment horizontal="left" wrapText="1"/>
    </xf>
    <xf numFmtId="0" fontId="14" fillId="0" borderId="8" xfId="3" applyFont="1" applyBorder="1" applyAlignment="1">
      <alignment horizontal="left" wrapText="1"/>
    </xf>
    <xf numFmtId="0" fontId="14" fillId="0" borderId="18" xfId="3" applyFont="1" applyBorder="1" applyAlignment="1">
      <alignment horizontal="left" wrapText="1"/>
    </xf>
    <xf numFmtId="0" fontId="14" fillId="0" borderId="11" xfId="3" applyFont="1" applyBorder="1" applyAlignment="1">
      <alignment horizontal="left" wrapText="1"/>
    </xf>
    <xf numFmtId="0" fontId="14" fillId="0" borderId="0" xfId="3" applyFont="1" applyAlignment="1">
      <alignment horizontal="left" wrapText="1"/>
    </xf>
    <xf numFmtId="0" fontId="14" fillId="0" borderId="10" xfId="3" applyFont="1" applyBorder="1" applyAlignment="1">
      <alignment horizontal="left" wrapText="1"/>
    </xf>
    <xf numFmtId="0" fontId="14" fillId="4" borderId="37" xfId="3" applyFont="1" applyFill="1" applyBorder="1" applyAlignment="1">
      <alignment horizontal="left" vertical="top" wrapText="1"/>
    </xf>
    <xf numFmtId="0" fontId="14" fillId="4" borderId="2" xfId="3" applyFont="1" applyFill="1" applyBorder="1" applyAlignment="1">
      <alignment horizontal="left" vertical="top" wrapText="1"/>
    </xf>
    <xf numFmtId="0" fontId="14" fillId="4" borderId="36" xfId="3" applyFont="1" applyFill="1" applyBorder="1" applyAlignment="1">
      <alignment horizontal="left" vertical="top" wrapText="1"/>
    </xf>
    <xf numFmtId="0" fontId="18" fillId="0" borderId="25" xfId="3" applyFont="1" applyBorder="1" applyAlignment="1">
      <alignment horizontal="left"/>
    </xf>
    <xf numFmtId="0" fontId="18" fillId="0" borderId="4" xfId="3" applyFont="1" applyBorder="1" applyAlignment="1">
      <alignment horizontal="left"/>
    </xf>
    <xf numFmtId="0" fontId="18" fillId="0" borderId="38" xfId="3" applyFont="1" applyBorder="1" applyAlignment="1">
      <alignment horizontal="left"/>
    </xf>
    <xf numFmtId="0" fontId="18" fillId="0" borderId="49" xfId="3" applyFont="1" applyBorder="1" applyAlignment="1">
      <alignment horizontal="center"/>
    </xf>
    <xf numFmtId="0" fontId="18" fillId="0" borderId="8" xfId="3" applyFont="1" applyBorder="1" applyAlignment="1">
      <alignment horizontal="center"/>
    </xf>
    <xf numFmtId="0" fontId="14" fillId="4" borderId="62" xfId="3" applyFont="1" applyFill="1" applyBorder="1" applyAlignment="1">
      <alignment horizontal="center"/>
    </xf>
    <xf numFmtId="0" fontId="18" fillId="0" borderId="25" xfId="3" applyFont="1" applyBorder="1" applyAlignment="1">
      <alignment horizontal="left" vertical="top" wrapText="1"/>
    </xf>
    <xf numFmtId="0" fontId="18" fillId="0" borderId="4" xfId="3" applyFont="1" applyBorder="1" applyAlignment="1">
      <alignment horizontal="left" vertical="top" wrapText="1"/>
    </xf>
    <xf numFmtId="0" fontId="18" fillId="0" borderId="38" xfId="3" applyFont="1" applyBorder="1" applyAlignment="1">
      <alignment horizontal="left" vertical="top" wrapText="1"/>
    </xf>
    <xf numFmtId="0" fontId="14" fillId="4" borderId="19" xfId="3" applyFont="1" applyFill="1" applyBorder="1" applyAlignment="1">
      <alignment horizontal="left" vertical="top" wrapText="1"/>
    </xf>
    <xf numFmtId="0" fontId="14" fillId="4" borderId="1" xfId="3" applyFont="1" applyFill="1" applyBorder="1" applyAlignment="1">
      <alignment horizontal="left" vertical="top" wrapText="1"/>
    </xf>
    <xf numFmtId="0" fontId="14" fillId="4" borderId="62" xfId="3" applyFont="1" applyFill="1" applyBorder="1" applyAlignment="1">
      <alignment horizontal="left" vertical="top" wrapText="1"/>
    </xf>
    <xf numFmtId="0" fontId="14" fillId="4" borderId="5" xfId="3" applyFont="1" applyFill="1" applyBorder="1" applyAlignment="1">
      <alignment horizontal="left" vertical="top" wrapText="1"/>
    </xf>
    <xf numFmtId="0" fontId="14" fillId="4" borderId="35" xfId="3" applyFont="1" applyFill="1" applyBorder="1" applyAlignment="1">
      <alignment horizontal="left" vertical="top" wrapText="1"/>
    </xf>
    <xf numFmtId="0" fontId="14" fillId="4" borderId="19" xfId="3" applyFont="1" applyFill="1" applyBorder="1" applyAlignment="1">
      <alignment vertical="top" wrapText="1"/>
    </xf>
    <xf numFmtId="0" fontId="14" fillId="4" borderId="1" xfId="3" applyFont="1" applyFill="1" applyBorder="1" applyAlignment="1">
      <alignment vertical="top" wrapText="1"/>
    </xf>
    <xf numFmtId="0" fontId="14" fillId="4" borderId="21" xfId="3" applyFont="1" applyFill="1" applyBorder="1" applyAlignment="1">
      <alignment vertical="top" wrapText="1"/>
    </xf>
    <xf numFmtId="0" fontId="14" fillId="4" borderId="32" xfId="3" applyFont="1" applyFill="1" applyBorder="1" applyAlignment="1">
      <alignment vertical="top" wrapText="1"/>
    </xf>
    <xf numFmtId="0" fontId="14" fillId="0" borderId="12" xfId="3" applyFont="1" applyBorder="1" applyAlignment="1">
      <alignment horizontal="left" vertical="center" wrapText="1"/>
    </xf>
    <xf numFmtId="0" fontId="14" fillId="0" borderId="13" xfId="3" applyFont="1" applyBorder="1" applyAlignment="1">
      <alignment horizontal="left" vertical="center" wrapText="1"/>
    </xf>
    <xf numFmtId="0" fontId="14" fillId="0" borderId="14" xfId="3" applyFont="1" applyBorder="1" applyAlignment="1">
      <alignment horizontal="left" vertical="center" wrapText="1"/>
    </xf>
    <xf numFmtId="14" fontId="14" fillId="4" borderId="39" xfId="3" applyNumberFormat="1" applyFont="1" applyFill="1" applyBorder="1" applyAlignment="1">
      <alignment horizontal="center"/>
    </xf>
    <xf numFmtId="0" fontId="14" fillId="4" borderId="71" xfId="3" applyFont="1" applyFill="1" applyBorder="1" applyAlignment="1">
      <alignment horizontal="center"/>
    </xf>
    <xf numFmtId="0" fontId="19" fillId="0" borderId="5" xfId="6" applyFont="1" applyBorder="1" applyAlignment="1">
      <alignment horizontal="center"/>
    </xf>
    <xf numFmtId="0" fontId="14" fillId="4" borderId="2" xfId="6" applyFill="1" applyBorder="1" applyAlignment="1">
      <alignment horizontal="center"/>
    </xf>
    <xf numFmtId="0" fontId="14" fillId="4" borderId="3" xfId="6" applyFill="1" applyBorder="1"/>
  </cellXfs>
  <cellStyles count="28">
    <cellStyle name="Comma 2" xfId="1" xr:uid="{00000000-0005-0000-0000-000000000000}"/>
    <cellStyle name="Comma 2 2" xfId="8" xr:uid="{00000000-0005-0000-0000-000001000000}"/>
    <cellStyle name="Comma 3" xfId="19" xr:uid="{00000000-0005-0000-0000-000002000000}"/>
    <cellStyle name="Currency" xfId="17" builtinId="4"/>
    <cellStyle name="Currency 2" xfId="2" xr:uid="{00000000-0005-0000-0000-000004000000}"/>
    <cellStyle name="Currency 2 10 2" xfId="11" xr:uid="{00000000-0005-0000-0000-000005000000}"/>
    <cellStyle name="Currency 2 2" xfId="14" xr:uid="{00000000-0005-0000-0000-000006000000}"/>
    <cellStyle name="Currency 3" xfId="21" xr:uid="{00000000-0005-0000-0000-000007000000}"/>
    <cellStyle name="Hyperlink" xfId="7" builtinId="8"/>
    <cellStyle name="Normal" xfId="0" builtinId="0"/>
    <cellStyle name="Normal 2" xfId="3" xr:uid="{00000000-0005-0000-0000-00000A000000}"/>
    <cellStyle name="Normal 2 10 2" xfId="6" xr:uid="{00000000-0005-0000-0000-00000B000000}"/>
    <cellStyle name="Normal 2 2" xfId="10" xr:uid="{00000000-0005-0000-0000-00000C000000}"/>
    <cellStyle name="Normal 3" xfId="4" xr:uid="{00000000-0005-0000-0000-00000D000000}"/>
    <cellStyle name="Normal 4" xfId="5" xr:uid="{00000000-0005-0000-0000-00000E000000}"/>
    <cellStyle name="Normal 4 2" xfId="22" xr:uid="{00000000-0005-0000-0000-00000F000000}"/>
    <cellStyle name="Normal 5" xfId="23" xr:uid="{00000000-0005-0000-0000-000010000000}"/>
    <cellStyle name="Normal 6" xfId="9" xr:uid="{00000000-0005-0000-0000-000011000000}"/>
    <cellStyle name="Normal 6 2" xfId="15" xr:uid="{00000000-0005-0000-0000-000012000000}"/>
    <cellStyle name="Normal 6 3" xfId="18" xr:uid="{00000000-0005-0000-0000-000013000000}"/>
    <cellStyle name="Normal 7" xfId="24" xr:uid="{67A41860-54A7-4F96-A974-42C234665CF6}"/>
    <cellStyle name="Normal 8" xfId="26" xr:uid="{D8B83BD5-CF0B-4489-B739-30FEE8C064A0}"/>
    <cellStyle name="Normal 9" xfId="27" xr:uid="{86455E80-804F-41F2-8F09-04DA349596F7}"/>
    <cellStyle name="Normal_CommercialAvoidedCosts_7-15-02" xfId="13" xr:uid="{00000000-0005-0000-0000-000014000000}"/>
    <cellStyle name="Percent" xfId="25" builtinId="5"/>
    <cellStyle name="Percent 2" xfId="12" xr:uid="{00000000-0005-0000-0000-000015000000}"/>
    <cellStyle name="Percent 2 2" xfId="16" xr:uid="{00000000-0005-0000-0000-000016000000}"/>
    <cellStyle name="Percent 2 3" xfId="20" xr:uid="{00000000-0005-0000-0000-000017000000}"/>
  </cellStyles>
  <dxfs count="41">
    <dxf>
      <fill>
        <patternFill>
          <bgColor theme="0" tint="-0.14996795556505021"/>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theme="0"/>
      </font>
      <fill>
        <patternFill patternType="none">
          <bgColor auto="1"/>
        </patternFill>
      </fill>
      <border>
        <left style="thin">
          <color theme="0"/>
        </left>
        <right style="thin">
          <color theme="0"/>
        </right>
      </border>
    </dxf>
    <dxf>
      <fill>
        <patternFill>
          <bgColor rgb="FFFFFF99"/>
        </patternFill>
      </fill>
    </dxf>
    <dxf>
      <fill>
        <patternFill>
          <bgColor rgb="FFFFFF99"/>
        </patternFill>
      </fill>
    </dxf>
    <dxf>
      <font>
        <color theme="0" tint="-4.9989318521683403E-2"/>
      </font>
      <fill>
        <patternFill patternType="none">
          <bgColor auto="1"/>
        </patternFill>
      </fill>
      <border>
        <left/>
        <right/>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patternType="solid">
          <bgColor rgb="FF81BE4A"/>
        </patternFill>
      </fill>
    </dxf>
    <dxf>
      <font>
        <color theme="0"/>
      </font>
      <fill>
        <patternFill patternType="none">
          <bgColor auto="1"/>
        </patternFill>
      </fill>
      <border>
        <left style="thin">
          <color theme="0"/>
        </left>
      </border>
    </dxf>
    <dxf>
      <fill>
        <patternFill>
          <bgColor theme="6" tint="0.79998168889431442"/>
        </patternFill>
      </fill>
    </dxf>
    <dxf>
      <fill>
        <patternFill>
          <bgColor theme="9" tint="0.79998168889431442"/>
        </patternFill>
      </fill>
    </dxf>
    <dxf>
      <fill>
        <patternFill>
          <bgColor theme="6" tint="0.79998168889431442"/>
        </patternFill>
      </fill>
    </dxf>
    <dxf>
      <fill>
        <patternFill>
          <bgColor theme="9" tint="0.79998168889431442"/>
        </patternFill>
      </fill>
    </dxf>
    <dxf>
      <fill>
        <patternFill>
          <bgColor theme="6" tint="0.79998168889431442"/>
        </patternFill>
      </fill>
    </dxf>
    <dxf>
      <fill>
        <patternFill>
          <bgColor theme="9" tint="0.79998168889431442"/>
        </patternFill>
      </fill>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numFmt numFmtId="2" formatCode="0.00"/>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numFmt numFmtId="2" formatCode="0.00"/>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s>
  <tableStyles count="0" defaultTableStyle="TableStyleMedium9" defaultPivotStyle="PivotStyleLight16"/>
  <colors>
    <mruColors>
      <color rgb="FFD0E6BC"/>
      <color rgb="FFEAF4E0"/>
      <color rgb="FFFFFFCC"/>
      <color rgb="FFFFFF99"/>
      <color rgb="FF006671"/>
      <color rgb="FFC41F3D"/>
      <color rgb="FF81BE4A"/>
      <color rgb="FF469C90"/>
      <color rgb="FF0095BA"/>
      <color rgb="FFBFD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Project Cash</a:t>
            </a:r>
            <a:r>
              <a:rPr lang="en-US" baseline="0"/>
              <a:t> Flow</a:t>
            </a:r>
            <a:endParaRPr lang="en-US"/>
          </a:p>
        </c:rich>
      </c:tx>
      <c:overlay val="0"/>
    </c:title>
    <c:autoTitleDeleted val="0"/>
    <c:plotArea>
      <c:layout>
        <c:manualLayout>
          <c:layoutTarget val="inner"/>
          <c:xMode val="edge"/>
          <c:yMode val="edge"/>
          <c:x val="0.15836351706036744"/>
          <c:y val="0.20444663167104113"/>
          <c:w val="0.811080927384077"/>
          <c:h val="0.67957349081364826"/>
        </c:manualLayout>
      </c:layout>
      <c:barChart>
        <c:barDir val="col"/>
        <c:grouping val="stacked"/>
        <c:varyColors val="0"/>
        <c:ser>
          <c:idx val="0"/>
          <c:order val="0"/>
          <c:tx>
            <c:strRef>
              <c:f>IncentiveEst!$D$80</c:f>
              <c:strCache>
                <c:ptCount val="1"/>
                <c:pt idx="0">
                  <c:v> Invested </c:v>
                </c:pt>
              </c:strCache>
            </c:strRef>
          </c:tx>
          <c:spPr>
            <a:solidFill>
              <a:srgbClr val="C41F3D"/>
            </a:solidFill>
          </c:spPr>
          <c:invertIfNegative val="0"/>
          <c:cat>
            <c:strRef>
              <c:f>IncentiveEst!$C$81:$C$86</c:f>
              <c:strCache>
                <c:ptCount val="6"/>
                <c:pt idx="0">
                  <c:v>Yr 0</c:v>
                </c:pt>
                <c:pt idx="1">
                  <c:v>Yr 1</c:v>
                </c:pt>
                <c:pt idx="2">
                  <c:v>Yr 2</c:v>
                </c:pt>
                <c:pt idx="3">
                  <c:v>Yr 3</c:v>
                </c:pt>
                <c:pt idx="4">
                  <c:v>Yr 4</c:v>
                </c:pt>
                <c:pt idx="5">
                  <c:v>Yr 5</c:v>
                </c:pt>
              </c:strCache>
            </c:strRef>
          </c:cat>
          <c:val>
            <c:numRef>
              <c:f>IncentiveEst!$D$81:$D$86</c:f>
              <c:numCache>
                <c:formatCode>_("$"* #,##0_);_("$"* \(#,##0\);_("$"* "-"??_);_(@_)</c:formatCode>
                <c:ptCount val="6"/>
                <c:pt idx="0">
                  <c:v>-5000</c:v>
                </c:pt>
                <c:pt idx="1">
                  <c:v>-168000</c:v>
                </c:pt>
                <c:pt idx="2">
                  <c:v>-2000</c:v>
                </c:pt>
                <c:pt idx="3">
                  <c:v>-1000</c:v>
                </c:pt>
                <c:pt idx="4">
                  <c:v>-1000</c:v>
                </c:pt>
                <c:pt idx="5">
                  <c:v>-1000</c:v>
                </c:pt>
              </c:numCache>
            </c:numRef>
          </c:val>
          <c:extLst>
            <c:ext xmlns:c16="http://schemas.microsoft.com/office/drawing/2014/chart" uri="{C3380CC4-5D6E-409C-BE32-E72D297353CC}">
              <c16:uniqueId val="{00000000-589B-4759-8918-C4CD1836C753}"/>
            </c:ext>
          </c:extLst>
        </c:ser>
        <c:ser>
          <c:idx val="1"/>
          <c:order val="1"/>
          <c:tx>
            <c:strRef>
              <c:f>IncentiveEst!$E$80</c:f>
              <c:strCache>
                <c:ptCount val="1"/>
                <c:pt idx="0">
                  <c:v> PSE Incentive </c:v>
                </c:pt>
              </c:strCache>
            </c:strRef>
          </c:tx>
          <c:spPr>
            <a:solidFill>
              <a:srgbClr val="006671"/>
            </a:solidFill>
          </c:spPr>
          <c:invertIfNegative val="0"/>
          <c:cat>
            <c:strRef>
              <c:f>IncentiveEst!$C$81:$C$86</c:f>
              <c:strCache>
                <c:ptCount val="6"/>
                <c:pt idx="0">
                  <c:v>Yr 0</c:v>
                </c:pt>
                <c:pt idx="1">
                  <c:v>Yr 1</c:v>
                </c:pt>
                <c:pt idx="2">
                  <c:v>Yr 2</c:v>
                </c:pt>
                <c:pt idx="3">
                  <c:v>Yr 3</c:v>
                </c:pt>
                <c:pt idx="4">
                  <c:v>Yr 4</c:v>
                </c:pt>
                <c:pt idx="5">
                  <c:v>Yr 5</c:v>
                </c:pt>
              </c:strCache>
            </c:strRef>
          </c:cat>
          <c:val>
            <c:numRef>
              <c:f>IncentiveEst!$E$81:$E$86</c:f>
              <c:numCache>
                <c:formatCode>_("$"* #,##0_);_("$"* \(#,##0\);_("$"* "-"??_);_(@_)</c:formatCode>
                <c:ptCount val="6"/>
                <c:pt idx="0">
                  <c:v>5000</c:v>
                </c:pt>
                <c:pt idx="1">
                  <c:v>94500</c:v>
                </c:pt>
                <c:pt idx="2">
                  <c:v>18324.948</c:v>
                </c:pt>
                <c:pt idx="3">
                  <c:v>0</c:v>
                </c:pt>
                <c:pt idx="4">
                  <c:v>0</c:v>
                </c:pt>
                <c:pt idx="5">
                  <c:v>0</c:v>
                </c:pt>
              </c:numCache>
            </c:numRef>
          </c:val>
          <c:extLst>
            <c:ext xmlns:c16="http://schemas.microsoft.com/office/drawing/2014/chart" uri="{C3380CC4-5D6E-409C-BE32-E72D297353CC}">
              <c16:uniqueId val="{00000001-589B-4759-8918-C4CD1836C753}"/>
            </c:ext>
          </c:extLst>
        </c:ser>
        <c:ser>
          <c:idx val="2"/>
          <c:order val="2"/>
          <c:tx>
            <c:strRef>
              <c:f>IncentiveEst!$F$80</c:f>
              <c:strCache>
                <c:ptCount val="1"/>
                <c:pt idx="0">
                  <c:v> Energy Savings </c:v>
                </c:pt>
              </c:strCache>
            </c:strRef>
          </c:tx>
          <c:spPr>
            <a:solidFill>
              <a:srgbClr val="81BE4A"/>
            </a:solidFill>
          </c:spPr>
          <c:invertIfNegative val="0"/>
          <c:cat>
            <c:strRef>
              <c:f>IncentiveEst!$C$81:$C$86</c:f>
              <c:strCache>
                <c:ptCount val="6"/>
                <c:pt idx="0">
                  <c:v>Yr 0</c:v>
                </c:pt>
                <c:pt idx="1">
                  <c:v>Yr 1</c:v>
                </c:pt>
                <c:pt idx="2">
                  <c:v>Yr 2</c:v>
                </c:pt>
                <c:pt idx="3">
                  <c:v>Yr 3</c:v>
                </c:pt>
                <c:pt idx="4">
                  <c:v>Yr 4</c:v>
                </c:pt>
                <c:pt idx="5">
                  <c:v>Yr 5</c:v>
                </c:pt>
              </c:strCache>
            </c:strRef>
          </c:cat>
          <c:val>
            <c:numRef>
              <c:f>IncentiveEst!$F$81:$F$86</c:f>
              <c:numCache>
                <c:formatCode>_("$"* #,##0_);_("$"* \(#,##0\);_("$"* "-"??_);_(@_)</c:formatCode>
                <c:ptCount val="6"/>
                <c:pt idx="0">
                  <c:v>14.849562494566801</c:v>
                </c:pt>
                <c:pt idx="1">
                  <c:v>14849.562494566801</c:v>
                </c:pt>
                <c:pt idx="2">
                  <c:v>14136.783494827594</c:v>
                </c:pt>
                <c:pt idx="3">
                  <c:v>13458.217887075869</c:v>
                </c:pt>
                <c:pt idx="4">
                  <c:v>12812.223428496227</c:v>
                </c:pt>
                <c:pt idx="5">
                  <c:v>12197.236703928407</c:v>
                </c:pt>
              </c:numCache>
            </c:numRef>
          </c:val>
          <c:extLst>
            <c:ext xmlns:c16="http://schemas.microsoft.com/office/drawing/2014/chart" uri="{C3380CC4-5D6E-409C-BE32-E72D297353CC}">
              <c16:uniqueId val="{00000002-589B-4759-8918-C4CD1836C753}"/>
            </c:ext>
          </c:extLst>
        </c:ser>
        <c:dLbls>
          <c:showLegendKey val="0"/>
          <c:showVal val="0"/>
          <c:showCatName val="0"/>
          <c:showSerName val="0"/>
          <c:showPercent val="0"/>
          <c:showBubbleSize val="0"/>
        </c:dLbls>
        <c:gapWidth val="150"/>
        <c:overlap val="100"/>
        <c:axId val="671756760"/>
        <c:axId val="31713592"/>
      </c:barChart>
      <c:scatterChart>
        <c:scatterStyle val="lineMarker"/>
        <c:varyColors val="0"/>
        <c:ser>
          <c:idx val="3"/>
          <c:order val="3"/>
          <c:tx>
            <c:v>SPB</c:v>
          </c:tx>
          <c:spPr>
            <a:ln>
              <a:solidFill>
                <a:schemeClr val="tx1"/>
              </a:solidFill>
              <a:prstDash val="dash"/>
            </a:ln>
          </c:spPr>
          <c:marker>
            <c:symbol val="none"/>
          </c:marker>
          <c:dPt>
            <c:idx val="1"/>
            <c:bubble3D val="0"/>
            <c:extLst>
              <c:ext xmlns:c16="http://schemas.microsoft.com/office/drawing/2014/chart" uri="{C3380CC4-5D6E-409C-BE32-E72D297353CC}">
                <c16:uniqueId val="{00000003-589B-4759-8918-C4CD1836C753}"/>
              </c:ext>
            </c:extLst>
          </c:dPt>
          <c:dLbls>
            <c:dLbl>
              <c:idx val="0"/>
              <c:layout>
                <c:manualLayout>
                  <c:x val="0"/>
                  <c:y val="-1.4298480786416443E-2"/>
                </c:manualLayout>
              </c:layout>
              <c:tx>
                <c:rich>
                  <a:bodyPr/>
                  <a:lstStyle/>
                  <a:p>
                    <a:fld id="{049BBF9D-CEE7-4A88-872E-12A62852F200}" type="SERIESNAME">
                      <a:rPr lang="en-US" b="1"/>
                      <a:pPr/>
                      <a:t>[SERIES NAME]</a:t>
                    </a:fld>
                    <a:endParaRPr lang="en-US"/>
                  </a:p>
                </c:rich>
              </c:tx>
              <c:showLegendKey val="0"/>
              <c:showVal val="0"/>
              <c:showCatName val="0"/>
              <c:showSerName val="1"/>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589B-4759-8918-C4CD1836C753}"/>
                </c:ext>
              </c:extLst>
            </c:dLbl>
            <c:dLbl>
              <c:idx val="1"/>
              <c:layout>
                <c:manualLayout>
                  <c:x val="0"/>
                  <c:y val="2.5022341376228777E-2"/>
                </c:manualLayout>
              </c:layout>
              <c:tx>
                <c:rich>
                  <a:bodyPr/>
                  <a:lstStyle/>
                  <a:p>
                    <a:fld id="{97826152-FFB0-457C-BEAB-A5E1A697AB0F}" type="SERIESNAME">
                      <a:rPr lang="en-US" b="1"/>
                      <a:pPr/>
                      <a:t>[SERIES NAME]</a:t>
                    </a:fld>
                    <a:endParaRPr lang="en-US"/>
                  </a:p>
                </c:rich>
              </c:tx>
              <c:showLegendKey val="0"/>
              <c:showVal val="0"/>
              <c:showCatName val="0"/>
              <c:showSerName val="1"/>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589B-4759-8918-C4CD1836C753}"/>
                </c:ext>
              </c:extLst>
            </c:dLbl>
            <c:spPr>
              <a:noFill/>
              <a:ln>
                <a:noFill/>
              </a:ln>
              <a:effectLst/>
            </c:spPr>
            <c:txPr>
              <a:bodyPr wrap="square" lIns="38100" tIns="19050" rIns="38100" bIns="19050" anchor="ctr">
                <a:spAutoFit/>
              </a:bodyPr>
              <a:lstStyle/>
              <a:p>
                <a:pPr>
                  <a:defRPr sz="1400"/>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IncentiveEst!$H$81:$H$82</c:f>
              <c:numCache>
                <c:formatCode>_(* #,##0.00_);_(* \(#,##0.00\);_(* "-"??_);_(@_)</c:formatCode>
                <c:ptCount val="2"/>
                <c:pt idx="0">
                  <c:v>4.269355579853821</c:v>
                </c:pt>
                <c:pt idx="1">
                  <c:v>4.269355579853821</c:v>
                </c:pt>
              </c:numCache>
            </c:numRef>
          </c:xVal>
          <c:yVal>
            <c:numRef>
              <c:f>IncentiveEst!$I$81:$I$82</c:f>
              <c:numCache>
                <c:formatCode>General</c:formatCode>
                <c:ptCount val="2"/>
                <c:pt idx="0">
                  <c:v>0</c:v>
                </c:pt>
                <c:pt idx="1">
                  <c:v>1</c:v>
                </c:pt>
              </c:numCache>
            </c:numRef>
          </c:yVal>
          <c:smooth val="0"/>
          <c:extLst>
            <c:ext xmlns:c16="http://schemas.microsoft.com/office/drawing/2014/chart" uri="{C3380CC4-5D6E-409C-BE32-E72D297353CC}">
              <c16:uniqueId val="{00000005-589B-4759-8918-C4CD1836C753}"/>
            </c:ext>
          </c:extLst>
        </c:ser>
        <c:dLbls>
          <c:showLegendKey val="0"/>
          <c:showVal val="0"/>
          <c:showCatName val="0"/>
          <c:showSerName val="0"/>
          <c:showPercent val="0"/>
          <c:showBubbleSize val="0"/>
        </c:dLbls>
        <c:axId val="423067344"/>
        <c:axId val="423068912"/>
      </c:scatterChart>
      <c:catAx>
        <c:axId val="671756760"/>
        <c:scaling>
          <c:orientation val="minMax"/>
        </c:scaling>
        <c:delete val="0"/>
        <c:axPos val="b"/>
        <c:minorGridlines>
          <c:spPr>
            <a:ln>
              <a:noFill/>
            </a:ln>
          </c:spPr>
        </c:minorGridlines>
        <c:numFmt formatCode="General" sourceLinked="0"/>
        <c:majorTickMark val="cross"/>
        <c:minorTickMark val="none"/>
        <c:tickLblPos val="low"/>
        <c:spPr>
          <a:ln/>
        </c:spPr>
        <c:txPr>
          <a:bodyPr/>
          <a:lstStyle/>
          <a:p>
            <a:pPr>
              <a:defRPr sz="1100" baseline="0"/>
            </a:pPr>
            <a:endParaRPr lang="en-US"/>
          </a:p>
        </c:txPr>
        <c:crossAx val="31713592"/>
        <c:crosses val="autoZero"/>
        <c:auto val="1"/>
        <c:lblAlgn val="ctr"/>
        <c:lblOffset val="100"/>
        <c:noMultiLvlLbl val="0"/>
      </c:catAx>
      <c:valAx>
        <c:axId val="31713592"/>
        <c:scaling>
          <c:orientation val="minMax"/>
        </c:scaling>
        <c:delete val="0"/>
        <c:axPos val="l"/>
        <c:majorGridlines/>
        <c:numFmt formatCode="_(&quot;$&quot;* #,##0_);_(&quot;$&quot;* \(#,##0\);_(&quot;$&quot;* &quot;-&quot;??_);_(@_)" sourceLinked="1"/>
        <c:majorTickMark val="out"/>
        <c:minorTickMark val="none"/>
        <c:tickLblPos val="nextTo"/>
        <c:txPr>
          <a:bodyPr/>
          <a:lstStyle/>
          <a:p>
            <a:pPr>
              <a:defRPr sz="1100" baseline="0"/>
            </a:pPr>
            <a:endParaRPr lang="en-US"/>
          </a:p>
        </c:txPr>
        <c:crossAx val="671756760"/>
        <c:crosses val="autoZero"/>
        <c:crossBetween val="between"/>
      </c:valAx>
      <c:valAx>
        <c:axId val="423068912"/>
        <c:scaling>
          <c:orientation val="minMax"/>
          <c:max val="1"/>
        </c:scaling>
        <c:delete val="0"/>
        <c:axPos val="r"/>
        <c:numFmt formatCode="General" sourceLinked="1"/>
        <c:majorTickMark val="none"/>
        <c:minorTickMark val="none"/>
        <c:tickLblPos val="none"/>
        <c:crossAx val="423067344"/>
        <c:crosses val="max"/>
        <c:crossBetween val="midCat"/>
      </c:valAx>
      <c:valAx>
        <c:axId val="423067344"/>
        <c:scaling>
          <c:orientation val="minMax"/>
        </c:scaling>
        <c:delete val="1"/>
        <c:axPos val="b"/>
        <c:numFmt formatCode="_(* #,##0.00_);_(* \(#,##0.00\);_(* &quot;-&quot;??_);_(@_)" sourceLinked="1"/>
        <c:majorTickMark val="out"/>
        <c:minorTickMark val="none"/>
        <c:tickLblPos val="nextTo"/>
        <c:crossAx val="423068912"/>
        <c:crosses val="autoZero"/>
        <c:crossBetween val="midCat"/>
      </c:valAx>
    </c:plotArea>
    <c:legend>
      <c:legendPos val="t"/>
      <c:layout>
        <c:manualLayout>
          <c:xMode val="edge"/>
          <c:yMode val="edge"/>
          <c:x val="0.14767134665742054"/>
          <c:y val="0.12593960963982545"/>
          <c:w val="0.8222053493313336"/>
          <c:h val="6.4813309626619256E-2"/>
        </c:manualLayout>
      </c:layout>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19050</xdr:rowOff>
        </xdr:from>
        <xdr:to>
          <xdr:col>1</xdr:col>
          <xdr:colOff>0</xdr:colOff>
          <xdr:row>17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47625</xdr:rowOff>
        </xdr:from>
        <xdr:to>
          <xdr:col>3</xdr:col>
          <xdr:colOff>19050</xdr:colOff>
          <xdr:row>18</xdr:row>
          <xdr:rowOff>28575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19050</xdr:rowOff>
        </xdr:from>
        <xdr:to>
          <xdr:col>1</xdr:col>
          <xdr:colOff>0</xdr:colOff>
          <xdr:row>19</xdr:row>
          <xdr:rowOff>180975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22</xdr:row>
          <xdr:rowOff>9525</xdr:rowOff>
        </xdr:from>
        <xdr:to>
          <xdr:col>2</xdr:col>
          <xdr:colOff>161925</xdr:colOff>
          <xdr:row>22</xdr:row>
          <xdr:rowOff>171450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28575</xdr:rowOff>
        </xdr:from>
        <xdr:to>
          <xdr:col>1</xdr:col>
          <xdr:colOff>0</xdr:colOff>
          <xdr:row>24</xdr:row>
          <xdr:rowOff>9525</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5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19050</xdr:rowOff>
        </xdr:from>
        <xdr:to>
          <xdr:col>1</xdr:col>
          <xdr:colOff>0</xdr:colOff>
          <xdr:row>21</xdr:row>
          <xdr:rowOff>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5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19050</xdr:rowOff>
        </xdr:from>
        <xdr:to>
          <xdr:col>1</xdr:col>
          <xdr:colOff>0</xdr:colOff>
          <xdr:row>25</xdr:row>
          <xdr:rowOff>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9525</xdr:rowOff>
        </xdr:from>
        <xdr:to>
          <xdr:col>1</xdr:col>
          <xdr:colOff>9525</xdr:colOff>
          <xdr:row>62</xdr:row>
          <xdr:rowOff>9525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19050</xdr:rowOff>
        </xdr:from>
        <xdr:to>
          <xdr:col>1</xdr:col>
          <xdr:colOff>9525</xdr:colOff>
          <xdr:row>63</xdr:row>
          <xdr:rowOff>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63</xdr:row>
          <xdr:rowOff>19050</xdr:rowOff>
        </xdr:from>
        <xdr:to>
          <xdr:col>3</xdr:col>
          <xdr:colOff>9525</xdr:colOff>
          <xdr:row>64</xdr:row>
          <xdr:rowOff>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5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64</xdr:row>
          <xdr:rowOff>19050</xdr:rowOff>
        </xdr:from>
        <xdr:to>
          <xdr:col>3</xdr:col>
          <xdr:colOff>9525</xdr:colOff>
          <xdr:row>65</xdr:row>
          <xdr:rowOff>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5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65</xdr:row>
          <xdr:rowOff>19050</xdr:rowOff>
        </xdr:from>
        <xdr:to>
          <xdr:col>3</xdr:col>
          <xdr:colOff>9525</xdr:colOff>
          <xdr:row>66</xdr:row>
          <xdr:rowOff>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5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63</xdr:row>
          <xdr:rowOff>19050</xdr:rowOff>
        </xdr:from>
        <xdr:to>
          <xdr:col>10</xdr:col>
          <xdr:colOff>0</xdr:colOff>
          <xdr:row>64</xdr:row>
          <xdr:rowOff>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5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64</xdr:row>
          <xdr:rowOff>19050</xdr:rowOff>
        </xdr:from>
        <xdr:to>
          <xdr:col>10</xdr:col>
          <xdr:colOff>0</xdr:colOff>
          <xdr:row>65</xdr:row>
          <xdr:rowOff>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5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66</xdr:row>
          <xdr:rowOff>19050</xdr:rowOff>
        </xdr:from>
        <xdr:to>
          <xdr:col>3</xdr:col>
          <xdr:colOff>9525</xdr:colOff>
          <xdr:row>67</xdr:row>
          <xdr:rowOff>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5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67</xdr:row>
          <xdr:rowOff>19050</xdr:rowOff>
        </xdr:from>
        <xdr:to>
          <xdr:col>1</xdr:col>
          <xdr:colOff>9525</xdr:colOff>
          <xdr:row>68</xdr:row>
          <xdr:rowOff>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5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69</xdr:row>
          <xdr:rowOff>19050</xdr:rowOff>
        </xdr:from>
        <xdr:to>
          <xdr:col>1</xdr:col>
          <xdr:colOff>9525</xdr:colOff>
          <xdr:row>70</xdr:row>
          <xdr:rowOff>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5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19050</xdr:rowOff>
        </xdr:from>
        <xdr:to>
          <xdr:col>1</xdr:col>
          <xdr:colOff>9525</xdr:colOff>
          <xdr:row>71</xdr:row>
          <xdr:rowOff>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5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19050</xdr:rowOff>
        </xdr:from>
        <xdr:to>
          <xdr:col>1</xdr:col>
          <xdr:colOff>9525</xdr:colOff>
          <xdr:row>72</xdr:row>
          <xdr:rowOff>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5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19050</xdr:rowOff>
        </xdr:from>
        <xdr:to>
          <xdr:col>1</xdr:col>
          <xdr:colOff>9525</xdr:colOff>
          <xdr:row>73</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5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19050</xdr:rowOff>
        </xdr:from>
        <xdr:to>
          <xdr:col>1</xdr:col>
          <xdr:colOff>9525</xdr:colOff>
          <xdr:row>73</xdr:row>
          <xdr:rowOff>180975</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5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74</xdr:row>
          <xdr:rowOff>19050</xdr:rowOff>
        </xdr:from>
        <xdr:to>
          <xdr:col>3</xdr:col>
          <xdr:colOff>9525</xdr:colOff>
          <xdr:row>75</xdr:row>
          <xdr:rowOff>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5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75</xdr:row>
          <xdr:rowOff>19050</xdr:rowOff>
        </xdr:from>
        <xdr:to>
          <xdr:col>3</xdr:col>
          <xdr:colOff>9525</xdr:colOff>
          <xdr:row>76</xdr:row>
          <xdr:rowOff>0</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5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819150</xdr:colOff>
          <xdr:row>74</xdr:row>
          <xdr:rowOff>19050</xdr:rowOff>
        </xdr:from>
        <xdr:to>
          <xdr:col>9</xdr:col>
          <xdr:colOff>0</xdr:colOff>
          <xdr:row>75</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5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819150</xdr:colOff>
          <xdr:row>75</xdr:row>
          <xdr:rowOff>28575</xdr:rowOff>
        </xdr:from>
        <xdr:to>
          <xdr:col>9</xdr:col>
          <xdr:colOff>0</xdr:colOff>
          <xdr:row>76</xdr:row>
          <xdr:rowOff>9525</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5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76</xdr:row>
          <xdr:rowOff>19050</xdr:rowOff>
        </xdr:from>
        <xdr:to>
          <xdr:col>3</xdr:col>
          <xdr:colOff>9525</xdr:colOff>
          <xdr:row>77</xdr:row>
          <xdr:rowOff>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5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28575</xdr:rowOff>
        </xdr:from>
        <xdr:to>
          <xdr:col>1</xdr:col>
          <xdr:colOff>0</xdr:colOff>
          <xdr:row>28</xdr:row>
          <xdr:rowOff>9525</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5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19050</xdr:rowOff>
        </xdr:from>
        <xdr:to>
          <xdr:col>1</xdr:col>
          <xdr:colOff>0</xdr:colOff>
          <xdr:row>22</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5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16</xdr:row>
          <xdr:rowOff>19050</xdr:rowOff>
        </xdr:from>
        <xdr:to>
          <xdr:col>5</xdr:col>
          <xdr:colOff>781050</xdr:colOff>
          <xdr:row>17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5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16</xdr:row>
          <xdr:rowOff>19050</xdr:rowOff>
        </xdr:from>
        <xdr:to>
          <xdr:col>7</xdr:col>
          <xdr:colOff>781050</xdr:colOff>
          <xdr:row>17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5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5</xdr:col>
      <xdr:colOff>38099</xdr:colOff>
      <xdr:row>4</xdr:row>
      <xdr:rowOff>141225</xdr:rowOff>
    </xdr:from>
    <xdr:to>
      <xdr:col>8</xdr:col>
      <xdr:colOff>123062</xdr:colOff>
      <xdr:row>7</xdr:row>
      <xdr:rowOff>74550</xdr:rowOff>
    </xdr:to>
    <xdr:pic>
      <xdr:nvPicPr>
        <xdr:cNvPr id="4" name="Picture 3">
          <a:extLst>
            <a:ext uri="{FF2B5EF4-FFF2-40B4-BE49-F238E27FC236}">
              <a16:creationId xmlns:a16="http://schemas.microsoft.com/office/drawing/2014/main" id="{60C9E90C-1E2F-4ACC-A4D6-C2629DF71E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1699" y="998475"/>
          <a:ext cx="3371088" cy="533400"/>
        </a:xfrm>
        <a:prstGeom prst="rect">
          <a:avLst/>
        </a:prstGeom>
      </xdr:spPr>
    </xdr:pic>
    <xdr:clientData/>
  </xdr:twoCellAnchor>
  <xdr:twoCellAnchor>
    <xdr:from>
      <xdr:col>4</xdr:col>
      <xdr:colOff>10583</xdr:colOff>
      <xdr:row>8</xdr:row>
      <xdr:rowOff>10583</xdr:rowOff>
    </xdr:from>
    <xdr:to>
      <xdr:col>8</xdr:col>
      <xdr:colOff>901699</xdr:colOff>
      <xdr:row>21</xdr:row>
      <xdr:rowOff>0</xdr:rowOff>
    </xdr:to>
    <xdr:graphicFrame macro="">
      <xdr:nvGraphicFramePr>
        <xdr:cNvPr id="2" name="Chart 1">
          <a:extLst>
            <a:ext uri="{FF2B5EF4-FFF2-40B4-BE49-F238E27FC236}">
              <a16:creationId xmlns:a16="http://schemas.microsoft.com/office/drawing/2014/main" id="{E7EBFAAA-E4F2-47BC-A2C1-166359AAE09E}"/>
            </a:ext>
            <a:ext uri="{147F2762-F138-4A5C-976F-8EAC2B608ADB}">
              <a16:predDERef xmlns:a16="http://schemas.microsoft.com/office/drawing/2014/main" pred="{60C9E90C-1E2F-4ACC-A4D6-C2629DF71E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Doutre, Austin" id="{901AD99F-3C4A-45A7-A4AF-CA7D324DCF81}" userId="S::Austin.Doutre@pse.com::85b0d59f-ac8b-4780-a508-7f5355012d9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4" displayName="Table4" ref="T3:W15" headerRowDxfId="40" dataDxfId="39" totalsRowDxfId="38">
  <tableColumns count="4">
    <tableColumn id="1" xr3:uid="{00000000-0010-0000-0000-000001000000}" name="Type" dataDxfId="37"/>
    <tableColumn id="2" xr3:uid="{00000000-0010-0000-0000-000002000000}" name="Median" dataDxfId="36" dataCellStyle="Normal 2 10 2"/>
    <tableColumn id="3" xr3:uid="{00000000-0010-0000-0000-000003000000}" name="Q1" dataDxfId="35"/>
    <tableColumn id="4" xr3:uid="{00000000-0010-0000-0000-000004000000}" name="Q3" dataDxfId="34"/>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O3:R15" headerRowDxfId="33" dataDxfId="32" totalsRowDxfId="31">
  <tableColumns count="4">
    <tableColumn id="1" xr3:uid="{00000000-0010-0000-0100-000001000000}" name="Type" dataDxfId="30"/>
    <tableColumn id="2" xr3:uid="{00000000-0010-0000-0100-000002000000}" name="Median" dataDxfId="29" dataCellStyle="Normal 2 10 2"/>
    <tableColumn id="3" xr3:uid="{00000000-0010-0000-0100-000003000000}" name="Q1" dataDxfId="28"/>
    <tableColumn id="4" xr3:uid="{00000000-0010-0000-0100-000004000000}" name="Q3" dataDxfId="27"/>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61" dT="2025-07-31T21:53:53.84" personId="{901AD99F-3C4A-45A7-A4AF-CA7D324DCF81}" id="{CAE6EB77-3A18-4C9A-B9C4-75D5CF65D555}">
    <text>Not a vital piece of the Pre-screen, but useful as a minimum Assessment Report</text>
  </threadedComment>
</ThreadedComments>
</file>

<file path=xl/threadedComments/threadedComment2.xml><?xml version="1.0" encoding="utf-8"?>
<ThreadedComments xmlns="http://schemas.microsoft.com/office/spreadsheetml/2018/threadedcomments" xmlns:x="http://schemas.openxmlformats.org/spreadsheetml/2006/main">
  <threadedComment ref="A41" dT="2025-05-29T16:26:59.14" personId="{901AD99F-3C4A-45A7-A4AF-CA7D324DCF81}" id="{2997AEE0-FFEE-4ED8-B16A-0CAD56E73F87}">
    <text>6.8% comes from AutoFund, but NPV calc references cell C15. And where does the 3% inflation in energy cost come from? Can we also make that dynamic?</text>
  </threadedComment>
  <threadedComment ref="B100" dT="2025-05-02T19:35:28.93" personId="{901AD99F-3C4A-45A7-A4AF-CA7D324DCF81}" id="{D1AE70AE-443D-47C3-AB97-F7533F04C07C}">
    <text>Why does adjusted cost (implementation) only factor in when PSE G&amp;E? Shouldn't it be regardless since the amount already takes into account the project type?</text>
  </threadedComment>
  <threadedComment ref="B100" dT="2025-05-02T19:52:20.88" personId="{901AD99F-3C4A-45A7-A4AF-CA7D324DCF81}" id="{B207ECF7-330F-4355-A835-B0FB33B3F25E}" parentId="{D1AE70AE-443D-47C3-AB97-F7533F04C07C}">
    <text>Also need to make sure split of cost disregards non-PSE fuel type/savings.</text>
  </threadedComment>
  <threadedComment ref="H101" dT="2025-05-09T23:16:12.39" personId="{901AD99F-3C4A-45A7-A4AF-CA7D324DCF81}" id="{443EDBE9-379D-41CF-9208-996BD54DAE6B}">
    <text>MIN Estimate</text>
  </threadedComment>
  <threadedComment ref="H102" dT="2025-05-09T23:16:20.03" personId="{901AD99F-3C4A-45A7-A4AF-CA7D324DCF81}" id="{553A39D5-8218-41DC-8B5A-9BB26FCD8600}">
    <text>MAX Estimate</text>
  </threadedComment>
</ThreadedComments>
</file>

<file path=xl/threadedComments/threadedComment3.xml><?xml version="1.0" encoding="utf-8"?>
<ThreadedComments xmlns="http://schemas.microsoft.com/office/spreadsheetml/2018/threadedcomments" xmlns:x="http://schemas.openxmlformats.org/spreadsheetml/2006/main">
  <threadedComment ref="A4" dT="2025-06-13T22:32:42.87" personId="{901AD99F-3C4A-45A7-A4AF-CA7D324DCF81}" id="{CA5FE779-FE6F-47D6-9C3E-D2AD1F0FAFA7}">
    <text>What are the "eligible" upgrades?</text>
  </threadedComment>
  <threadedComment ref="A8" dT="2025-05-14T16:56:25.87" personId="{901AD99F-3C4A-45A7-A4AF-CA7D324DCF81}" id="{ED0473ED-E1F0-4822-B8E5-AD068F5C5F15}">
    <text>Does this statement mean costs must exceed the Maximum Required Cost estimate, or can be up to and OK?</text>
  </threadedComment>
</ThreadedComment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5" Type="http://schemas.microsoft.com/office/2017/10/relationships/threadedComment" Target="../threadedComments/threadedComment3.xml"/><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1.v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pse.com/en/business-incentives/commissioning-programs" TargetMode="External"/><Relationship Id="rId2" Type="http://schemas.openxmlformats.org/officeDocument/2006/relationships/hyperlink" Target="https://www.pse.com/en/business-incentives/commissioning-programs/existing-building-commissioning" TargetMode="External"/><Relationship Id="rId1" Type="http://schemas.openxmlformats.org/officeDocument/2006/relationships/hyperlink" Target="https://www.pse.com/en/business-incentives/commissioning-programs/existing-building-commissioning" TargetMode="Externa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2.v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4.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microsoft.com/office/2017/10/relationships/threadedComment" Target="../threadedComments/threadedComment1.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3.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omments" Target="../comments2.xml"/><Relationship Id="rId8"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6F8A6-9ABB-4B46-B670-CD98ABD198C7}">
  <sheetPr codeName="Sheet1"/>
  <dimension ref="B2:D27"/>
  <sheetViews>
    <sheetView workbookViewId="0">
      <pane xSplit="1" ySplit="4" topLeftCell="B12" activePane="bottomRight" state="frozen"/>
      <selection pane="topRight" activeCell="B1" sqref="B1"/>
      <selection pane="bottomLeft" activeCell="A5" sqref="A5"/>
      <selection pane="bottomRight" activeCell="C30" sqref="C30"/>
    </sheetView>
  </sheetViews>
  <sheetFormatPr defaultColWidth="9.140625" defaultRowHeight="12.75" x14ac:dyDescent="0.2"/>
  <cols>
    <col min="1" max="1" width="2.85546875" style="84" customWidth="1"/>
    <col min="2" max="2" width="10.85546875" style="84" bestFit="1" customWidth="1"/>
    <col min="3" max="3" width="85.7109375" style="84" customWidth="1"/>
    <col min="4" max="4" width="12.28515625" style="84" bestFit="1" customWidth="1"/>
    <col min="5" max="16384" width="9.140625" style="84"/>
  </cols>
  <sheetData>
    <row r="2" spans="2:4" x14ac:dyDescent="0.2">
      <c r="B2" s="84" t="s">
        <v>0</v>
      </c>
    </row>
    <row r="4" spans="2:4" x14ac:dyDescent="0.2">
      <c r="B4" s="106" t="s">
        <v>1</v>
      </c>
      <c r="C4" s="106" t="s">
        <v>2</v>
      </c>
      <c r="D4" s="106" t="s">
        <v>3</v>
      </c>
    </row>
    <row r="5" spans="2:4" x14ac:dyDescent="0.2">
      <c r="B5" s="107">
        <v>45699</v>
      </c>
      <c r="C5" s="83" t="s">
        <v>4</v>
      </c>
      <c r="D5" s="84" t="s">
        <v>5</v>
      </c>
    </row>
    <row r="6" spans="2:4" x14ac:dyDescent="0.2">
      <c r="C6" s="84" t="s">
        <v>6</v>
      </c>
    </row>
    <row r="7" spans="2:4" x14ac:dyDescent="0.2">
      <c r="C7" s="84" t="s">
        <v>7</v>
      </c>
    </row>
    <row r="8" spans="2:4" ht="51" x14ac:dyDescent="0.2">
      <c r="B8" s="107">
        <v>45741</v>
      </c>
      <c r="C8" s="83" t="s">
        <v>8</v>
      </c>
      <c r="D8" s="84" t="s">
        <v>5</v>
      </c>
    </row>
    <row r="9" spans="2:4" ht="51" x14ac:dyDescent="0.2">
      <c r="B9" s="107">
        <v>45762</v>
      </c>
      <c r="C9" s="83" t="s">
        <v>9</v>
      </c>
      <c r="D9" s="84" t="s">
        <v>5</v>
      </c>
    </row>
    <row r="10" spans="2:4" ht="38.25" x14ac:dyDescent="0.2">
      <c r="B10" s="107">
        <v>45764</v>
      </c>
      <c r="C10" s="83" t="s">
        <v>10</v>
      </c>
      <c r="D10" s="84" t="s">
        <v>5</v>
      </c>
    </row>
    <row r="11" spans="2:4" ht="38.25" x14ac:dyDescent="0.2">
      <c r="B11" s="107">
        <v>45769</v>
      </c>
      <c r="C11" s="83" t="s">
        <v>11</v>
      </c>
      <c r="D11" s="84" t="s">
        <v>5</v>
      </c>
    </row>
    <row r="12" spans="2:4" ht="38.25" x14ac:dyDescent="0.2">
      <c r="B12" s="107">
        <v>45772</v>
      </c>
      <c r="C12" s="83" t="s">
        <v>12</v>
      </c>
      <c r="D12" s="84" t="s">
        <v>5</v>
      </c>
    </row>
    <row r="13" spans="2:4" ht="25.5" x14ac:dyDescent="0.2">
      <c r="B13" s="107">
        <v>45775</v>
      </c>
      <c r="C13" s="83" t="s">
        <v>13</v>
      </c>
      <c r="D13" s="84" t="s">
        <v>5</v>
      </c>
    </row>
    <row r="14" spans="2:4" ht="38.25" x14ac:dyDescent="0.2">
      <c r="B14" s="107">
        <v>45777</v>
      </c>
      <c r="C14" s="83" t="s">
        <v>14</v>
      </c>
      <c r="D14" s="84" t="s">
        <v>5</v>
      </c>
    </row>
    <row r="15" spans="2:4" ht="38.25" x14ac:dyDescent="0.2">
      <c r="B15" s="107">
        <v>45778</v>
      </c>
      <c r="C15" s="83" t="s">
        <v>15</v>
      </c>
      <c r="D15" s="84" t="s">
        <v>5</v>
      </c>
    </row>
    <row r="16" spans="2:4" ht="25.5" x14ac:dyDescent="0.2">
      <c r="B16" s="107">
        <v>45779</v>
      </c>
      <c r="C16" s="83" t="s">
        <v>16</v>
      </c>
      <c r="D16" s="84" t="s">
        <v>5</v>
      </c>
    </row>
    <row r="17" spans="2:4" ht="25.5" x14ac:dyDescent="0.2">
      <c r="B17" s="107">
        <v>45782</v>
      </c>
      <c r="C17" s="83" t="s">
        <v>17</v>
      </c>
      <c r="D17" s="84" t="s">
        <v>5</v>
      </c>
    </row>
    <row r="18" spans="2:4" x14ac:dyDescent="0.2">
      <c r="B18" s="107">
        <v>45784</v>
      </c>
      <c r="C18" s="83" t="s">
        <v>18</v>
      </c>
      <c r="D18" s="84" t="s">
        <v>5</v>
      </c>
    </row>
    <row r="19" spans="2:4" x14ac:dyDescent="0.2">
      <c r="B19" s="107">
        <v>45786</v>
      </c>
      <c r="C19" s="83" t="s">
        <v>19</v>
      </c>
      <c r="D19" s="84" t="s">
        <v>5</v>
      </c>
    </row>
    <row r="20" spans="2:4" ht="51" x14ac:dyDescent="0.2">
      <c r="B20" s="107">
        <v>45791</v>
      </c>
      <c r="C20" s="83" t="s">
        <v>20</v>
      </c>
      <c r="D20" s="84" t="s">
        <v>5</v>
      </c>
    </row>
    <row r="21" spans="2:4" ht="25.5" x14ac:dyDescent="0.2">
      <c r="B21" s="107">
        <v>45797</v>
      </c>
      <c r="C21" s="83" t="s">
        <v>21</v>
      </c>
      <c r="D21" s="84" t="s">
        <v>5</v>
      </c>
    </row>
    <row r="22" spans="2:4" ht="25.5" x14ac:dyDescent="0.2">
      <c r="B22" s="107">
        <v>45806</v>
      </c>
      <c r="C22" s="83" t="s">
        <v>22</v>
      </c>
      <c r="D22" s="84" t="s">
        <v>5</v>
      </c>
    </row>
    <row r="23" spans="2:4" x14ac:dyDescent="0.2">
      <c r="B23" s="107">
        <v>45817</v>
      </c>
      <c r="C23" s="83" t="s">
        <v>23</v>
      </c>
      <c r="D23" s="84" t="s">
        <v>5</v>
      </c>
    </row>
    <row r="24" spans="2:4" x14ac:dyDescent="0.2">
      <c r="B24" s="107">
        <v>45856</v>
      </c>
      <c r="C24" s="83" t="s">
        <v>24</v>
      </c>
      <c r="D24" s="84" t="s">
        <v>25</v>
      </c>
    </row>
    <row r="25" spans="2:4" ht="25.5" x14ac:dyDescent="0.2">
      <c r="C25" s="83" t="s">
        <v>26</v>
      </c>
    </row>
    <row r="26" spans="2:4" x14ac:dyDescent="0.2">
      <c r="B26" s="107">
        <v>45869</v>
      </c>
      <c r="C26" s="83" t="s">
        <v>27</v>
      </c>
      <c r="D26" s="84" t="s">
        <v>5</v>
      </c>
    </row>
    <row r="27" spans="2:4" x14ac:dyDescent="0.2">
      <c r="B27" s="107">
        <v>45918</v>
      </c>
      <c r="C27" s="83" t="s">
        <v>28</v>
      </c>
      <c r="D27" s="84" t="s">
        <v>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444D6-C218-4524-82AF-FE743475515F}">
  <sheetPr codeName="Sheet12">
    <tabColor rgb="FFBFDDA3"/>
  </sheetPr>
  <dimension ref="A1:Q128"/>
  <sheetViews>
    <sheetView showGridLines="0" showRuler="0" view="pageLayout" zoomScaleNormal="100" zoomScaleSheetLayoutView="80" workbookViewId="0">
      <selection activeCell="B5" sqref="B5"/>
    </sheetView>
  </sheetViews>
  <sheetFormatPr defaultColWidth="9.140625" defaultRowHeight="12.75" x14ac:dyDescent="0.2"/>
  <cols>
    <col min="1" max="2" width="10" style="224" customWidth="1"/>
    <col min="3" max="3" width="10.85546875" style="224" bestFit="1" customWidth="1"/>
    <col min="4" max="4" width="2" style="224" bestFit="1" customWidth="1"/>
    <col min="5" max="5" width="10.42578125" style="224" customWidth="1"/>
    <col min="6" max="6" width="2" style="224" customWidth="1"/>
    <col min="7" max="7" width="10.42578125" style="224" customWidth="1"/>
    <col min="8" max="8" width="2" style="224" customWidth="1"/>
    <col min="9" max="9" width="10.42578125" style="224" customWidth="1"/>
    <col min="10" max="10" width="2" style="224" customWidth="1"/>
    <col min="11" max="11" width="6.42578125" style="224" customWidth="1"/>
    <col min="12" max="12" width="3.85546875" style="224" customWidth="1"/>
    <col min="13" max="13" width="10.28515625" style="224" customWidth="1"/>
    <col min="14" max="16384" width="9.140625" style="224"/>
  </cols>
  <sheetData>
    <row r="1" spans="1:17" ht="15" x14ac:dyDescent="0.25">
      <c r="A1" s="758" t="str">
        <f>"PSE "&amp;VLOOKUP(CxPath,Hidden!$K$3:$M$5,3,FALSE)</f>
        <v>PSE Existing Building Commissioning (EBCx)</v>
      </c>
      <c r="B1" s="758"/>
      <c r="C1" s="758"/>
      <c r="D1" s="758"/>
      <c r="E1" s="758"/>
      <c r="F1" s="758"/>
      <c r="G1" s="758"/>
      <c r="H1" s="758"/>
      <c r="I1" s="758"/>
      <c r="J1" s="758"/>
      <c r="K1" s="758"/>
      <c r="L1" s="758"/>
      <c r="M1" s="758"/>
    </row>
    <row r="2" spans="1:17" ht="5.0999999999999996" customHeight="1" x14ac:dyDescent="0.25">
      <c r="A2" s="336"/>
      <c r="B2" s="336"/>
      <c r="C2" s="336"/>
      <c r="D2" s="336"/>
      <c r="E2" s="336"/>
      <c r="F2" s="336"/>
      <c r="G2" s="336"/>
      <c r="H2" s="336"/>
      <c r="J2" s="336"/>
    </row>
    <row r="3" spans="1:17" x14ac:dyDescent="0.2">
      <c r="A3" s="346" t="s">
        <v>298</v>
      </c>
      <c r="B3" s="827" t="str">
        <f>""&amp;'Pre-screen+Assessment'!F4</f>
        <v/>
      </c>
      <c r="C3" s="828"/>
      <c r="D3" s="828"/>
      <c r="E3" s="828"/>
      <c r="F3" s="828"/>
      <c r="G3" s="828"/>
      <c r="H3" s="828"/>
      <c r="I3" s="828"/>
      <c r="J3" s="828"/>
      <c r="K3" s="828"/>
      <c r="L3" s="828"/>
      <c r="M3" s="829"/>
    </row>
    <row r="4" spans="1:17" ht="4.3499999999999996" customHeight="1" x14ac:dyDescent="0.2">
      <c r="N4" s="84"/>
      <c r="O4" s="84"/>
      <c r="P4" s="84"/>
      <c r="Q4" s="84"/>
    </row>
    <row r="5" spans="1:17" x14ac:dyDescent="0.2">
      <c r="A5" s="346" t="s">
        <v>437</v>
      </c>
      <c r="B5" s="413"/>
      <c r="C5" s="529" t="s">
        <v>438</v>
      </c>
      <c r="D5" s="820" t="str">
        <f>IFERROR(VLOOKUP(B5,EEI_SummaryTable!$A$16:$U$43,2,FALSE),"")</f>
        <v/>
      </c>
      <c r="E5" s="821"/>
      <c r="F5" s="821"/>
      <c r="G5" s="821"/>
      <c r="H5" s="821"/>
      <c r="I5" s="822"/>
      <c r="J5" s="823" t="s">
        <v>439</v>
      </c>
      <c r="K5" s="824"/>
      <c r="L5" s="825"/>
      <c r="M5" s="417" t="str">
        <f>IFERROR(VLOOKUP(B5,EEI_SummaryTable!$A$16:$U$43,15,FALSE),"")</f>
        <v/>
      </c>
      <c r="O5"/>
      <c r="P5"/>
      <c r="Q5"/>
    </row>
    <row r="6" spans="1:17" ht="4.3499999999999996" customHeight="1" x14ac:dyDescent="0.2">
      <c r="A6" s="415"/>
      <c r="K6" s="230"/>
      <c r="L6" s="230"/>
      <c r="O6"/>
      <c r="P6"/>
      <c r="Q6"/>
    </row>
    <row r="7" spans="1:17" x14ac:dyDescent="0.2">
      <c r="C7" s="346" t="s">
        <v>440</v>
      </c>
      <c r="D7" s="416"/>
      <c r="E7" s="13" t="s">
        <v>441</v>
      </c>
      <c r="F7" s="416"/>
      <c r="G7" s="13" t="s">
        <v>442</v>
      </c>
      <c r="H7" s="416"/>
      <c r="I7" s="13" t="s">
        <v>443</v>
      </c>
      <c r="J7" s="416"/>
      <c r="K7" s="13" t="s">
        <v>86</v>
      </c>
      <c r="L7" s="820"/>
      <c r="M7" s="822"/>
      <c r="N7" s="84"/>
      <c r="O7"/>
      <c r="P7"/>
      <c r="Q7"/>
    </row>
    <row r="8" spans="1:17" ht="16.5" customHeight="1" x14ac:dyDescent="0.2">
      <c r="A8" s="830" t="s">
        <v>444</v>
      </c>
      <c r="B8" s="830"/>
      <c r="C8" s="830"/>
      <c r="D8" s="830"/>
      <c r="E8" s="830"/>
      <c r="F8" s="830"/>
      <c r="G8" s="830"/>
      <c r="H8" s="830"/>
      <c r="I8" s="830"/>
      <c r="J8" s="830"/>
      <c r="K8" s="830"/>
      <c r="L8" s="830"/>
      <c r="M8" s="830"/>
      <c r="N8"/>
      <c r="O8"/>
      <c r="P8"/>
      <c r="Q8"/>
    </row>
    <row r="9" spans="1:17" ht="32.25" customHeight="1" x14ac:dyDescent="0.2">
      <c r="A9" s="831"/>
      <c r="B9" s="832"/>
      <c r="C9" s="832"/>
      <c r="D9" s="832"/>
      <c r="E9" s="832"/>
      <c r="F9" s="832"/>
      <c r="G9" s="832"/>
      <c r="H9" s="832"/>
      <c r="I9" s="832"/>
      <c r="J9" s="832"/>
      <c r="K9" s="832"/>
      <c r="L9" s="832"/>
      <c r="M9" s="833"/>
      <c r="N9" s="84"/>
      <c r="O9"/>
      <c r="P9"/>
      <c r="Q9"/>
    </row>
    <row r="10" spans="1:17" ht="16.5" customHeight="1" x14ac:dyDescent="0.2">
      <c r="A10" s="834" t="s">
        <v>445</v>
      </c>
      <c r="B10" s="834"/>
      <c r="C10" s="834"/>
      <c r="D10" s="834"/>
      <c r="E10" s="834"/>
      <c r="F10" s="834"/>
      <c r="G10" s="834"/>
      <c r="H10" s="834"/>
      <c r="I10" s="834"/>
      <c r="J10" s="834"/>
      <c r="K10" s="834"/>
      <c r="L10" s="834"/>
      <c r="M10" s="834"/>
      <c r="N10"/>
      <c r="O10"/>
      <c r="P10"/>
      <c r="Q10"/>
    </row>
    <row r="11" spans="1:17" ht="32.25" customHeight="1" x14ac:dyDescent="0.2">
      <c r="A11" s="831"/>
      <c r="B11" s="832"/>
      <c r="C11" s="832"/>
      <c r="D11" s="832"/>
      <c r="E11" s="832"/>
      <c r="F11" s="832"/>
      <c r="G11" s="832"/>
      <c r="H11" s="832"/>
      <c r="I11" s="832"/>
      <c r="J11" s="832"/>
      <c r="K11" s="832"/>
      <c r="L11" s="832"/>
      <c r="M11" s="833"/>
      <c r="N11" s="84"/>
      <c r="O11" s="84"/>
      <c r="P11" s="84"/>
      <c r="Q11" s="84"/>
    </row>
    <row r="12" spans="1:17" ht="16.5" customHeight="1" x14ac:dyDescent="0.2">
      <c r="A12" s="418" t="s">
        <v>1</v>
      </c>
      <c r="B12" s="826" t="s">
        <v>446</v>
      </c>
      <c r="C12" s="826"/>
      <c r="D12" s="826"/>
      <c r="E12" s="418" t="s">
        <v>447</v>
      </c>
      <c r="F12" s="826" t="s">
        <v>448</v>
      </c>
      <c r="G12" s="826"/>
      <c r="H12" s="826"/>
      <c r="I12" s="826"/>
      <c r="J12" s="826"/>
      <c r="K12" s="826"/>
      <c r="L12" s="826"/>
      <c r="M12" s="826"/>
      <c r="N12" s="84"/>
      <c r="O12" s="84"/>
      <c r="P12" s="84"/>
      <c r="Q12" s="84"/>
    </row>
    <row r="13" spans="1:17" x14ac:dyDescent="0.2">
      <c r="A13" s="352"/>
      <c r="B13" s="827"/>
      <c r="C13" s="828"/>
      <c r="D13" s="829"/>
      <c r="E13" s="414"/>
      <c r="F13" s="827"/>
      <c r="G13" s="828"/>
      <c r="H13" s="828"/>
      <c r="I13" s="828"/>
      <c r="J13" s="828"/>
      <c r="K13" s="828"/>
      <c r="L13" s="828"/>
      <c r="M13" s="829"/>
      <c r="N13" s="84"/>
      <c r="O13" s="84"/>
      <c r="P13" s="84"/>
      <c r="Q13" s="84"/>
    </row>
    <row r="14" spans="1:17" x14ac:dyDescent="0.2">
      <c r="A14" s="352"/>
      <c r="B14" s="827"/>
      <c r="C14" s="828"/>
      <c r="D14" s="829"/>
      <c r="E14" s="414"/>
      <c r="F14" s="827"/>
      <c r="G14" s="828"/>
      <c r="H14" s="828"/>
      <c r="I14" s="828"/>
      <c r="J14" s="828"/>
      <c r="K14" s="828"/>
      <c r="L14" s="828"/>
      <c r="M14" s="829"/>
      <c r="N14" s="84"/>
      <c r="O14" s="84"/>
      <c r="P14" s="84"/>
      <c r="Q14" s="84"/>
    </row>
    <row r="15" spans="1:17" x14ac:dyDescent="0.2">
      <c r="A15" s="352"/>
      <c r="B15" s="827"/>
      <c r="C15" s="828"/>
      <c r="D15" s="829"/>
      <c r="E15" s="414"/>
      <c r="F15" s="827"/>
      <c r="G15" s="828"/>
      <c r="H15" s="828"/>
      <c r="I15" s="828"/>
      <c r="J15" s="828"/>
      <c r="K15" s="828"/>
      <c r="L15" s="828"/>
      <c r="M15" s="829"/>
      <c r="N15" s="84"/>
      <c r="O15" s="84"/>
      <c r="P15" s="84"/>
      <c r="Q15" s="84"/>
    </row>
    <row r="16" spans="1:17" x14ac:dyDescent="0.2">
      <c r="A16" s="352"/>
      <c r="B16" s="827"/>
      <c r="C16" s="828"/>
      <c r="D16" s="829"/>
      <c r="E16" s="414"/>
      <c r="F16" s="827"/>
      <c r="G16" s="828"/>
      <c r="H16" s="828"/>
      <c r="I16" s="828"/>
      <c r="J16" s="828"/>
      <c r="K16" s="828"/>
      <c r="L16" s="828"/>
      <c r="M16" s="829"/>
      <c r="N16" s="84"/>
      <c r="O16" s="84"/>
      <c r="P16" s="84"/>
      <c r="Q16" s="84"/>
    </row>
    <row r="17" spans="1:17" ht="10.7" customHeight="1" x14ac:dyDescent="0.2">
      <c r="A17" s="419"/>
      <c r="B17" s="419"/>
      <c r="C17" s="419"/>
      <c r="D17" s="419"/>
      <c r="E17" s="419"/>
      <c r="F17" s="419"/>
      <c r="G17" s="419"/>
      <c r="H17" s="419"/>
      <c r="I17" s="419"/>
      <c r="J17" s="419"/>
      <c r="K17" s="419"/>
      <c r="L17" s="419"/>
      <c r="M17" s="419"/>
      <c r="N17" s="84"/>
      <c r="O17" s="84"/>
      <c r="P17" s="84"/>
      <c r="Q17" s="84"/>
    </row>
    <row r="18" spans="1:17" ht="10.7" customHeight="1" x14ac:dyDescent="0.2"/>
    <row r="19" spans="1:17" x14ac:dyDescent="0.2">
      <c r="A19" s="346" t="s">
        <v>437</v>
      </c>
      <c r="B19" s="413"/>
      <c r="C19" s="529" t="s">
        <v>438</v>
      </c>
      <c r="D19" s="820" t="str">
        <f>IFERROR(VLOOKUP(B19,EEI_SummaryTable!$A$16:$U$43,2,FALSE),"")</f>
        <v/>
      </c>
      <c r="E19" s="821"/>
      <c r="F19" s="821"/>
      <c r="G19" s="821"/>
      <c r="H19" s="821"/>
      <c r="I19" s="822"/>
      <c r="J19" s="823" t="s">
        <v>439</v>
      </c>
      <c r="K19" s="824"/>
      <c r="L19" s="825"/>
      <c r="M19" s="417" t="str">
        <f>IFERROR(VLOOKUP(B19,EEI_SummaryTable!$A$16:$U$43,15,FALSE),"")</f>
        <v/>
      </c>
      <c r="O19"/>
      <c r="P19"/>
      <c r="Q19"/>
    </row>
    <row r="20" spans="1:17" ht="4.3499999999999996" customHeight="1" x14ac:dyDescent="0.2">
      <c r="A20" s="415"/>
      <c r="K20" s="230"/>
      <c r="L20" s="230"/>
      <c r="O20"/>
      <c r="P20"/>
      <c r="Q20"/>
    </row>
    <row r="21" spans="1:17" x14ac:dyDescent="0.2">
      <c r="C21" s="346" t="s">
        <v>440</v>
      </c>
      <c r="D21" s="416"/>
      <c r="E21" s="13" t="s">
        <v>441</v>
      </c>
      <c r="F21" s="416"/>
      <c r="G21" s="13" t="s">
        <v>442</v>
      </c>
      <c r="H21" s="416"/>
      <c r="I21" s="13" t="s">
        <v>443</v>
      </c>
      <c r="J21" s="416"/>
      <c r="K21" s="13" t="s">
        <v>86</v>
      </c>
      <c r="L21" s="820"/>
      <c r="M21" s="822"/>
      <c r="N21" s="84"/>
      <c r="O21"/>
      <c r="P21"/>
      <c r="Q21"/>
    </row>
    <row r="22" spans="1:17" ht="16.5" customHeight="1" x14ac:dyDescent="0.2">
      <c r="A22" s="830" t="s">
        <v>444</v>
      </c>
      <c r="B22" s="830"/>
      <c r="C22" s="830"/>
      <c r="D22" s="830"/>
      <c r="E22" s="830"/>
      <c r="F22" s="830"/>
      <c r="G22" s="830"/>
      <c r="H22" s="830"/>
      <c r="I22" s="830"/>
      <c r="J22" s="830"/>
      <c r="K22" s="830"/>
      <c r="L22" s="830"/>
      <c r="M22" s="830"/>
      <c r="N22"/>
      <c r="O22"/>
      <c r="P22"/>
      <c r="Q22"/>
    </row>
    <row r="23" spans="1:17" ht="32.25" customHeight="1" x14ac:dyDescent="0.2">
      <c r="A23" s="831"/>
      <c r="B23" s="832"/>
      <c r="C23" s="832"/>
      <c r="D23" s="832"/>
      <c r="E23" s="832"/>
      <c r="F23" s="832"/>
      <c r="G23" s="832"/>
      <c r="H23" s="832"/>
      <c r="I23" s="832"/>
      <c r="J23" s="832"/>
      <c r="K23" s="832"/>
      <c r="L23" s="832"/>
      <c r="M23" s="833"/>
      <c r="N23" s="84"/>
      <c r="O23"/>
      <c r="P23"/>
      <c r="Q23"/>
    </row>
    <row r="24" spans="1:17" ht="16.5" customHeight="1" x14ac:dyDescent="0.2">
      <c r="A24" s="834" t="s">
        <v>445</v>
      </c>
      <c r="B24" s="834"/>
      <c r="C24" s="834"/>
      <c r="D24" s="834"/>
      <c r="E24" s="834"/>
      <c r="F24" s="834"/>
      <c r="G24" s="834"/>
      <c r="H24" s="834"/>
      <c r="I24" s="834"/>
      <c r="J24" s="834"/>
      <c r="K24" s="834"/>
      <c r="L24" s="834"/>
      <c r="M24" s="834"/>
      <c r="N24"/>
      <c r="O24"/>
      <c r="P24"/>
      <c r="Q24"/>
    </row>
    <row r="25" spans="1:17" ht="32.25" customHeight="1" x14ac:dyDescent="0.2">
      <c r="A25" s="831"/>
      <c r="B25" s="832"/>
      <c r="C25" s="832"/>
      <c r="D25" s="832"/>
      <c r="E25" s="832"/>
      <c r="F25" s="832"/>
      <c r="G25" s="832"/>
      <c r="H25" s="832"/>
      <c r="I25" s="832"/>
      <c r="J25" s="832"/>
      <c r="K25" s="832"/>
      <c r="L25" s="832"/>
      <c r="M25" s="833"/>
      <c r="N25" s="84"/>
      <c r="O25" s="84"/>
      <c r="P25" s="84"/>
      <c r="Q25" s="84"/>
    </row>
    <row r="26" spans="1:17" ht="16.5" customHeight="1" x14ac:dyDescent="0.2">
      <c r="A26" s="418" t="s">
        <v>1</v>
      </c>
      <c r="B26" s="826" t="s">
        <v>446</v>
      </c>
      <c r="C26" s="826"/>
      <c r="D26" s="826"/>
      <c r="E26" s="418" t="s">
        <v>447</v>
      </c>
      <c r="F26" s="826" t="s">
        <v>448</v>
      </c>
      <c r="G26" s="826"/>
      <c r="H26" s="826"/>
      <c r="I26" s="826"/>
      <c r="J26" s="826"/>
      <c r="K26" s="826"/>
      <c r="L26" s="826"/>
      <c r="M26" s="826"/>
      <c r="N26" s="84"/>
      <c r="O26" s="84"/>
      <c r="P26" s="84"/>
      <c r="Q26" s="84"/>
    </row>
    <row r="27" spans="1:17" x14ac:dyDescent="0.2">
      <c r="A27" s="352"/>
      <c r="B27" s="827"/>
      <c r="C27" s="828"/>
      <c r="D27" s="829"/>
      <c r="E27" s="414"/>
      <c r="F27" s="827"/>
      <c r="G27" s="828"/>
      <c r="H27" s="828"/>
      <c r="I27" s="828"/>
      <c r="J27" s="828"/>
      <c r="K27" s="828"/>
      <c r="L27" s="828"/>
      <c r="M27" s="829"/>
      <c r="N27" s="84"/>
      <c r="O27" s="84"/>
      <c r="P27" s="84"/>
      <c r="Q27" s="84"/>
    </row>
    <row r="28" spans="1:17" x14ac:dyDescent="0.2">
      <c r="A28" s="352"/>
      <c r="B28" s="827"/>
      <c r="C28" s="828"/>
      <c r="D28" s="829"/>
      <c r="E28" s="414"/>
      <c r="F28" s="827"/>
      <c r="G28" s="828"/>
      <c r="H28" s="828"/>
      <c r="I28" s="828"/>
      <c r="J28" s="828"/>
      <c r="K28" s="828"/>
      <c r="L28" s="828"/>
      <c r="M28" s="829"/>
      <c r="N28" s="84"/>
      <c r="O28" s="84"/>
      <c r="P28" s="84"/>
      <c r="Q28" s="84"/>
    </row>
    <row r="29" spans="1:17" x14ac:dyDescent="0.2">
      <c r="A29" s="352"/>
      <c r="B29" s="827"/>
      <c r="C29" s="828"/>
      <c r="D29" s="829"/>
      <c r="E29" s="414"/>
      <c r="F29" s="827"/>
      <c r="G29" s="828"/>
      <c r="H29" s="828"/>
      <c r="I29" s="828"/>
      <c r="J29" s="828"/>
      <c r="K29" s="828"/>
      <c r="L29" s="828"/>
      <c r="M29" s="829"/>
      <c r="N29" s="84"/>
      <c r="O29" s="84"/>
      <c r="P29" s="84"/>
      <c r="Q29" s="84"/>
    </row>
    <row r="30" spans="1:17" x14ac:dyDescent="0.2">
      <c r="A30" s="352"/>
      <c r="B30" s="827"/>
      <c r="C30" s="828"/>
      <c r="D30" s="829"/>
      <c r="E30" s="414"/>
      <c r="F30" s="827"/>
      <c r="G30" s="828"/>
      <c r="H30" s="828"/>
      <c r="I30" s="828"/>
      <c r="J30" s="828"/>
      <c r="K30" s="828"/>
      <c r="L30" s="828"/>
      <c r="M30" s="829"/>
      <c r="N30" s="84"/>
      <c r="O30" s="84"/>
      <c r="P30" s="84"/>
      <c r="Q30" s="84"/>
    </row>
    <row r="31" spans="1:17" ht="10.7" customHeight="1" x14ac:dyDescent="0.2">
      <c r="A31" s="419"/>
      <c r="B31" s="419"/>
      <c r="C31" s="419"/>
      <c r="D31" s="419"/>
      <c r="E31" s="419"/>
      <c r="F31" s="419"/>
      <c r="G31" s="419"/>
      <c r="H31" s="419"/>
      <c r="I31" s="419"/>
      <c r="J31" s="419"/>
      <c r="K31" s="419"/>
      <c r="L31" s="419"/>
      <c r="M31" s="419"/>
      <c r="N31" s="84"/>
      <c r="O31" s="84"/>
      <c r="P31" s="84"/>
      <c r="Q31" s="84"/>
    </row>
    <row r="32" spans="1:17" ht="10.7" customHeight="1" x14ac:dyDescent="0.2">
      <c r="A32" s="412"/>
      <c r="B32" s="412"/>
      <c r="C32" s="412"/>
      <c r="D32" s="412"/>
      <c r="E32" s="412"/>
      <c r="F32" s="412"/>
      <c r="G32" s="412"/>
      <c r="H32" s="412"/>
      <c r="I32" s="412"/>
      <c r="J32" s="412"/>
      <c r="K32" s="412"/>
      <c r="L32" s="412"/>
      <c r="M32" s="412"/>
      <c r="N32" s="84"/>
      <c r="O32" s="84"/>
      <c r="P32" s="84"/>
      <c r="Q32" s="84"/>
    </row>
    <row r="33" spans="1:17" x14ac:dyDescent="0.2">
      <c r="A33" s="346" t="s">
        <v>437</v>
      </c>
      <c r="B33" s="413"/>
      <c r="C33" s="529" t="s">
        <v>438</v>
      </c>
      <c r="D33" s="820" t="str">
        <f>IFERROR(VLOOKUP(B33,EEI_SummaryTable!$A$16:$U$43,2,FALSE),"")</f>
        <v/>
      </c>
      <c r="E33" s="821"/>
      <c r="F33" s="821"/>
      <c r="G33" s="821"/>
      <c r="H33" s="821"/>
      <c r="I33" s="822"/>
      <c r="J33" s="823" t="s">
        <v>439</v>
      </c>
      <c r="K33" s="824"/>
      <c r="L33" s="825"/>
      <c r="M33" s="417" t="str">
        <f>IFERROR(VLOOKUP(B33,EEI_SummaryTable!$A$16:$U$43,15,FALSE),"")</f>
        <v/>
      </c>
      <c r="O33"/>
      <c r="P33"/>
      <c r="Q33"/>
    </row>
    <row r="34" spans="1:17" ht="4.3499999999999996" customHeight="1" x14ac:dyDescent="0.2">
      <c r="A34" s="415"/>
      <c r="K34" s="230"/>
      <c r="L34" s="230"/>
      <c r="O34"/>
      <c r="P34"/>
      <c r="Q34"/>
    </row>
    <row r="35" spans="1:17" x14ac:dyDescent="0.2">
      <c r="C35" s="346" t="s">
        <v>440</v>
      </c>
      <c r="D35" s="416"/>
      <c r="E35" s="13" t="s">
        <v>441</v>
      </c>
      <c r="F35" s="416"/>
      <c r="G35" s="13" t="s">
        <v>442</v>
      </c>
      <c r="H35" s="416"/>
      <c r="I35" s="13" t="s">
        <v>443</v>
      </c>
      <c r="J35" s="416"/>
      <c r="K35" s="13" t="s">
        <v>86</v>
      </c>
      <c r="L35" s="820"/>
      <c r="M35" s="822"/>
      <c r="N35" s="84"/>
      <c r="O35"/>
      <c r="P35"/>
      <c r="Q35"/>
    </row>
    <row r="36" spans="1:17" ht="16.5" customHeight="1" x14ac:dyDescent="0.2">
      <c r="A36" s="830" t="s">
        <v>444</v>
      </c>
      <c r="B36" s="830"/>
      <c r="C36" s="830"/>
      <c r="D36" s="830"/>
      <c r="E36" s="830"/>
      <c r="F36" s="830"/>
      <c r="G36" s="830"/>
      <c r="H36" s="830"/>
      <c r="I36" s="830"/>
      <c r="J36" s="830"/>
      <c r="K36" s="830"/>
      <c r="L36" s="830"/>
      <c r="M36" s="830"/>
      <c r="N36"/>
      <c r="O36"/>
      <c r="P36"/>
      <c r="Q36"/>
    </row>
    <row r="37" spans="1:17" ht="32.25" customHeight="1" x14ac:dyDescent="0.2">
      <c r="A37" s="831"/>
      <c r="B37" s="832"/>
      <c r="C37" s="832"/>
      <c r="D37" s="832"/>
      <c r="E37" s="832"/>
      <c r="F37" s="832"/>
      <c r="G37" s="832"/>
      <c r="H37" s="832"/>
      <c r="I37" s="832"/>
      <c r="J37" s="832"/>
      <c r="K37" s="832"/>
      <c r="L37" s="832"/>
      <c r="M37" s="833"/>
      <c r="N37" s="84"/>
      <c r="O37"/>
      <c r="P37"/>
      <c r="Q37"/>
    </row>
    <row r="38" spans="1:17" ht="16.5" customHeight="1" x14ac:dyDescent="0.2">
      <c r="A38" s="834" t="s">
        <v>445</v>
      </c>
      <c r="B38" s="834"/>
      <c r="C38" s="834"/>
      <c r="D38" s="834"/>
      <c r="E38" s="834"/>
      <c r="F38" s="834"/>
      <c r="G38" s="834"/>
      <c r="H38" s="834"/>
      <c r="I38" s="834"/>
      <c r="J38" s="834"/>
      <c r="K38" s="834"/>
      <c r="L38" s="834"/>
      <c r="M38" s="834"/>
      <c r="N38"/>
      <c r="O38"/>
      <c r="P38"/>
      <c r="Q38"/>
    </row>
    <row r="39" spans="1:17" ht="32.25" customHeight="1" x14ac:dyDescent="0.2">
      <c r="A39" s="831"/>
      <c r="B39" s="832"/>
      <c r="C39" s="832"/>
      <c r="D39" s="832"/>
      <c r="E39" s="832"/>
      <c r="F39" s="832"/>
      <c r="G39" s="832"/>
      <c r="H39" s="832"/>
      <c r="I39" s="832"/>
      <c r="J39" s="832"/>
      <c r="K39" s="832"/>
      <c r="L39" s="832"/>
      <c r="M39" s="833"/>
      <c r="N39" s="84"/>
      <c r="O39" s="84"/>
      <c r="P39" s="84"/>
      <c r="Q39" s="84"/>
    </row>
    <row r="40" spans="1:17" ht="16.5" customHeight="1" x14ac:dyDescent="0.2">
      <c r="A40" s="418" t="s">
        <v>1</v>
      </c>
      <c r="B40" s="826" t="s">
        <v>446</v>
      </c>
      <c r="C40" s="826"/>
      <c r="D40" s="826"/>
      <c r="E40" s="418" t="s">
        <v>447</v>
      </c>
      <c r="F40" s="826" t="s">
        <v>448</v>
      </c>
      <c r="G40" s="826"/>
      <c r="H40" s="826"/>
      <c r="I40" s="826"/>
      <c r="J40" s="826"/>
      <c r="K40" s="826"/>
      <c r="L40" s="826"/>
      <c r="M40" s="826"/>
      <c r="N40" s="84"/>
      <c r="O40" s="84"/>
      <c r="P40" s="84"/>
      <c r="Q40" s="84"/>
    </row>
    <row r="41" spans="1:17" x14ac:dyDescent="0.2">
      <c r="A41" s="352"/>
      <c r="B41" s="827"/>
      <c r="C41" s="828"/>
      <c r="D41" s="829"/>
      <c r="E41" s="414"/>
      <c r="F41" s="827"/>
      <c r="G41" s="828"/>
      <c r="H41" s="828"/>
      <c r="I41" s="828"/>
      <c r="J41" s="828"/>
      <c r="K41" s="828"/>
      <c r="L41" s="828"/>
      <c r="M41" s="829"/>
      <c r="N41" s="84"/>
      <c r="O41" s="84"/>
      <c r="P41" s="84"/>
      <c r="Q41" s="84"/>
    </row>
    <row r="42" spans="1:17" x14ac:dyDescent="0.2">
      <c r="A42" s="352"/>
      <c r="B42" s="827"/>
      <c r="C42" s="828"/>
      <c r="D42" s="829"/>
      <c r="E42" s="414"/>
      <c r="F42" s="827"/>
      <c r="G42" s="828"/>
      <c r="H42" s="828"/>
      <c r="I42" s="828"/>
      <c r="J42" s="828"/>
      <c r="K42" s="828"/>
      <c r="L42" s="828"/>
      <c r="M42" s="829"/>
      <c r="N42" s="84"/>
      <c r="O42" s="84"/>
      <c r="P42" s="84"/>
      <c r="Q42" s="84"/>
    </row>
    <row r="43" spans="1:17" x14ac:dyDescent="0.2">
      <c r="A43" s="352"/>
      <c r="B43" s="827"/>
      <c r="C43" s="828"/>
      <c r="D43" s="829"/>
      <c r="E43" s="414"/>
      <c r="F43" s="827"/>
      <c r="G43" s="828"/>
      <c r="H43" s="828"/>
      <c r="I43" s="828"/>
      <c r="J43" s="828"/>
      <c r="K43" s="828"/>
      <c r="L43" s="828"/>
      <c r="M43" s="829"/>
      <c r="N43" s="84"/>
      <c r="O43" s="84"/>
      <c r="P43" s="84"/>
      <c r="Q43" s="84"/>
    </row>
    <row r="44" spans="1:17" x14ac:dyDescent="0.2">
      <c r="A44" s="352"/>
      <c r="B44" s="827"/>
      <c r="C44" s="828"/>
      <c r="D44" s="829"/>
      <c r="E44" s="414"/>
      <c r="F44" s="827"/>
      <c r="G44" s="828"/>
      <c r="H44" s="828"/>
      <c r="I44" s="828"/>
      <c r="J44" s="828"/>
      <c r="K44" s="828"/>
      <c r="L44" s="828"/>
      <c r="M44" s="829"/>
      <c r="N44" s="84"/>
      <c r="O44" s="84"/>
      <c r="P44" s="84"/>
      <c r="Q44" s="84"/>
    </row>
    <row r="45" spans="1:17" ht="4.3499999999999996" customHeight="1" x14ac:dyDescent="0.2">
      <c r="N45" s="84"/>
      <c r="O45" s="84"/>
      <c r="P45" s="84"/>
      <c r="Q45" s="84"/>
    </row>
    <row r="46" spans="1:17" x14ac:dyDescent="0.2">
      <c r="A46" s="346" t="s">
        <v>437</v>
      </c>
      <c r="B46" s="413"/>
      <c r="C46" s="529" t="s">
        <v>438</v>
      </c>
      <c r="D46" s="820" t="str">
        <f>IFERROR(VLOOKUP(B46,EEI_SummaryTable!$A$16:$U$43,2,FALSE),"")</f>
        <v/>
      </c>
      <c r="E46" s="821"/>
      <c r="F46" s="821"/>
      <c r="G46" s="821"/>
      <c r="H46" s="821"/>
      <c r="I46" s="822"/>
      <c r="J46" s="823" t="s">
        <v>439</v>
      </c>
      <c r="K46" s="824"/>
      <c r="L46" s="825"/>
      <c r="M46" s="417" t="str">
        <f>IFERROR(VLOOKUP(B46,EEI_SummaryTable!$A$16:$U$43,15,FALSE),"")</f>
        <v/>
      </c>
      <c r="O46"/>
      <c r="P46"/>
      <c r="Q46"/>
    </row>
    <row r="47" spans="1:17" ht="4.3499999999999996" customHeight="1" x14ac:dyDescent="0.2">
      <c r="A47" s="415"/>
      <c r="K47" s="230"/>
      <c r="L47" s="230"/>
      <c r="O47"/>
      <c r="P47"/>
      <c r="Q47"/>
    </row>
    <row r="48" spans="1:17" x14ac:dyDescent="0.2">
      <c r="C48" s="346" t="s">
        <v>440</v>
      </c>
      <c r="D48" s="416"/>
      <c r="E48" s="13" t="s">
        <v>441</v>
      </c>
      <c r="F48" s="416"/>
      <c r="G48" s="13" t="s">
        <v>442</v>
      </c>
      <c r="H48" s="416"/>
      <c r="I48" s="13" t="s">
        <v>443</v>
      </c>
      <c r="J48" s="416"/>
      <c r="K48" s="13" t="s">
        <v>86</v>
      </c>
      <c r="L48" s="820"/>
      <c r="M48" s="822"/>
      <c r="N48" s="84"/>
      <c r="O48"/>
      <c r="P48"/>
      <c r="Q48"/>
    </row>
    <row r="49" spans="1:17" ht="16.5" customHeight="1" x14ac:dyDescent="0.2">
      <c r="A49" s="830" t="s">
        <v>444</v>
      </c>
      <c r="B49" s="830"/>
      <c r="C49" s="830"/>
      <c r="D49" s="830"/>
      <c r="E49" s="830"/>
      <c r="F49" s="830"/>
      <c r="G49" s="830"/>
      <c r="H49" s="830"/>
      <c r="I49" s="830"/>
      <c r="J49" s="830"/>
      <c r="K49" s="830"/>
      <c r="L49" s="830"/>
      <c r="M49" s="830"/>
      <c r="N49"/>
      <c r="O49"/>
      <c r="P49"/>
      <c r="Q49"/>
    </row>
    <row r="50" spans="1:17" ht="32.25" customHeight="1" x14ac:dyDescent="0.2">
      <c r="A50" s="831"/>
      <c r="B50" s="832"/>
      <c r="C50" s="832"/>
      <c r="D50" s="832"/>
      <c r="E50" s="832"/>
      <c r="F50" s="832"/>
      <c r="G50" s="832"/>
      <c r="H50" s="832"/>
      <c r="I50" s="832"/>
      <c r="J50" s="832"/>
      <c r="K50" s="832"/>
      <c r="L50" s="832"/>
      <c r="M50" s="833"/>
      <c r="N50" s="84"/>
      <c r="O50"/>
      <c r="P50"/>
      <c r="Q50"/>
    </row>
    <row r="51" spans="1:17" ht="16.5" customHeight="1" x14ac:dyDescent="0.2">
      <c r="A51" s="834" t="s">
        <v>445</v>
      </c>
      <c r="B51" s="834"/>
      <c r="C51" s="834"/>
      <c r="D51" s="834"/>
      <c r="E51" s="834"/>
      <c r="F51" s="834"/>
      <c r="G51" s="834"/>
      <c r="H51" s="834"/>
      <c r="I51" s="834"/>
      <c r="J51" s="834"/>
      <c r="K51" s="834"/>
      <c r="L51" s="834"/>
      <c r="M51" s="834"/>
      <c r="N51"/>
      <c r="O51"/>
      <c r="P51"/>
      <c r="Q51"/>
    </row>
    <row r="52" spans="1:17" ht="32.25" customHeight="1" x14ac:dyDescent="0.2">
      <c r="A52" s="831"/>
      <c r="B52" s="832"/>
      <c r="C52" s="832"/>
      <c r="D52" s="832"/>
      <c r="E52" s="832"/>
      <c r="F52" s="832"/>
      <c r="G52" s="832"/>
      <c r="H52" s="832"/>
      <c r="I52" s="832"/>
      <c r="J52" s="832"/>
      <c r="K52" s="832"/>
      <c r="L52" s="832"/>
      <c r="M52" s="833"/>
      <c r="N52" s="84"/>
      <c r="O52" s="84"/>
      <c r="P52" s="84"/>
      <c r="Q52" s="84"/>
    </row>
    <row r="53" spans="1:17" ht="16.5" customHeight="1" x14ac:dyDescent="0.2">
      <c r="A53" s="418" t="s">
        <v>1</v>
      </c>
      <c r="B53" s="826" t="s">
        <v>446</v>
      </c>
      <c r="C53" s="826"/>
      <c r="D53" s="826"/>
      <c r="E53" s="418" t="s">
        <v>447</v>
      </c>
      <c r="F53" s="826" t="s">
        <v>448</v>
      </c>
      <c r="G53" s="826"/>
      <c r="H53" s="826"/>
      <c r="I53" s="826"/>
      <c r="J53" s="826"/>
      <c r="K53" s="826"/>
      <c r="L53" s="826"/>
      <c r="M53" s="826"/>
      <c r="N53" s="84"/>
      <c r="O53" s="84"/>
      <c r="P53" s="84"/>
      <c r="Q53" s="84"/>
    </row>
    <row r="54" spans="1:17" x14ac:dyDescent="0.2">
      <c r="A54" s="352"/>
      <c r="B54" s="827"/>
      <c r="C54" s="828"/>
      <c r="D54" s="829"/>
      <c r="E54" s="414"/>
      <c r="F54" s="827"/>
      <c r="G54" s="828"/>
      <c r="H54" s="828"/>
      <c r="I54" s="828"/>
      <c r="J54" s="828"/>
      <c r="K54" s="828"/>
      <c r="L54" s="828"/>
      <c r="M54" s="829"/>
      <c r="N54" s="84"/>
      <c r="O54" s="84"/>
      <c r="P54" s="84"/>
      <c r="Q54" s="84"/>
    </row>
    <row r="55" spans="1:17" x14ac:dyDescent="0.2">
      <c r="A55" s="352"/>
      <c r="B55" s="827"/>
      <c r="C55" s="828"/>
      <c r="D55" s="829"/>
      <c r="E55" s="414"/>
      <c r="F55" s="827"/>
      <c r="G55" s="828"/>
      <c r="H55" s="828"/>
      <c r="I55" s="828"/>
      <c r="J55" s="828"/>
      <c r="K55" s="828"/>
      <c r="L55" s="828"/>
      <c r="M55" s="829"/>
      <c r="N55" s="84"/>
      <c r="O55" s="84"/>
      <c r="P55" s="84"/>
      <c r="Q55" s="84"/>
    </row>
    <row r="56" spans="1:17" x14ac:dyDescent="0.2">
      <c r="A56" s="352"/>
      <c r="B56" s="827"/>
      <c r="C56" s="828"/>
      <c r="D56" s="829"/>
      <c r="E56" s="414"/>
      <c r="F56" s="827"/>
      <c r="G56" s="828"/>
      <c r="H56" s="828"/>
      <c r="I56" s="828"/>
      <c r="J56" s="828"/>
      <c r="K56" s="828"/>
      <c r="L56" s="828"/>
      <c r="M56" s="829"/>
      <c r="N56" s="84"/>
      <c r="O56" s="84"/>
      <c r="P56" s="84"/>
      <c r="Q56" s="84"/>
    </row>
    <row r="57" spans="1:17" x14ac:dyDescent="0.2">
      <c r="A57" s="352"/>
      <c r="B57" s="827"/>
      <c r="C57" s="828"/>
      <c r="D57" s="829"/>
      <c r="E57" s="414"/>
      <c r="F57" s="827"/>
      <c r="G57" s="828"/>
      <c r="H57" s="828"/>
      <c r="I57" s="828"/>
      <c r="J57" s="828"/>
      <c r="K57" s="828"/>
      <c r="L57" s="828"/>
      <c r="M57" s="829"/>
      <c r="N57" s="84"/>
      <c r="O57" s="84"/>
      <c r="P57" s="84"/>
      <c r="Q57" s="84"/>
    </row>
    <row r="58" spans="1:17" ht="10.7" customHeight="1" x14ac:dyDescent="0.2">
      <c r="A58" s="419"/>
      <c r="B58" s="419"/>
      <c r="C58" s="419"/>
      <c r="D58" s="419"/>
      <c r="E58" s="419"/>
      <c r="F58" s="419"/>
      <c r="G58" s="419"/>
      <c r="H58" s="419"/>
      <c r="I58" s="419"/>
      <c r="J58" s="419"/>
      <c r="K58" s="419"/>
      <c r="L58" s="419"/>
      <c r="M58" s="419"/>
      <c r="N58" s="84"/>
      <c r="O58" s="84"/>
      <c r="P58" s="84"/>
      <c r="Q58" s="84"/>
    </row>
    <row r="59" spans="1:17" ht="10.7" customHeight="1" x14ac:dyDescent="0.2"/>
    <row r="60" spans="1:17" x14ac:dyDescent="0.2">
      <c r="A60" s="346" t="s">
        <v>437</v>
      </c>
      <c r="B60" s="413"/>
      <c r="C60" s="529" t="s">
        <v>438</v>
      </c>
      <c r="D60" s="820" t="str">
        <f>IFERROR(VLOOKUP(B60,EEI_SummaryTable!$A$16:$U$43,2,FALSE),"")</f>
        <v/>
      </c>
      <c r="E60" s="821"/>
      <c r="F60" s="821"/>
      <c r="G60" s="821"/>
      <c r="H60" s="821"/>
      <c r="I60" s="822"/>
      <c r="J60" s="823" t="s">
        <v>439</v>
      </c>
      <c r="K60" s="824"/>
      <c r="L60" s="825"/>
      <c r="M60" s="417" t="str">
        <f>IFERROR(VLOOKUP(B60,EEI_SummaryTable!$A$16:$U$43,15,FALSE),"")</f>
        <v/>
      </c>
      <c r="O60"/>
      <c r="P60"/>
      <c r="Q60"/>
    </row>
    <row r="61" spans="1:17" ht="4.3499999999999996" customHeight="1" x14ac:dyDescent="0.2">
      <c r="A61" s="415"/>
      <c r="K61" s="230"/>
      <c r="L61" s="230"/>
      <c r="O61"/>
      <c r="P61"/>
      <c r="Q61"/>
    </row>
    <row r="62" spans="1:17" x14ac:dyDescent="0.2">
      <c r="C62" s="346" t="s">
        <v>440</v>
      </c>
      <c r="D62" s="416"/>
      <c r="E62" s="13" t="s">
        <v>441</v>
      </c>
      <c r="F62" s="416"/>
      <c r="G62" s="13" t="s">
        <v>442</v>
      </c>
      <c r="H62" s="416"/>
      <c r="I62" s="13" t="s">
        <v>443</v>
      </c>
      <c r="J62" s="416"/>
      <c r="K62" s="13" t="s">
        <v>86</v>
      </c>
      <c r="L62" s="820"/>
      <c r="M62" s="822"/>
      <c r="N62" s="84"/>
      <c r="O62"/>
      <c r="P62"/>
      <c r="Q62"/>
    </row>
    <row r="63" spans="1:17" ht="16.5" customHeight="1" x14ac:dyDescent="0.2">
      <c r="A63" s="830" t="s">
        <v>444</v>
      </c>
      <c r="B63" s="830"/>
      <c r="C63" s="830"/>
      <c r="D63" s="830"/>
      <c r="E63" s="830"/>
      <c r="F63" s="830"/>
      <c r="G63" s="830"/>
      <c r="H63" s="830"/>
      <c r="I63" s="830"/>
      <c r="J63" s="830"/>
      <c r="K63" s="830"/>
      <c r="L63" s="830"/>
      <c r="M63" s="830"/>
      <c r="N63"/>
      <c r="O63"/>
      <c r="P63"/>
      <c r="Q63"/>
    </row>
    <row r="64" spans="1:17" ht="32.25" customHeight="1" x14ac:dyDescent="0.2">
      <c r="A64" s="831"/>
      <c r="B64" s="832"/>
      <c r="C64" s="832"/>
      <c r="D64" s="832"/>
      <c r="E64" s="832"/>
      <c r="F64" s="832"/>
      <c r="G64" s="832"/>
      <c r="H64" s="832"/>
      <c r="I64" s="832"/>
      <c r="J64" s="832"/>
      <c r="K64" s="832"/>
      <c r="L64" s="832"/>
      <c r="M64" s="833"/>
      <c r="N64" s="84"/>
      <c r="O64"/>
      <c r="P64"/>
      <c r="Q64"/>
    </row>
    <row r="65" spans="1:17" ht="16.5" customHeight="1" x14ac:dyDescent="0.2">
      <c r="A65" s="834" t="s">
        <v>445</v>
      </c>
      <c r="B65" s="834"/>
      <c r="C65" s="834"/>
      <c r="D65" s="834"/>
      <c r="E65" s="834"/>
      <c r="F65" s="834"/>
      <c r="G65" s="834"/>
      <c r="H65" s="834"/>
      <c r="I65" s="834"/>
      <c r="J65" s="834"/>
      <c r="K65" s="834"/>
      <c r="L65" s="834"/>
      <c r="M65" s="834"/>
      <c r="N65"/>
      <c r="O65"/>
      <c r="P65"/>
      <c r="Q65"/>
    </row>
    <row r="66" spans="1:17" ht="32.25" customHeight="1" x14ac:dyDescent="0.2">
      <c r="A66" s="831"/>
      <c r="B66" s="832"/>
      <c r="C66" s="832"/>
      <c r="D66" s="832"/>
      <c r="E66" s="832"/>
      <c r="F66" s="832"/>
      <c r="G66" s="832"/>
      <c r="H66" s="832"/>
      <c r="I66" s="832"/>
      <c r="J66" s="832"/>
      <c r="K66" s="832"/>
      <c r="L66" s="832"/>
      <c r="M66" s="833"/>
      <c r="N66" s="84"/>
      <c r="O66" s="84"/>
      <c r="P66" s="84"/>
      <c r="Q66" s="84"/>
    </row>
    <row r="67" spans="1:17" ht="16.5" customHeight="1" x14ac:dyDescent="0.2">
      <c r="A67" s="418" t="s">
        <v>1</v>
      </c>
      <c r="B67" s="826" t="s">
        <v>446</v>
      </c>
      <c r="C67" s="826"/>
      <c r="D67" s="826"/>
      <c r="E67" s="418" t="s">
        <v>447</v>
      </c>
      <c r="F67" s="826" t="s">
        <v>448</v>
      </c>
      <c r="G67" s="826"/>
      <c r="H67" s="826"/>
      <c r="I67" s="826"/>
      <c r="J67" s="826"/>
      <c r="K67" s="826"/>
      <c r="L67" s="826"/>
      <c r="M67" s="826"/>
      <c r="N67" s="84"/>
      <c r="O67" s="84"/>
      <c r="P67" s="84"/>
      <c r="Q67" s="84"/>
    </row>
    <row r="68" spans="1:17" x14ac:dyDescent="0.2">
      <c r="A68" s="352"/>
      <c r="B68" s="827"/>
      <c r="C68" s="828"/>
      <c r="D68" s="829"/>
      <c r="E68" s="414"/>
      <c r="F68" s="827"/>
      <c r="G68" s="828"/>
      <c r="H68" s="828"/>
      <c r="I68" s="828"/>
      <c r="J68" s="828"/>
      <c r="K68" s="828"/>
      <c r="L68" s="828"/>
      <c r="M68" s="829"/>
      <c r="N68" s="84"/>
      <c r="O68" s="84"/>
      <c r="P68" s="84"/>
      <c r="Q68" s="84"/>
    </row>
    <row r="69" spans="1:17" x14ac:dyDescent="0.2">
      <c r="A69" s="352"/>
      <c r="B69" s="827"/>
      <c r="C69" s="828"/>
      <c r="D69" s="829"/>
      <c r="E69" s="414"/>
      <c r="F69" s="827"/>
      <c r="G69" s="828"/>
      <c r="H69" s="828"/>
      <c r="I69" s="828"/>
      <c r="J69" s="828"/>
      <c r="K69" s="828"/>
      <c r="L69" s="828"/>
      <c r="M69" s="829"/>
      <c r="N69" s="84"/>
      <c r="O69" s="84"/>
      <c r="P69" s="84"/>
      <c r="Q69" s="84"/>
    </row>
    <row r="70" spans="1:17" x14ac:dyDescent="0.2">
      <c r="A70" s="352"/>
      <c r="B70" s="827"/>
      <c r="C70" s="828"/>
      <c r="D70" s="829"/>
      <c r="E70" s="414"/>
      <c r="F70" s="827"/>
      <c r="G70" s="828"/>
      <c r="H70" s="828"/>
      <c r="I70" s="828"/>
      <c r="J70" s="828"/>
      <c r="K70" s="828"/>
      <c r="L70" s="828"/>
      <c r="M70" s="829"/>
      <c r="N70" s="84"/>
      <c r="O70" s="84"/>
      <c r="P70" s="84"/>
      <c r="Q70" s="84"/>
    </row>
    <row r="71" spans="1:17" x14ac:dyDescent="0.2">
      <c r="A71" s="352"/>
      <c r="B71" s="827"/>
      <c r="C71" s="828"/>
      <c r="D71" s="829"/>
      <c r="E71" s="414"/>
      <c r="F71" s="827"/>
      <c r="G71" s="828"/>
      <c r="H71" s="828"/>
      <c r="I71" s="828"/>
      <c r="J71" s="828"/>
      <c r="K71" s="828"/>
      <c r="L71" s="828"/>
      <c r="M71" s="829"/>
      <c r="N71" s="84"/>
      <c r="O71" s="84"/>
      <c r="P71" s="84"/>
      <c r="Q71" s="84"/>
    </row>
    <row r="72" spans="1:17" ht="10.7" customHeight="1" x14ac:dyDescent="0.2">
      <c r="A72" s="419"/>
      <c r="B72" s="419"/>
      <c r="C72" s="419"/>
      <c r="D72" s="419"/>
      <c r="E72" s="419"/>
      <c r="F72" s="419"/>
      <c r="G72" s="419"/>
      <c r="H72" s="419"/>
      <c r="I72" s="419"/>
      <c r="J72" s="419"/>
      <c r="K72" s="419"/>
      <c r="L72" s="419"/>
      <c r="M72" s="419"/>
      <c r="N72" s="84"/>
      <c r="O72" s="84"/>
      <c r="P72" s="84"/>
      <c r="Q72" s="84"/>
    </row>
    <row r="73" spans="1:17" ht="10.7" customHeight="1" x14ac:dyDescent="0.2">
      <c r="A73" s="412"/>
      <c r="B73" s="412"/>
      <c r="C73" s="412"/>
      <c r="D73" s="412"/>
      <c r="E73" s="412"/>
      <c r="F73" s="412"/>
      <c r="G73" s="412"/>
      <c r="H73" s="412"/>
      <c r="I73" s="412"/>
      <c r="J73" s="412"/>
      <c r="K73" s="412"/>
      <c r="L73" s="412"/>
      <c r="M73" s="412"/>
      <c r="N73" s="84"/>
      <c r="O73" s="84"/>
      <c r="P73" s="84"/>
      <c r="Q73" s="84"/>
    </row>
    <row r="74" spans="1:17" x14ac:dyDescent="0.2">
      <c r="A74" s="346" t="s">
        <v>437</v>
      </c>
      <c r="B74" s="413"/>
      <c r="C74" s="529" t="s">
        <v>438</v>
      </c>
      <c r="D74" s="820" t="str">
        <f>IFERROR(VLOOKUP(B74,EEI_SummaryTable!$A$16:$U$43,2,FALSE),"")</f>
        <v/>
      </c>
      <c r="E74" s="821"/>
      <c r="F74" s="821"/>
      <c r="G74" s="821"/>
      <c r="H74" s="821"/>
      <c r="I74" s="822"/>
      <c r="J74" s="823" t="s">
        <v>439</v>
      </c>
      <c r="K74" s="824"/>
      <c r="L74" s="825"/>
      <c r="M74" s="417" t="str">
        <f>IFERROR(VLOOKUP(B74,EEI_SummaryTable!$A$16:$U$43,15,FALSE),"")</f>
        <v/>
      </c>
      <c r="O74"/>
      <c r="P74"/>
      <c r="Q74"/>
    </row>
    <row r="75" spans="1:17" ht="4.3499999999999996" customHeight="1" x14ac:dyDescent="0.2">
      <c r="A75" s="415"/>
      <c r="K75" s="230"/>
      <c r="L75" s="230"/>
      <c r="O75"/>
      <c r="P75"/>
      <c r="Q75"/>
    </row>
    <row r="76" spans="1:17" x14ac:dyDescent="0.2">
      <c r="C76" s="346" t="s">
        <v>440</v>
      </c>
      <c r="D76" s="416"/>
      <c r="E76" s="13" t="s">
        <v>441</v>
      </c>
      <c r="F76" s="416"/>
      <c r="G76" s="13" t="s">
        <v>442</v>
      </c>
      <c r="H76" s="416"/>
      <c r="I76" s="13" t="s">
        <v>443</v>
      </c>
      <c r="J76" s="416"/>
      <c r="K76" s="13" t="s">
        <v>86</v>
      </c>
      <c r="L76" s="820"/>
      <c r="M76" s="822"/>
      <c r="N76" s="84"/>
      <c r="O76"/>
      <c r="P76"/>
      <c r="Q76"/>
    </row>
    <row r="77" spans="1:17" ht="16.5" customHeight="1" x14ac:dyDescent="0.2">
      <c r="A77" s="830" t="s">
        <v>444</v>
      </c>
      <c r="B77" s="830"/>
      <c r="C77" s="830"/>
      <c r="D77" s="830"/>
      <c r="E77" s="830"/>
      <c r="F77" s="830"/>
      <c r="G77" s="830"/>
      <c r="H77" s="830"/>
      <c r="I77" s="830"/>
      <c r="J77" s="830"/>
      <c r="K77" s="830"/>
      <c r="L77" s="830"/>
      <c r="M77" s="830"/>
      <c r="N77"/>
      <c r="O77"/>
      <c r="P77"/>
      <c r="Q77"/>
    </row>
    <row r="78" spans="1:17" ht="32.25" customHeight="1" x14ac:dyDescent="0.2">
      <c r="A78" s="831"/>
      <c r="B78" s="832"/>
      <c r="C78" s="832"/>
      <c r="D78" s="832"/>
      <c r="E78" s="832"/>
      <c r="F78" s="832"/>
      <c r="G78" s="832"/>
      <c r="H78" s="832"/>
      <c r="I78" s="832"/>
      <c r="J78" s="832"/>
      <c r="K78" s="832"/>
      <c r="L78" s="832"/>
      <c r="M78" s="833"/>
      <c r="N78" s="84"/>
      <c r="O78"/>
      <c r="P78"/>
      <c r="Q78"/>
    </row>
    <row r="79" spans="1:17" ht="16.5" customHeight="1" x14ac:dyDescent="0.2">
      <c r="A79" s="834" t="s">
        <v>445</v>
      </c>
      <c r="B79" s="834"/>
      <c r="C79" s="834"/>
      <c r="D79" s="834"/>
      <c r="E79" s="834"/>
      <c r="F79" s="834"/>
      <c r="G79" s="834"/>
      <c r="H79" s="834"/>
      <c r="I79" s="834"/>
      <c r="J79" s="834"/>
      <c r="K79" s="834"/>
      <c r="L79" s="834"/>
      <c r="M79" s="834"/>
      <c r="N79"/>
      <c r="O79"/>
      <c r="P79"/>
      <c r="Q79"/>
    </row>
    <row r="80" spans="1:17" ht="32.25" customHeight="1" x14ac:dyDescent="0.2">
      <c r="A80" s="831"/>
      <c r="B80" s="832"/>
      <c r="C80" s="832"/>
      <c r="D80" s="832"/>
      <c r="E80" s="832"/>
      <c r="F80" s="832"/>
      <c r="G80" s="832"/>
      <c r="H80" s="832"/>
      <c r="I80" s="832"/>
      <c r="J80" s="832"/>
      <c r="K80" s="832"/>
      <c r="L80" s="832"/>
      <c r="M80" s="833"/>
      <c r="N80" s="84"/>
      <c r="O80" s="84"/>
      <c r="P80" s="84"/>
      <c r="Q80" s="84"/>
    </row>
    <row r="81" spans="1:17" ht="16.5" customHeight="1" x14ac:dyDescent="0.2">
      <c r="A81" s="418" t="s">
        <v>1</v>
      </c>
      <c r="B81" s="826" t="s">
        <v>446</v>
      </c>
      <c r="C81" s="826"/>
      <c r="D81" s="826"/>
      <c r="E81" s="418" t="s">
        <v>447</v>
      </c>
      <c r="F81" s="826" t="s">
        <v>448</v>
      </c>
      <c r="G81" s="826"/>
      <c r="H81" s="826"/>
      <c r="I81" s="826"/>
      <c r="J81" s="826"/>
      <c r="K81" s="826"/>
      <c r="L81" s="826"/>
      <c r="M81" s="826"/>
      <c r="N81" s="84"/>
      <c r="O81" s="84"/>
      <c r="P81" s="84"/>
      <c r="Q81" s="84"/>
    </row>
    <row r="82" spans="1:17" x14ac:dyDescent="0.2">
      <c r="A82" s="352"/>
      <c r="B82" s="827"/>
      <c r="C82" s="828"/>
      <c r="D82" s="829"/>
      <c r="E82" s="414"/>
      <c r="F82" s="827"/>
      <c r="G82" s="828"/>
      <c r="H82" s="828"/>
      <c r="I82" s="828"/>
      <c r="J82" s="828"/>
      <c r="K82" s="828"/>
      <c r="L82" s="828"/>
      <c r="M82" s="829"/>
      <c r="N82" s="84"/>
      <c r="O82" s="84"/>
      <c r="P82" s="84"/>
      <c r="Q82" s="84"/>
    </row>
    <row r="83" spans="1:17" x14ac:dyDescent="0.2">
      <c r="A83" s="352"/>
      <c r="B83" s="827"/>
      <c r="C83" s="828"/>
      <c r="D83" s="829"/>
      <c r="E83" s="414"/>
      <c r="F83" s="827"/>
      <c r="G83" s="828"/>
      <c r="H83" s="828"/>
      <c r="I83" s="828"/>
      <c r="J83" s="828"/>
      <c r="K83" s="828"/>
      <c r="L83" s="828"/>
      <c r="M83" s="829"/>
      <c r="N83" s="84"/>
      <c r="O83" s="84"/>
      <c r="P83" s="84"/>
      <c r="Q83" s="84"/>
    </row>
    <row r="84" spans="1:17" x14ac:dyDescent="0.2">
      <c r="A84" s="352"/>
      <c r="B84" s="827"/>
      <c r="C84" s="828"/>
      <c r="D84" s="829"/>
      <c r="E84" s="414"/>
      <c r="F84" s="827"/>
      <c r="G84" s="828"/>
      <c r="H84" s="828"/>
      <c r="I84" s="828"/>
      <c r="J84" s="828"/>
      <c r="K84" s="828"/>
      <c r="L84" s="828"/>
      <c r="M84" s="829"/>
      <c r="N84" s="84"/>
      <c r="O84" s="84"/>
      <c r="P84" s="84"/>
      <c r="Q84" s="84"/>
    </row>
    <row r="85" spans="1:17" x14ac:dyDescent="0.2">
      <c r="A85" s="352"/>
      <c r="B85" s="827"/>
      <c r="C85" s="828"/>
      <c r="D85" s="829"/>
      <c r="E85" s="414"/>
      <c r="F85" s="827"/>
      <c r="G85" s="828"/>
      <c r="H85" s="828"/>
      <c r="I85" s="828"/>
      <c r="J85" s="828"/>
      <c r="K85" s="828"/>
      <c r="L85" s="828"/>
      <c r="M85" s="829"/>
      <c r="N85" s="84"/>
      <c r="O85" s="84"/>
      <c r="P85" s="84"/>
      <c r="Q85" s="84"/>
    </row>
    <row r="86" spans="1:17" ht="4.3499999999999996" customHeight="1" x14ac:dyDescent="0.2">
      <c r="N86" s="84"/>
      <c r="O86" s="84"/>
      <c r="P86" s="84"/>
      <c r="Q86" s="84"/>
    </row>
    <row r="87" spans="1:17" x14ac:dyDescent="0.2">
      <c r="A87" s="346" t="s">
        <v>437</v>
      </c>
      <c r="B87" s="413"/>
      <c r="C87" s="529" t="s">
        <v>438</v>
      </c>
      <c r="D87" s="820" t="str">
        <f>IFERROR(VLOOKUP(B87,EEI_SummaryTable!$A$16:$U$43,2,FALSE),"")</f>
        <v/>
      </c>
      <c r="E87" s="821"/>
      <c r="F87" s="821"/>
      <c r="G87" s="821"/>
      <c r="H87" s="821"/>
      <c r="I87" s="822"/>
      <c r="J87" s="823" t="s">
        <v>439</v>
      </c>
      <c r="K87" s="824"/>
      <c r="L87" s="825"/>
      <c r="M87" s="417" t="str">
        <f>IFERROR(VLOOKUP(B87,EEI_SummaryTable!$A$16:$U$43,15,FALSE),"")</f>
        <v/>
      </c>
      <c r="O87"/>
      <c r="P87"/>
      <c r="Q87"/>
    </row>
    <row r="88" spans="1:17" ht="4.3499999999999996" customHeight="1" x14ac:dyDescent="0.2">
      <c r="A88" s="415"/>
      <c r="K88" s="230"/>
      <c r="L88" s="230"/>
      <c r="O88"/>
      <c r="P88"/>
      <c r="Q88"/>
    </row>
    <row r="89" spans="1:17" x14ac:dyDescent="0.2">
      <c r="C89" s="346" t="s">
        <v>440</v>
      </c>
      <c r="D89" s="416"/>
      <c r="E89" s="13" t="s">
        <v>441</v>
      </c>
      <c r="F89" s="416"/>
      <c r="G89" s="13" t="s">
        <v>442</v>
      </c>
      <c r="H89" s="416"/>
      <c r="I89" s="13" t="s">
        <v>443</v>
      </c>
      <c r="J89" s="416"/>
      <c r="K89" s="13" t="s">
        <v>86</v>
      </c>
      <c r="L89" s="820"/>
      <c r="M89" s="822"/>
      <c r="N89" s="84"/>
      <c r="O89"/>
      <c r="P89"/>
      <c r="Q89"/>
    </row>
    <row r="90" spans="1:17" ht="16.5" customHeight="1" x14ac:dyDescent="0.2">
      <c r="A90" s="830" t="s">
        <v>444</v>
      </c>
      <c r="B90" s="830"/>
      <c r="C90" s="830"/>
      <c r="D90" s="830"/>
      <c r="E90" s="830"/>
      <c r="F90" s="830"/>
      <c r="G90" s="830"/>
      <c r="H90" s="830"/>
      <c r="I90" s="830"/>
      <c r="J90" s="830"/>
      <c r="K90" s="830"/>
      <c r="L90" s="830"/>
      <c r="M90" s="830"/>
      <c r="N90"/>
      <c r="O90"/>
      <c r="P90"/>
      <c r="Q90"/>
    </row>
    <row r="91" spans="1:17" ht="32.25" customHeight="1" x14ac:dyDescent="0.2">
      <c r="A91" s="831"/>
      <c r="B91" s="832"/>
      <c r="C91" s="832"/>
      <c r="D91" s="832"/>
      <c r="E91" s="832"/>
      <c r="F91" s="832"/>
      <c r="G91" s="832"/>
      <c r="H91" s="832"/>
      <c r="I91" s="832"/>
      <c r="J91" s="832"/>
      <c r="K91" s="832"/>
      <c r="L91" s="832"/>
      <c r="M91" s="833"/>
      <c r="N91" s="84"/>
      <c r="O91"/>
      <c r="P91"/>
      <c r="Q91"/>
    </row>
    <row r="92" spans="1:17" ht="16.5" customHeight="1" x14ac:dyDescent="0.2">
      <c r="A92" s="834" t="s">
        <v>445</v>
      </c>
      <c r="B92" s="834"/>
      <c r="C92" s="834"/>
      <c r="D92" s="834"/>
      <c r="E92" s="834"/>
      <c r="F92" s="834"/>
      <c r="G92" s="834"/>
      <c r="H92" s="834"/>
      <c r="I92" s="834"/>
      <c r="J92" s="834"/>
      <c r="K92" s="834"/>
      <c r="L92" s="834"/>
      <c r="M92" s="834"/>
      <c r="N92"/>
      <c r="O92"/>
      <c r="P92"/>
      <c r="Q92"/>
    </row>
    <row r="93" spans="1:17" ht="32.25" customHeight="1" x14ac:dyDescent="0.2">
      <c r="A93" s="831"/>
      <c r="B93" s="832"/>
      <c r="C93" s="832"/>
      <c r="D93" s="832"/>
      <c r="E93" s="832"/>
      <c r="F93" s="832"/>
      <c r="G93" s="832"/>
      <c r="H93" s="832"/>
      <c r="I93" s="832"/>
      <c r="J93" s="832"/>
      <c r="K93" s="832"/>
      <c r="L93" s="832"/>
      <c r="M93" s="833"/>
      <c r="N93" s="84"/>
      <c r="O93" s="84"/>
      <c r="P93" s="84"/>
      <c r="Q93" s="84"/>
    </row>
    <row r="94" spans="1:17" ht="16.5" customHeight="1" x14ac:dyDescent="0.2">
      <c r="A94" s="418" t="s">
        <v>1</v>
      </c>
      <c r="B94" s="826" t="s">
        <v>446</v>
      </c>
      <c r="C94" s="826"/>
      <c r="D94" s="826"/>
      <c r="E94" s="418" t="s">
        <v>447</v>
      </c>
      <c r="F94" s="826" t="s">
        <v>448</v>
      </c>
      <c r="G94" s="826"/>
      <c r="H94" s="826"/>
      <c r="I94" s="826"/>
      <c r="J94" s="826"/>
      <c r="K94" s="826"/>
      <c r="L94" s="826"/>
      <c r="M94" s="826"/>
      <c r="N94" s="84"/>
      <c r="O94" s="84"/>
      <c r="P94" s="84"/>
      <c r="Q94" s="84"/>
    </row>
    <row r="95" spans="1:17" x14ac:dyDescent="0.2">
      <c r="A95" s="352"/>
      <c r="B95" s="827"/>
      <c r="C95" s="828"/>
      <c r="D95" s="829"/>
      <c r="E95" s="414"/>
      <c r="F95" s="827"/>
      <c r="G95" s="828"/>
      <c r="H95" s="828"/>
      <c r="I95" s="828"/>
      <c r="J95" s="828"/>
      <c r="K95" s="828"/>
      <c r="L95" s="828"/>
      <c r="M95" s="829"/>
      <c r="N95" s="84"/>
      <c r="O95" s="84"/>
      <c r="P95" s="84"/>
      <c r="Q95" s="84"/>
    </row>
    <row r="96" spans="1:17" x14ac:dyDescent="0.2">
      <c r="A96" s="352"/>
      <c r="B96" s="827"/>
      <c r="C96" s="828"/>
      <c r="D96" s="829"/>
      <c r="E96" s="414"/>
      <c r="F96" s="827"/>
      <c r="G96" s="828"/>
      <c r="H96" s="828"/>
      <c r="I96" s="828"/>
      <c r="J96" s="828"/>
      <c r="K96" s="828"/>
      <c r="L96" s="828"/>
      <c r="M96" s="829"/>
      <c r="N96" s="84"/>
      <c r="O96" s="84"/>
      <c r="P96" s="84"/>
      <c r="Q96" s="84"/>
    </row>
    <row r="97" spans="1:17" x14ac:dyDescent="0.2">
      <c r="A97" s="352"/>
      <c r="B97" s="827"/>
      <c r="C97" s="828"/>
      <c r="D97" s="829"/>
      <c r="E97" s="414"/>
      <c r="F97" s="827"/>
      <c r="G97" s="828"/>
      <c r="H97" s="828"/>
      <c r="I97" s="828"/>
      <c r="J97" s="828"/>
      <c r="K97" s="828"/>
      <c r="L97" s="828"/>
      <c r="M97" s="829"/>
      <c r="N97" s="84"/>
      <c r="O97" s="84"/>
      <c r="P97" s="84"/>
      <c r="Q97" s="84"/>
    </row>
    <row r="98" spans="1:17" x14ac:dyDescent="0.2">
      <c r="A98" s="352"/>
      <c r="B98" s="827"/>
      <c r="C98" s="828"/>
      <c r="D98" s="829"/>
      <c r="E98" s="414"/>
      <c r="F98" s="827"/>
      <c r="G98" s="828"/>
      <c r="H98" s="828"/>
      <c r="I98" s="828"/>
      <c r="J98" s="828"/>
      <c r="K98" s="828"/>
      <c r="L98" s="828"/>
      <c r="M98" s="829"/>
      <c r="N98" s="84"/>
      <c r="O98" s="84"/>
      <c r="P98" s="84"/>
      <c r="Q98" s="84"/>
    </row>
    <row r="99" spans="1:17" ht="10.7" customHeight="1" x14ac:dyDescent="0.2">
      <c r="A99" s="419"/>
      <c r="B99" s="419"/>
      <c r="C99" s="419"/>
      <c r="D99" s="419"/>
      <c r="E99" s="419"/>
      <c r="F99" s="419"/>
      <c r="G99" s="419"/>
      <c r="H99" s="419"/>
      <c r="I99" s="419"/>
      <c r="J99" s="419"/>
      <c r="K99" s="419"/>
      <c r="L99" s="419"/>
      <c r="M99" s="419"/>
      <c r="N99" s="84"/>
      <c r="O99" s="84"/>
      <c r="P99" s="84"/>
      <c r="Q99" s="84"/>
    </row>
    <row r="100" spans="1:17" ht="10.7" customHeight="1" x14ac:dyDescent="0.2"/>
    <row r="101" spans="1:17" x14ac:dyDescent="0.2">
      <c r="A101" s="346" t="s">
        <v>437</v>
      </c>
      <c r="B101" s="413"/>
      <c r="C101" s="529" t="s">
        <v>438</v>
      </c>
      <c r="D101" s="820" t="str">
        <f>IFERROR(VLOOKUP(B101,EEI_SummaryTable!$A$16:$U$43,2,FALSE),"")</f>
        <v/>
      </c>
      <c r="E101" s="821"/>
      <c r="F101" s="821"/>
      <c r="G101" s="821"/>
      <c r="H101" s="821"/>
      <c r="I101" s="822"/>
      <c r="J101" s="823" t="s">
        <v>439</v>
      </c>
      <c r="K101" s="824"/>
      <c r="L101" s="825"/>
      <c r="M101" s="417" t="str">
        <f>IFERROR(VLOOKUP(B101,EEI_SummaryTable!$A$16:$U$43,15,FALSE),"")</f>
        <v/>
      </c>
      <c r="O101"/>
      <c r="P101"/>
      <c r="Q101"/>
    </row>
    <row r="102" spans="1:17" ht="4.3499999999999996" customHeight="1" x14ac:dyDescent="0.2">
      <c r="A102" s="415"/>
      <c r="K102" s="230"/>
      <c r="L102" s="230"/>
      <c r="O102"/>
      <c r="P102"/>
      <c r="Q102"/>
    </row>
    <row r="103" spans="1:17" x14ac:dyDescent="0.2">
      <c r="C103" s="346" t="s">
        <v>440</v>
      </c>
      <c r="D103" s="416"/>
      <c r="E103" s="13" t="s">
        <v>441</v>
      </c>
      <c r="F103" s="416"/>
      <c r="G103" s="13" t="s">
        <v>442</v>
      </c>
      <c r="H103" s="416"/>
      <c r="I103" s="13" t="s">
        <v>443</v>
      </c>
      <c r="J103" s="416"/>
      <c r="K103" s="13" t="s">
        <v>86</v>
      </c>
      <c r="L103" s="820"/>
      <c r="M103" s="822"/>
      <c r="N103" s="84"/>
      <c r="O103"/>
      <c r="P103"/>
      <c r="Q103"/>
    </row>
    <row r="104" spans="1:17" ht="16.5" customHeight="1" x14ac:dyDescent="0.2">
      <c r="A104" s="830" t="s">
        <v>444</v>
      </c>
      <c r="B104" s="830"/>
      <c r="C104" s="830"/>
      <c r="D104" s="830"/>
      <c r="E104" s="830"/>
      <c r="F104" s="830"/>
      <c r="G104" s="830"/>
      <c r="H104" s="830"/>
      <c r="I104" s="830"/>
      <c r="J104" s="830"/>
      <c r="K104" s="830"/>
      <c r="L104" s="830"/>
      <c r="M104" s="830"/>
      <c r="N104"/>
      <c r="O104"/>
      <c r="P104"/>
      <c r="Q104"/>
    </row>
    <row r="105" spans="1:17" ht="32.25" customHeight="1" x14ac:dyDescent="0.2">
      <c r="A105" s="831"/>
      <c r="B105" s="832"/>
      <c r="C105" s="832"/>
      <c r="D105" s="832"/>
      <c r="E105" s="832"/>
      <c r="F105" s="832"/>
      <c r="G105" s="832"/>
      <c r="H105" s="832"/>
      <c r="I105" s="832"/>
      <c r="J105" s="832"/>
      <c r="K105" s="832"/>
      <c r="L105" s="832"/>
      <c r="M105" s="833"/>
      <c r="N105" s="84"/>
      <c r="O105"/>
      <c r="P105"/>
      <c r="Q105"/>
    </row>
    <row r="106" spans="1:17" ht="16.5" customHeight="1" x14ac:dyDescent="0.2">
      <c r="A106" s="834" t="s">
        <v>445</v>
      </c>
      <c r="B106" s="834"/>
      <c r="C106" s="834"/>
      <c r="D106" s="834"/>
      <c r="E106" s="834"/>
      <c r="F106" s="834"/>
      <c r="G106" s="834"/>
      <c r="H106" s="834"/>
      <c r="I106" s="834"/>
      <c r="J106" s="834"/>
      <c r="K106" s="834"/>
      <c r="L106" s="834"/>
      <c r="M106" s="834"/>
      <c r="N106"/>
      <c r="O106"/>
      <c r="P106"/>
      <c r="Q106"/>
    </row>
    <row r="107" spans="1:17" ht="32.25" customHeight="1" x14ac:dyDescent="0.2">
      <c r="A107" s="831"/>
      <c r="B107" s="832"/>
      <c r="C107" s="832"/>
      <c r="D107" s="832"/>
      <c r="E107" s="832"/>
      <c r="F107" s="832"/>
      <c r="G107" s="832"/>
      <c r="H107" s="832"/>
      <c r="I107" s="832"/>
      <c r="J107" s="832"/>
      <c r="K107" s="832"/>
      <c r="L107" s="832"/>
      <c r="M107" s="833"/>
      <c r="N107" s="84"/>
      <c r="O107" s="84"/>
      <c r="P107" s="84"/>
      <c r="Q107" s="84"/>
    </row>
    <row r="108" spans="1:17" ht="16.5" customHeight="1" x14ac:dyDescent="0.2">
      <c r="A108" s="418" t="s">
        <v>1</v>
      </c>
      <c r="B108" s="826" t="s">
        <v>446</v>
      </c>
      <c r="C108" s="826"/>
      <c r="D108" s="826"/>
      <c r="E108" s="418" t="s">
        <v>447</v>
      </c>
      <c r="F108" s="826" t="s">
        <v>448</v>
      </c>
      <c r="G108" s="826"/>
      <c r="H108" s="826"/>
      <c r="I108" s="826"/>
      <c r="J108" s="826"/>
      <c r="K108" s="826"/>
      <c r="L108" s="826"/>
      <c r="M108" s="826"/>
      <c r="N108" s="84"/>
      <c r="O108" s="84"/>
      <c r="P108" s="84"/>
      <c r="Q108" s="84"/>
    </row>
    <row r="109" spans="1:17" x14ac:dyDescent="0.2">
      <c r="A109" s="352"/>
      <c r="B109" s="827"/>
      <c r="C109" s="828"/>
      <c r="D109" s="829"/>
      <c r="E109" s="414"/>
      <c r="F109" s="827"/>
      <c r="G109" s="828"/>
      <c r="H109" s="828"/>
      <c r="I109" s="828"/>
      <c r="J109" s="828"/>
      <c r="K109" s="828"/>
      <c r="L109" s="828"/>
      <c r="M109" s="829"/>
      <c r="N109" s="84"/>
      <c r="O109" s="84"/>
      <c r="P109" s="84"/>
      <c r="Q109" s="84"/>
    </row>
    <row r="110" spans="1:17" x14ac:dyDescent="0.2">
      <c r="A110" s="352"/>
      <c r="B110" s="827"/>
      <c r="C110" s="828"/>
      <c r="D110" s="829"/>
      <c r="E110" s="414"/>
      <c r="F110" s="827"/>
      <c r="G110" s="828"/>
      <c r="H110" s="828"/>
      <c r="I110" s="828"/>
      <c r="J110" s="828"/>
      <c r="K110" s="828"/>
      <c r="L110" s="828"/>
      <c r="M110" s="829"/>
      <c r="N110" s="84"/>
      <c r="O110" s="84"/>
      <c r="P110" s="84"/>
      <c r="Q110" s="84"/>
    </row>
    <row r="111" spans="1:17" x14ac:dyDescent="0.2">
      <c r="A111" s="352"/>
      <c r="B111" s="827"/>
      <c r="C111" s="828"/>
      <c r="D111" s="829"/>
      <c r="E111" s="414"/>
      <c r="F111" s="827"/>
      <c r="G111" s="828"/>
      <c r="H111" s="828"/>
      <c r="I111" s="828"/>
      <c r="J111" s="828"/>
      <c r="K111" s="828"/>
      <c r="L111" s="828"/>
      <c r="M111" s="829"/>
      <c r="N111" s="84"/>
      <c r="O111" s="84"/>
      <c r="P111" s="84"/>
      <c r="Q111" s="84"/>
    </row>
    <row r="112" spans="1:17" x14ac:dyDescent="0.2">
      <c r="A112" s="352"/>
      <c r="B112" s="827"/>
      <c r="C112" s="828"/>
      <c r="D112" s="829"/>
      <c r="E112" s="414"/>
      <c r="F112" s="827"/>
      <c r="G112" s="828"/>
      <c r="H112" s="828"/>
      <c r="I112" s="828"/>
      <c r="J112" s="828"/>
      <c r="K112" s="828"/>
      <c r="L112" s="828"/>
      <c r="M112" s="829"/>
      <c r="N112" s="84"/>
      <c r="O112" s="84"/>
      <c r="P112" s="84"/>
      <c r="Q112" s="84"/>
    </row>
    <row r="113" spans="1:17" ht="10.7" customHeight="1" x14ac:dyDescent="0.2">
      <c r="A113" s="419"/>
      <c r="B113" s="419"/>
      <c r="C113" s="419"/>
      <c r="D113" s="419"/>
      <c r="E113" s="419"/>
      <c r="F113" s="419"/>
      <c r="G113" s="419"/>
      <c r="H113" s="419"/>
      <c r="I113" s="419"/>
      <c r="J113" s="419"/>
      <c r="K113" s="419"/>
      <c r="L113" s="419"/>
      <c r="M113" s="419"/>
      <c r="N113" s="84"/>
      <c r="O113" s="84"/>
      <c r="P113" s="84"/>
      <c r="Q113" s="84"/>
    </row>
    <row r="114" spans="1:17" ht="10.7" customHeight="1" x14ac:dyDescent="0.2">
      <c r="A114" s="412"/>
      <c r="B114" s="412"/>
      <c r="C114" s="412"/>
      <c r="D114" s="412"/>
      <c r="E114" s="412"/>
      <c r="F114" s="412"/>
      <c r="G114" s="412"/>
      <c r="H114" s="412"/>
      <c r="I114" s="412"/>
      <c r="J114" s="412"/>
      <c r="K114" s="412"/>
      <c r="L114" s="412"/>
      <c r="M114" s="412"/>
      <c r="N114" s="84"/>
      <c r="O114" s="84"/>
      <c r="P114" s="84"/>
      <c r="Q114" s="84"/>
    </row>
    <row r="115" spans="1:17" x14ac:dyDescent="0.2">
      <c r="A115" s="346" t="s">
        <v>437</v>
      </c>
      <c r="B115" s="413"/>
      <c r="C115" s="529" t="s">
        <v>438</v>
      </c>
      <c r="D115" s="820" t="str">
        <f>IFERROR(VLOOKUP(B115,EEI_SummaryTable!$A$16:$U$43,2,FALSE),"")</f>
        <v/>
      </c>
      <c r="E115" s="821"/>
      <c r="F115" s="821"/>
      <c r="G115" s="821"/>
      <c r="H115" s="821"/>
      <c r="I115" s="822"/>
      <c r="J115" s="823" t="s">
        <v>439</v>
      </c>
      <c r="K115" s="824"/>
      <c r="L115" s="825"/>
      <c r="M115" s="417" t="str">
        <f>IFERROR(VLOOKUP(B115,EEI_SummaryTable!$A$16:$U$43,15,FALSE),"")</f>
        <v/>
      </c>
      <c r="O115"/>
      <c r="P115"/>
      <c r="Q115"/>
    </row>
    <row r="116" spans="1:17" ht="4.3499999999999996" customHeight="1" x14ac:dyDescent="0.2">
      <c r="A116" s="415"/>
      <c r="K116" s="230"/>
      <c r="L116" s="230"/>
      <c r="O116"/>
      <c r="P116"/>
      <c r="Q116"/>
    </row>
    <row r="117" spans="1:17" x14ac:dyDescent="0.2">
      <c r="C117" s="346" t="s">
        <v>440</v>
      </c>
      <c r="D117" s="416"/>
      <c r="E117" s="13" t="s">
        <v>441</v>
      </c>
      <c r="F117" s="416"/>
      <c r="G117" s="13" t="s">
        <v>442</v>
      </c>
      <c r="H117" s="416"/>
      <c r="I117" s="13" t="s">
        <v>443</v>
      </c>
      <c r="J117" s="416"/>
      <c r="K117" s="13" t="s">
        <v>86</v>
      </c>
      <c r="L117" s="820"/>
      <c r="M117" s="822"/>
      <c r="N117" s="84"/>
      <c r="O117"/>
      <c r="P117"/>
      <c r="Q117"/>
    </row>
    <row r="118" spans="1:17" ht="16.5" customHeight="1" x14ac:dyDescent="0.2">
      <c r="A118" s="830" t="s">
        <v>444</v>
      </c>
      <c r="B118" s="830"/>
      <c r="C118" s="830"/>
      <c r="D118" s="830"/>
      <c r="E118" s="830"/>
      <c r="F118" s="830"/>
      <c r="G118" s="830"/>
      <c r="H118" s="830"/>
      <c r="I118" s="830"/>
      <c r="J118" s="830"/>
      <c r="K118" s="830"/>
      <c r="L118" s="830"/>
      <c r="M118" s="830"/>
      <c r="N118"/>
      <c r="O118"/>
      <c r="P118"/>
      <c r="Q118"/>
    </row>
    <row r="119" spans="1:17" ht="32.25" customHeight="1" x14ac:dyDescent="0.2">
      <c r="A119" s="831"/>
      <c r="B119" s="832"/>
      <c r="C119" s="832"/>
      <c r="D119" s="832"/>
      <c r="E119" s="832"/>
      <c r="F119" s="832"/>
      <c r="G119" s="832"/>
      <c r="H119" s="832"/>
      <c r="I119" s="832"/>
      <c r="J119" s="832"/>
      <c r="K119" s="832"/>
      <c r="L119" s="832"/>
      <c r="M119" s="833"/>
      <c r="N119" s="84"/>
      <c r="O119"/>
      <c r="P119"/>
      <c r="Q119"/>
    </row>
    <row r="120" spans="1:17" ht="16.5" customHeight="1" x14ac:dyDescent="0.2">
      <c r="A120" s="834" t="s">
        <v>445</v>
      </c>
      <c r="B120" s="834"/>
      <c r="C120" s="834"/>
      <c r="D120" s="834"/>
      <c r="E120" s="834"/>
      <c r="F120" s="834"/>
      <c r="G120" s="834"/>
      <c r="H120" s="834"/>
      <c r="I120" s="834"/>
      <c r="J120" s="834"/>
      <c r="K120" s="834"/>
      <c r="L120" s="834"/>
      <c r="M120" s="834"/>
      <c r="N120"/>
      <c r="O120"/>
      <c r="P120"/>
      <c r="Q120"/>
    </row>
    <row r="121" spans="1:17" ht="32.25" customHeight="1" x14ac:dyDescent="0.2">
      <c r="A121" s="831"/>
      <c r="B121" s="832"/>
      <c r="C121" s="832"/>
      <c r="D121" s="832"/>
      <c r="E121" s="832"/>
      <c r="F121" s="832"/>
      <c r="G121" s="832"/>
      <c r="H121" s="832"/>
      <c r="I121" s="832"/>
      <c r="J121" s="832"/>
      <c r="K121" s="832"/>
      <c r="L121" s="832"/>
      <c r="M121" s="833"/>
      <c r="N121" s="84"/>
      <c r="O121" s="84"/>
      <c r="P121" s="84"/>
      <c r="Q121" s="84"/>
    </row>
    <row r="122" spans="1:17" ht="16.5" customHeight="1" x14ac:dyDescent="0.2">
      <c r="A122" s="418" t="s">
        <v>1</v>
      </c>
      <c r="B122" s="826" t="s">
        <v>446</v>
      </c>
      <c r="C122" s="826"/>
      <c r="D122" s="826"/>
      <c r="E122" s="418" t="s">
        <v>447</v>
      </c>
      <c r="F122" s="826" t="s">
        <v>448</v>
      </c>
      <c r="G122" s="826"/>
      <c r="H122" s="826"/>
      <c r="I122" s="826"/>
      <c r="J122" s="826"/>
      <c r="K122" s="826"/>
      <c r="L122" s="826"/>
      <c r="M122" s="826"/>
      <c r="N122" s="84"/>
      <c r="O122" s="84"/>
      <c r="P122" s="84"/>
      <c r="Q122" s="84"/>
    </row>
    <row r="123" spans="1:17" x14ac:dyDescent="0.2">
      <c r="A123" s="352"/>
      <c r="B123" s="827"/>
      <c r="C123" s="828"/>
      <c r="D123" s="829"/>
      <c r="E123" s="414"/>
      <c r="F123" s="827"/>
      <c r="G123" s="828"/>
      <c r="H123" s="828"/>
      <c r="I123" s="828"/>
      <c r="J123" s="828"/>
      <c r="K123" s="828"/>
      <c r="L123" s="828"/>
      <c r="M123" s="829"/>
      <c r="N123" s="84"/>
      <c r="O123" s="84"/>
      <c r="P123" s="84"/>
      <c r="Q123" s="84"/>
    </row>
    <row r="124" spans="1:17" x14ac:dyDescent="0.2">
      <c r="A124" s="352"/>
      <c r="B124" s="827"/>
      <c r="C124" s="828"/>
      <c r="D124" s="829"/>
      <c r="E124" s="414"/>
      <c r="F124" s="827"/>
      <c r="G124" s="828"/>
      <c r="H124" s="828"/>
      <c r="I124" s="828"/>
      <c r="J124" s="828"/>
      <c r="K124" s="828"/>
      <c r="L124" s="828"/>
      <c r="M124" s="829"/>
      <c r="N124" s="84"/>
      <c r="O124" s="84"/>
      <c r="P124" s="84"/>
      <c r="Q124" s="84"/>
    </row>
    <row r="125" spans="1:17" x14ac:dyDescent="0.2">
      <c r="A125" s="352"/>
      <c r="B125" s="827"/>
      <c r="C125" s="828"/>
      <c r="D125" s="829"/>
      <c r="E125" s="414"/>
      <c r="F125" s="827"/>
      <c r="G125" s="828"/>
      <c r="H125" s="828"/>
      <c r="I125" s="828"/>
      <c r="J125" s="828"/>
      <c r="K125" s="828"/>
      <c r="L125" s="828"/>
      <c r="M125" s="829"/>
      <c r="N125" s="84"/>
      <c r="O125" s="84"/>
      <c r="P125" s="84"/>
      <c r="Q125" s="84"/>
    </row>
    <row r="126" spans="1:17" x14ac:dyDescent="0.2">
      <c r="A126" s="352"/>
      <c r="B126" s="827"/>
      <c r="C126" s="828"/>
      <c r="D126" s="829"/>
      <c r="E126" s="414"/>
      <c r="F126" s="827"/>
      <c r="G126" s="828"/>
      <c r="H126" s="828"/>
      <c r="I126" s="828"/>
      <c r="J126" s="828"/>
      <c r="K126" s="828"/>
      <c r="L126" s="828"/>
      <c r="M126" s="829"/>
      <c r="N126" s="84"/>
      <c r="O126" s="84"/>
      <c r="P126" s="84"/>
      <c r="Q126" s="84"/>
    </row>
    <row r="127" spans="1:17" x14ac:dyDescent="0.2">
      <c r="A127" s="412"/>
      <c r="B127" s="412"/>
      <c r="C127" s="412"/>
      <c r="D127" s="412"/>
      <c r="E127" s="412"/>
      <c r="F127" s="412"/>
      <c r="G127" s="412"/>
      <c r="H127" s="412"/>
      <c r="I127" s="412"/>
      <c r="J127" s="412"/>
      <c r="K127" s="412"/>
      <c r="L127" s="412"/>
      <c r="M127" s="412"/>
      <c r="N127" s="84"/>
      <c r="O127" s="84"/>
      <c r="P127" s="84"/>
      <c r="Q127" s="84"/>
    </row>
    <row r="128" spans="1:17" x14ac:dyDescent="0.2">
      <c r="A128" s="412"/>
      <c r="B128" s="412"/>
      <c r="C128" s="412"/>
      <c r="D128" s="412"/>
      <c r="E128" s="412"/>
      <c r="F128" s="412"/>
      <c r="G128" s="412"/>
      <c r="H128" s="412"/>
      <c r="I128" s="412"/>
      <c r="J128" s="412"/>
      <c r="K128" s="412"/>
      <c r="L128" s="412"/>
      <c r="M128" s="412"/>
      <c r="N128" s="84"/>
      <c r="O128" s="84"/>
      <c r="P128" s="84"/>
      <c r="Q128" s="84"/>
    </row>
  </sheetData>
  <mergeCells count="155">
    <mergeCell ref="A1:M1"/>
    <mergeCell ref="B3:M3"/>
    <mergeCell ref="J19:L19"/>
    <mergeCell ref="L21:M21"/>
    <mergeCell ref="D5:I5"/>
    <mergeCell ref="F12:M12"/>
    <mergeCell ref="B12:D12"/>
    <mergeCell ref="D19:I19"/>
    <mergeCell ref="F13:M13"/>
    <mergeCell ref="B14:D14"/>
    <mergeCell ref="F14:M14"/>
    <mergeCell ref="B15:D15"/>
    <mergeCell ref="F15:M15"/>
    <mergeCell ref="B16:D16"/>
    <mergeCell ref="F16:M16"/>
    <mergeCell ref="L7:M7"/>
    <mergeCell ref="B13:D13"/>
    <mergeCell ref="A9:M9"/>
    <mergeCell ref="A10:M10"/>
    <mergeCell ref="A11:M11"/>
    <mergeCell ref="A8:M8"/>
    <mergeCell ref="B41:D41"/>
    <mergeCell ref="F41:M41"/>
    <mergeCell ref="B42:D42"/>
    <mergeCell ref="F42:M42"/>
    <mergeCell ref="B29:D29"/>
    <mergeCell ref="F29:M29"/>
    <mergeCell ref="B30:D30"/>
    <mergeCell ref="F30:M30"/>
    <mergeCell ref="J5:L5"/>
    <mergeCell ref="A39:M39"/>
    <mergeCell ref="A36:M36"/>
    <mergeCell ref="A37:M37"/>
    <mergeCell ref="A38:M38"/>
    <mergeCell ref="J33:L33"/>
    <mergeCell ref="L35:M35"/>
    <mergeCell ref="B27:D27"/>
    <mergeCell ref="F27:M27"/>
    <mergeCell ref="B28:D28"/>
    <mergeCell ref="F28:M28"/>
    <mergeCell ref="A24:M24"/>
    <mergeCell ref="A22:M22"/>
    <mergeCell ref="A23:M23"/>
    <mergeCell ref="A25:M25"/>
    <mergeCell ref="B26:D26"/>
    <mergeCell ref="L48:M48"/>
    <mergeCell ref="A49:M49"/>
    <mergeCell ref="A50:M50"/>
    <mergeCell ref="A51:M51"/>
    <mergeCell ref="A52:M52"/>
    <mergeCell ref="B44:D44"/>
    <mergeCell ref="F44:M44"/>
    <mergeCell ref="B43:D43"/>
    <mergeCell ref="F43:M43"/>
    <mergeCell ref="D46:I46"/>
    <mergeCell ref="J46:L46"/>
    <mergeCell ref="F56:M56"/>
    <mergeCell ref="B57:D57"/>
    <mergeCell ref="F57:M57"/>
    <mergeCell ref="B54:D54"/>
    <mergeCell ref="F54:M54"/>
    <mergeCell ref="B55:D55"/>
    <mergeCell ref="F55:M55"/>
    <mergeCell ref="B53:D53"/>
    <mergeCell ref="F53:M53"/>
    <mergeCell ref="B56:D56"/>
    <mergeCell ref="B83:D83"/>
    <mergeCell ref="F83:M83"/>
    <mergeCell ref="B84:D84"/>
    <mergeCell ref="F84:M84"/>
    <mergeCell ref="B85:D85"/>
    <mergeCell ref="F85:M85"/>
    <mergeCell ref="B82:D82"/>
    <mergeCell ref="F82:M82"/>
    <mergeCell ref="L76:M76"/>
    <mergeCell ref="A77:M77"/>
    <mergeCell ref="A78:M78"/>
    <mergeCell ref="A79:M79"/>
    <mergeCell ref="A80:M80"/>
    <mergeCell ref="F81:M81"/>
    <mergeCell ref="B94:D94"/>
    <mergeCell ref="F94:M94"/>
    <mergeCell ref="J87:L87"/>
    <mergeCell ref="L89:M89"/>
    <mergeCell ref="A90:M90"/>
    <mergeCell ref="A91:M91"/>
    <mergeCell ref="A92:M92"/>
    <mergeCell ref="A93:M93"/>
    <mergeCell ref="D87:I87"/>
    <mergeCell ref="A107:M107"/>
    <mergeCell ref="D101:I101"/>
    <mergeCell ref="B97:D97"/>
    <mergeCell ref="F97:M97"/>
    <mergeCell ref="B98:D98"/>
    <mergeCell ref="F98:M98"/>
    <mergeCell ref="B95:D95"/>
    <mergeCell ref="F95:M95"/>
    <mergeCell ref="B96:D96"/>
    <mergeCell ref="F96:M96"/>
    <mergeCell ref="B126:D126"/>
    <mergeCell ref="F126:M126"/>
    <mergeCell ref="B123:D123"/>
    <mergeCell ref="F123:M123"/>
    <mergeCell ref="B122:D122"/>
    <mergeCell ref="F122:M122"/>
    <mergeCell ref="J115:L115"/>
    <mergeCell ref="L117:M117"/>
    <mergeCell ref="A118:M118"/>
    <mergeCell ref="A119:M119"/>
    <mergeCell ref="A120:M120"/>
    <mergeCell ref="A121:M121"/>
    <mergeCell ref="D115:I115"/>
    <mergeCell ref="F26:M26"/>
    <mergeCell ref="D33:I33"/>
    <mergeCell ref="B40:D40"/>
    <mergeCell ref="F40:M40"/>
    <mergeCell ref="B124:D124"/>
    <mergeCell ref="F124:M124"/>
    <mergeCell ref="B125:D125"/>
    <mergeCell ref="F125:M125"/>
    <mergeCell ref="B112:D112"/>
    <mergeCell ref="F112:M112"/>
    <mergeCell ref="B111:D111"/>
    <mergeCell ref="F111:M111"/>
    <mergeCell ref="B109:D109"/>
    <mergeCell ref="F109:M109"/>
    <mergeCell ref="B110:D110"/>
    <mergeCell ref="F110:M110"/>
    <mergeCell ref="B108:D108"/>
    <mergeCell ref="F108:M108"/>
    <mergeCell ref="J101:L101"/>
    <mergeCell ref="L103:M103"/>
    <mergeCell ref="A104:M104"/>
    <mergeCell ref="A105:M105"/>
    <mergeCell ref="A106:M106"/>
    <mergeCell ref="B81:D81"/>
    <mergeCell ref="D60:I60"/>
    <mergeCell ref="J60:L60"/>
    <mergeCell ref="B67:D67"/>
    <mergeCell ref="F67:M67"/>
    <mergeCell ref="D74:I74"/>
    <mergeCell ref="J74:L74"/>
    <mergeCell ref="B70:D70"/>
    <mergeCell ref="F70:M70"/>
    <mergeCell ref="B71:D71"/>
    <mergeCell ref="F71:M71"/>
    <mergeCell ref="B68:D68"/>
    <mergeCell ref="F68:M68"/>
    <mergeCell ref="B69:D69"/>
    <mergeCell ref="F69:M69"/>
    <mergeCell ref="L62:M62"/>
    <mergeCell ref="A63:M63"/>
    <mergeCell ref="A64:M64"/>
    <mergeCell ref="A65:M65"/>
    <mergeCell ref="A66:M66"/>
  </mergeCells>
  <pageMargins left="0.75" right="0.77031249999999996" top="1.0559375" bottom="0.82" header="0.5" footer="0.5"/>
  <pageSetup fitToHeight="2" orientation="portrait" r:id="rId1"/>
  <headerFooter alignWithMargins="0">
    <oddHeader>&amp;L&amp;G&amp;C&amp;"Arial,Bold"
EEI Performance Persistence Checks</oddHeader>
    <oddFooter>&amp;L&amp;8Performance Persistence Checks - 2026.1&amp;R&amp;8
Page &amp;P of &amp;N</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75794912-974A-46B5-9774-5446D0D13617}">
          <x14:formula1>
            <xm:f>EEI_SummaryTable!$A$16:$A$43</xm:f>
          </x14:formula1>
          <xm:sqref>B5 B19 B33 B46 B60 B74 B87 B101 B115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BFDDA3"/>
  </sheetPr>
  <dimension ref="A1:Q42"/>
  <sheetViews>
    <sheetView showGridLines="0" showRuler="0" view="pageLayout" zoomScale="110" zoomScaleNormal="100" zoomScaleSheetLayoutView="80" zoomScalePageLayoutView="110" workbookViewId="0">
      <selection activeCell="A13" sqref="A13"/>
    </sheetView>
  </sheetViews>
  <sheetFormatPr defaultColWidth="9.140625" defaultRowHeight="12.75" x14ac:dyDescent="0.2"/>
  <cols>
    <col min="1" max="1" width="7.140625" style="224" customWidth="1"/>
    <col min="2" max="2" width="13.42578125" style="224" customWidth="1"/>
    <col min="3" max="3" width="6.5703125" style="224" customWidth="1"/>
    <col min="4" max="4" width="9" style="224" customWidth="1"/>
    <col min="5" max="5" width="2.28515625" style="224" customWidth="1"/>
    <col min="6" max="6" width="11.42578125" style="224" customWidth="1"/>
    <col min="7" max="7" width="12.7109375" style="224" customWidth="1"/>
    <col min="8" max="8" width="13.85546875" style="224" customWidth="1"/>
    <col min="9" max="9" width="10" style="224" customWidth="1"/>
    <col min="10" max="10" width="4.28515625" style="224" customWidth="1"/>
    <col min="11" max="11" width="10.85546875" style="224" customWidth="1"/>
    <col min="12" max="12" width="9.140625" style="224"/>
    <col min="13" max="13" width="8" style="224" customWidth="1"/>
    <col min="14" max="14" width="18.85546875" style="224" hidden="1" customWidth="1"/>
    <col min="15" max="15" width="22.140625" style="224" hidden="1" customWidth="1"/>
    <col min="16" max="16" width="13.85546875" style="224" hidden="1" customWidth="1"/>
    <col min="17" max="17" width="18.5703125" style="224" hidden="1" customWidth="1"/>
    <col min="18" max="16384" width="9.140625" style="224"/>
  </cols>
  <sheetData>
    <row r="1" spans="1:17" ht="15" x14ac:dyDescent="0.25">
      <c r="A1" s="758" t="str">
        <f>"PSE "&amp;VLOOKUP(CxPath,Hidden!$K$3:$M$5,3,FALSE)</f>
        <v>PSE Existing Building Commissioning (EBCx)</v>
      </c>
      <c r="B1" s="758"/>
      <c r="C1" s="758"/>
      <c r="D1" s="758"/>
      <c r="E1" s="758"/>
      <c r="F1" s="758"/>
      <c r="G1" s="758"/>
      <c r="H1" s="758"/>
      <c r="I1" s="758"/>
      <c r="J1" s="758"/>
    </row>
    <row r="2" spans="1:17" ht="5.0999999999999996" customHeight="1" thickBot="1" x14ac:dyDescent="0.3">
      <c r="A2" s="336"/>
      <c r="B2" s="336"/>
      <c r="C2" s="336"/>
      <c r="D2" s="336"/>
      <c r="E2" s="336"/>
    </row>
    <row r="3" spans="1:17" ht="16.5" customHeight="1" thickBot="1" x14ac:dyDescent="0.3">
      <c r="A3" s="862" t="s">
        <v>298</v>
      </c>
      <c r="B3" s="863"/>
      <c r="C3" s="864" t="str">
        <f>""&amp;'Pre-screen+Assessment'!F4</f>
        <v/>
      </c>
      <c r="D3" s="864"/>
      <c r="E3" s="864"/>
      <c r="F3" s="864"/>
      <c r="G3" s="864"/>
      <c r="H3" s="864"/>
      <c r="I3" s="864"/>
      <c r="J3" s="865"/>
      <c r="K3" s="10"/>
    </row>
    <row r="4" spans="1:17" s="457" customFormat="1" x14ac:dyDescent="0.2">
      <c r="A4" s="866" t="s">
        <v>557</v>
      </c>
      <c r="B4" s="867"/>
      <c r="C4" s="867"/>
      <c r="D4" s="867"/>
      <c r="E4" s="867"/>
      <c r="F4" s="867"/>
      <c r="G4" s="867"/>
      <c r="H4" s="867"/>
      <c r="I4" s="867"/>
      <c r="J4" s="868"/>
      <c r="K4" s="225"/>
    </row>
    <row r="5" spans="1:17" x14ac:dyDescent="0.2">
      <c r="A5" s="869" t="s">
        <v>558</v>
      </c>
      <c r="B5" s="870"/>
      <c r="C5" s="870"/>
      <c r="D5" s="870"/>
      <c r="E5" s="870"/>
      <c r="F5" s="870"/>
      <c r="G5" s="870"/>
      <c r="H5" s="870"/>
      <c r="I5" s="870"/>
      <c r="J5" s="871"/>
      <c r="K5" s="225"/>
    </row>
    <row r="6" spans="1:17" x14ac:dyDescent="0.2">
      <c r="A6" s="838" t="s">
        <v>559</v>
      </c>
      <c r="B6" s="839"/>
      <c r="C6" s="839"/>
      <c r="D6" s="839"/>
      <c r="E6" s="839"/>
      <c r="F6" s="839"/>
      <c r="G6" s="839"/>
      <c r="H6" s="839"/>
      <c r="I6" s="839"/>
      <c r="J6" s="840"/>
      <c r="K6" s="226"/>
    </row>
    <row r="7" spans="1:17" x14ac:dyDescent="0.2">
      <c r="A7" s="838" t="s">
        <v>560</v>
      </c>
      <c r="B7" s="839"/>
      <c r="C7" s="839"/>
      <c r="D7" s="839"/>
      <c r="E7" s="839"/>
      <c r="F7" s="839"/>
      <c r="G7" s="839"/>
      <c r="H7" s="839"/>
      <c r="I7" s="839"/>
      <c r="J7" s="840"/>
      <c r="K7" s="226"/>
    </row>
    <row r="8" spans="1:17" ht="13.5" thickBot="1" x14ac:dyDescent="0.25">
      <c r="A8" s="841" t="s">
        <v>561</v>
      </c>
      <c r="B8" s="842"/>
      <c r="C8" s="842"/>
      <c r="D8" s="842"/>
      <c r="E8" s="842"/>
      <c r="F8" s="842"/>
      <c r="G8" s="842"/>
      <c r="H8" s="842"/>
      <c r="I8" s="842"/>
      <c r="J8" s="843"/>
      <c r="K8" s="226"/>
    </row>
    <row r="9" spans="1:17" ht="3.75" customHeight="1" x14ac:dyDescent="0.2">
      <c r="A9" s="227"/>
      <c r="B9" s="228"/>
      <c r="C9" s="228"/>
      <c r="D9" s="228"/>
      <c r="E9" s="228"/>
      <c r="F9" s="228"/>
      <c r="G9" s="228"/>
      <c r="H9" s="228"/>
      <c r="I9" s="228"/>
      <c r="J9" s="229"/>
      <c r="K9" s="226"/>
    </row>
    <row r="10" spans="1:17" x14ac:dyDescent="0.2">
      <c r="A10" s="844" t="s">
        <v>562</v>
      </c>
      <c r="B10" s="845"/>
      <c r="C10" s="846"/>
      <c r="D10" s="82">
        <f>IncentiveEst!AdjCost</f>
        <v>42000</v>
      </c>
      <c r="E10" s="226"/>
      <c r="F10" s="230" t="s">
        <v>563</v>
      </c>
      <c r="G10" s="231">
        <f>IncentiveEst!sqft</f>
        <v>280000</v>
      </c>
      <c r="H10" s="230" t="s">
        <v>564</v>
      </c>
      <c r="I10" s="232">
        <f>IncentiveEst!C13</f>
        <v>0.15</v>
      </c>
      <c r="J10" s="233"/>
      <c r="K10" s="226"/>
    </row>
    <row r="11" spans="1:17" ht="5.25" customHeight="1" thickBot="1" x14ac:dyDescent="0.25">
      <c r="A11" s="234"/>
      <c r="J11" s="233"/>
    </row>
    <row r="12" spans="1:17" ht="39" thickBot="1" x14ac:dyDescent="0.25">
      <c r="A12" s="11" t="s">
        <v>565</v>
      </c>
      <c r="B12" s="12" t="s">
        <v>541</v>
      </c>
      <c r="C12" s="349" t="s">
        <v>566</v>
      </c>
      <c r="D12" s="847" t="s">
        <v>567</v>
      </c>
      <c r="E12" s="848"/>
      <c r="F12" s="848"/>
      <c r="G12" s="848"/>
      <c r="H12" s="848"/>
      <c r="I12" s="848"/>
      <c r="J12" s="849"/>
      <c r="K12" s="13"/>
      <c r="N12" s="858" t="s">
        <v>548</v>
      </c>
      <c r="O12" s="848"/>
      <c r="P12" s="848"/>
      <c r="Q12" s="849"/>
    </row>
    <row r="13" spans="1:17" ht="17.100000000000001" customHeight="1" x14ac:dyDescent="0.2">
      <c r="A13" s="22"/>
      <c r="B13" s="22"/>
      <c r="C13" s="235"/>
      <c r="D13" s="859"/>
      <c r="E13" s="860"/>
      <c r="F13" s="860"/>
      <c r="G13" s="860"/>
      <c r="H13" s="860"/>
      <c r="I13" s="860"/>
      <c r="J13" s="861"/>
      <c r="K13" s="236"/>
      <c r="N13" s="1" t="s">
        <v>556</v>
      </c>
      <c r="O13" s="2" t="s">
        <v>550</v>
      </c>
      <c r="P13" s="3"/>
      <c r="Q13" s="4" t="s">
        <v>551</v>
      </c>
    </row>
    <row r="14" spans="1:17" ht="17.100000000000001" customHeight="1" x14ac:dyDescent="0.2">
      <c r="A14" s="237"/>
      <c r="B14" s="238"/>
      <c r="C14" s="239"/>
      <c r="D14" s="850"/>
      <c r="E14" s="850"/>
      <c r="F14" s="850"/>
      <c r="G14" s="850"/>
      <c r="H14" s="850"/>
      <c r="I14" s="835"/>
      <c r="J14" s="851"/>
      <c r="K14" s="236"/>
      <c r="N14" s="240" t="s">
        <v>99</v>
      </c>
      <c r="O14" s="241">
        <v>0.15</v>
      </c>
      <c r="P14" s="242"/>
      <c r="Q14" s="233" t="s">
        <v>552</v>
      </c>
    </row>
    <row r="15" spans="1:17" ht="17.100000000000001" customHeight="1" thickBot="1" x14ac:dyDescent="0.25">
      <c r="A15" s="237"/>
      <c r="B15" s="238"/>
      <c r="C15" s="239"/>
      <c r="D15" s="850"/>
      <c r="E15" s="850"/>
      <c r="F15" s="850"/>
      <c r="G15" s="850"/>
      <c r="H15" s="850"/>
      <c r="I15" s="835"/>
      <c r="J15" s="851"/>
      <c r="K15" s="236"/>
      <c r="N15" s="243" t="s">
        <v>108</v>
      </c>
      <c r="O15" s="244">
        <v>0.1</v>
      </c>
      <c r="P15" s="242"/>
      <c r="Q15" s="233" t="s">
        <v>554</v>
      </c>
    </row>
    <row r="16" spans="1:17" ht="17.100000000000001" customHeight="1" thickBot="1" x14ac:dyDescent="0.25">
      <c r="A16" s="237"/>
      <c r="B16" s="238"/>
      <c r="C16" s="239"/>
      <c r="D16" s="850"/>
      <c r="E16" s="850"/>
      <c r="F16" s="850"/>
      <c r="G16" s="850"/>
      <c r="H16" s="850"/>
      <c r="I16" s="835"/>
      <c r="J16" s="851"/>
      <c r="K16" s="236"/>
      <c r="N16" s="245"/>
      <c r="O16" s="246">
        <v>0.05</v>
      </c>
      <c r="P16" s="247"/>
      <c r="Q16" s="248" t="s">
        <v>555</v>
      </c>
    </row>
    <row r="17" spans="1:15" ht="17.100000000000001" customHeight="1" x14ac:dyDescent="0.2">
      <c r="A17" s="237"/>
      <c r="B17" s="238"/>
      <c r="C17" s="239"/>
      <c r="D17" s="850"/>
      <c r="E17" s="850"/>
      <c r="F17" s="850"/>
      <c r="G17" s="850"/>
      <c r="H17" s="850"/>
      <c r="I17" s="835"/>
      <c r="J17" s="851"/>
      <c r="K17" s="236"/>
      <c r="O17" s="242">
        <v>0.16</v>
      </c>
    </row>
    <row r="18" spans="1:15" ht="17.100000000000001" customHeight="1" x14ac:dyDescent="0.2">
      <c r="A18" s="237"/>
      <c r="B18" s="238"/>
      <c r="C18" s="239"/>
      <c r="D18" s="850"/>
      <c r="E18" s="850"/>
      <c r="F18" s="850"/>
      <c r="G18" s="850"/>
      <c r="H18" s="850"/>
      <c r="I18" s="835"/>
      <c r="J18" s="851"/>
      <c r="K18" s="236"/>
    </row>
    <row r="19" spans="1:15" ht="17.100000000000001" customHeight="1" x14ac:dyDescent="0.2">
      <c r="A19" s="237"/>
      <c r="B19" s="238"/>
      <c r="C19" s="239"/>
      <c r="D19" s="835"/>
      <c r="E19" s="836"/>
      <c r="F19" s="836"/>
      <c r="G19" s="836"/>
      <c r="H19" s="836"/>
      <c r="I19" s="836"/>
      <c r="J19" s="837"/>
      <c r="K19" s="236"/>
    </row>
    <row r="20" spans="1:15" ht="17.100000000000001" customHeight="1" x14ac:dyDescent="0.2">
      <c r="A20" s="237"/>
      <c r="B20" s="238"/>
      <c r="C20" s="239"/>
      <c r="D20" s="835"/>
      <c r="E20" s="836"/>
      <c r="F20" s="836"/>
      <c r="G20" s="836"/>
      <c r="H20" s="836"/>
      <c r="I20" s="836"/>
      <c r="J20" s="837"/>
      <c r="K20" s="236"/>
    </row>
    <row r="21" spans="1:15" ht="17.100000000000001" customHeight="1" x14ac:dyDescent="0.2">
      <c r="A21" s="237"/>
      <c r="B21" s="238"/>
      <c r="C21" s="239"/>
      <c r="D21" s="850"/>
      <c r="E21" s="850"/>
      <c r="F21" s="850"/>
      <c r="G21" s="850"/>
      <c r="H21" s="850"/>
      <c r="I21" s="835"/>
      <c r="J21" s="851"/>
      <c r="K21" s="236"/>
    </row>
    <row r="22" spans="1:15" ht="17.100000000000001" customHeight="1" x14ac:dyDescent="0.2">
      <c r="A22" s="237"/>
      <c r="B22" s="238"/>
      <c r="C22" s="239"/>
      <c r="D22" s="850"/>
      <c r="E22" s="850"/>
      <c r="F22" s="850"/>
      <c r="G22" s="850"/>
      <c r="H22" s="850"/>
      <c r="I22" s="835"/>
      <c r="J22" s="851"/>
      <c r="K22" s="236"/>
    </row>
    <row r="23" spans="1:15" ht="17.100000000000001" customHeight="1" x14ac:dyDescent="0.2">
      <c r="A23" s="237"/>
      <c r="B23" s="238"/>
      <c r="C23" s="239"/>
      <c r="D23" s="850"/>
      <c r="E23" s="850"/>
      <c r="F23" s="850"/>
      <c r="G23" s="850"/>
      <c r="H23" s="850"/>
      <c r="I23" s="835"/>
      <c r="J23" s="851"/>
      <c r="K23" s="236"/>
    </row>
    <row r="24" spans="1:15" ht="17.100000000000001" customHeight="1" x14ac:dyDescent="0.2">
      <c r="A24" s="237"/>
      <c r="B24" s="238"/>
      <c r="C24" s="239"/>
      <c r="D24" s="850"/>
      <c r="E24" s="850"/>
      <c r="F24" s="850"/>
      <c r="G24" s="850"/>
      <c r="H24" s="850"/>
      <c r="I24" s="835"/>
      <c r="J24" s="851"/>
      <c r="K24" s="236"/>
    </row>
    <row r="25" spans="1:15" ht="17.100000000000001" customHeight="1" x14ac:dyDescent="0.2">
      <c r="A25" s="237"/>
      <c r="B25" s="238"/>
      <c r="C25" s="239"/>
      <c r="D25" s="850"/>
      <c r="E25" s="850"/>
      <c r="F25" s="850"/>
      <c r="G25" s="850"/>
      <c r="H25" s="850"/>
      <c r="I25" s="835"/>
      <c r="J25" s="851"/>
      <c r="K25" s="236"/>
    </row>
    <row r="26" spans="1:15" ht="17.100000000000001" customHeight="1" x14ac:dyDescent="0.2">
      <c r="A26" s="237"/>
      <c r="B26" s="238"/>
      <c r="C26" s="239"/>
      <c r="D26" s="850"/>
      <c r="E26" s="850"/>
      <c r="F26" s="850"/>
      <c r="G26" s="850"/>
      <c r="H26" s="850"/>
      <c r="I26" s="835"/>
      <c r="J26" s="851"/>
      <c r="K26" s="236"/>
    </row>
    <row r="27" spans="1:15" ht="17.100000000000001" customHeight="1" x14ac:dyDescent="0.2">
      <c r="A27" s="237"/>
      <c r="B27" s="238"/>
      <c r="C27" s="239"/>
      <c r="D27" s="850"/>
      <c r="E27" s="850"/>
      <c r="F27" s="850"/>
      <c r="G27" s="850"/>
      <c r="H27" s="850"/>
      <c r="I27" s="835"/>
      <c r="J27" s="851"/>
      <c r="K27" s="236"/>
    </row>
    <row r="28" spans="1:15" ht="17.100000000000001" customHeight="1" x14ac:dyDescent="0.2">
      <c r="A28" s="237"/>
      <c r="B28" s="238"/>
      <c r="C28" s="239"/>
      <c r="D28" s="850"/>
      <c r="E28" s="850"/>
      <c r="F28" s="850"/>
      <c r="G28" s="850"/>
      <c r="H28" s="850"/>
      <c r="I28" s="835"/>
      <c r="J28" s="851"/>
      <c r="K28" s="236"/>
    </row>
    <row r="29" spans="1:15" ht="17.100000000000001" customHeight="1" x14ac:dyDescent="0.2">
      <c r="A29" s="237"/>
      <c r="B29" s="238"/>
      <c r="C29" s="239"/>
      <c r="D29" s="850"/>
      <c r="E29" s="850"/>
      <c r="F29" s="850"/>
      <c r="G29" s="850"/>
      <c r="H29" s="850"/>
      <c r="I29" s="835"/>
      <c r="J29" s="851"/>
      <c r="K29" s="236"/>
    </row>
    <row r="30" spans="1:15" ht="17.100000000000001" customHeight="1" x14ac:dyDescent="0.2">
      <c r="A30" s="237"/>
      <c r="B30" s="238"/>
      <c r="C30" s="239"/>
      <c r="D30" s="850"/>
      <c r="E30" s="850"/>
      <c r="F30" s="850"/>
      <c r="G30" s="850"/>
      <c r="H30" s="850"/>
      <c r="I30" s="835"/>
      <c r="J30" s="851"/>
      <c r="K30" s="236"/>
    </row>
    <row r="31" spans="1:15" ht="17.100000000000001" customHeight="1" x14ac:dyDescent="0.2">
      <c r="A31" s="237"/>
      <c r="B31" s="238"/>
      <c r="C31" s="239"/>
      <c r="D31" s="850"/>
      <c r="E31" s="850"/>
      <c r="F31" s="850"/>
      <c r="G31" s="850"/>
      <c r="H31" s="850"/>
      <c r="I31" s="835"/>
      <c r="J31" s="851"/>
      <c r="K31" s="236"/>
    </row>
    <row r="32" spans="1:15" ht="17.100000000000001" customHeight="1" x14ac:dyDescent="0.2">
      <c r="A32" s="237"/>
      <c r="B32" s="238"/>
      <c r="C32" s="239"/>
      <c r="D32" s="850"/>
      <c r="E32" s="850"/>
      <c r="F32" s="850"/>
      <c r="G32" s="850"/>
      <c r="H32" s="850"/>
      <c r="I32" s="835"/>
      <c r="J32" s="851"/>
      <c r="K32" s="236"/>
    </row>
    <row r="33" spans="1:11" ht="17.100000000000001" customHeight="1" x14ac:dyDescent="0.2">
      <c r="A33" s="237"/>
      <c r="B33" s="238"/>
      <c r="C33" s="239"/>
      <c r="D33" s="850"/>
      <c r="E33" s="850"/>
      <c r="F33" s="850"/>
      <c r="G33" s="850"/>
      <c r="H33" s="850"/>
      <c r="I33" s="835"/>
      <c r="J33" s="851"/>
      <c r="K33" s="236"/>
    </row>
    <row r="34" spans="1:11" ht="17.100000000000001" customHeight="1" x14ac:dyDescent="0.2">
      <c r="A34" s="237"/>
      <c r="B34" s="238"/>
      <c r="C34" s="239"/>
      <c r="D34" s="850"/>
      <c r="E34" s="850"/>
      <c r="F34" s="850"/>
      <c r="G34" s="850"/>
      <c r="H34" s="850"/>
      <c r="I34" s="835"/>
      <c r="J34" s="851"/>
      <c r="K34" s="236"/>
    </row>
    <row r="35" spans="1:11" ht="17.100000000000001" customHeight="1" x14ac:dyDescent="0.2">
      <c r="A35" s="237"/>
      <c r="B35" s="238"/>
      <c r="C35" s="239"/>
      <c r="D35" s="850"/>
      <c r="E35" s="850"/>
      <c r="F35" s="850"/>
      <c r="G35" s="850"/>
      <c r="H35" s="850"/>
      <c r="I35" s="835"/>
      <c r="J35" s="851"/>
      <c r="K35" s="236"/>
    </row>
    <row r="36" spans="1:11" ht="17.100000000000001" customHeight="1" x14ac:dyDescent="0.2">
      <c r="A36" s="237"/>
      <c r="B36" s="238"/>
      <c r="C36" s="239"/>
      <c r="D36" s="850"/>
      <c r="E36" s="850"/>
      <c r="F36" s="850"/>
      <c r="G36" s="850"/>
      <c r="H36" s="850"/>
      <c r="I36" s="835"/>
      <c r="J36" s="851"/>
      <c r="K36" s="236"/>
    </row>
    <row r="37" spans="1:11" ht="17.100000000000001" customHeight="1" x14ac:dyDescent="0.2">
      <c r="A37" s="237"/>
      <c r="B37" s="238"/>
      <c r="C37" s="239"/>
      <c r="D37" s="850"/>
      <c r="E37" s="850"/>
      <c r="F37" s="850"/>
      <c r="G37" s="850"/>
      <c r="H37" s="850"/>
      <c r="I37" s="835"/>
      <c r="J37" s="851"/>
      <c r="K37" s="236"/>
    </row>
    <row r="38" spans="1:11" ht="17.100000000000001" customHeight="1" x14ac:dyDescent="0.2">
      <c r="A38" s="237"/>
      <c r="B38" s="238"/>
      <c r="C38" s="239"/>
      <c r="D38" s="850"/>
      <c r="E38" s="850"/>
      <c r="F38" s="850"/>
      <c r="G38" s="850"/>
      <c r="H38" s="850"/>
      <c r="I38" s="835"/>
      <c r="J38" s="851"/>
      <c r="K38" s="236"/>
    </row>
    <row r="39" spans="1:11" ht="17.100000000000001" customHeight="1" x14ac:dyDescent="0.2">
      <c r="A39" s="237"/>
      <c r="B39" s="238"/>
      <c r="C39" s="239"/>
      <c r="D39" s="850"/>
      <c r="E39" s="850"/>
      <c r="F39" s="850"/>
      <c r="G39" s="850"/>
      <c r="H39" s="850"/>
      <c r="I39" s="835"/>
      <c r="J39" s="851"/>
      <c r="K39" s="236"/>
    </row>
    <row r="40" spans="1:11" ht="17.100000000000001" customHeight="1" x14ac:dyDescent="0.2">
      <c r="A40" s="237"/>
      <c r="B40" s="238"/>
      <c r="C40" s="239"/>
      <c r="D40" s="850"/>
      <c r="E40" s="850"/>
      <c r="F40" s="850"/>
      <c r="G40" s="850"/>
      <c r="H40" s="850"/>
      <c r="I40" s="835"/>
      <c r="J40" s="851"/>
      <c r="K40" s="236"/>
    </row>
    <row r="41" spans="1:11" ht="17.100000000000001" customHeight="1" thickBot="1" x14ac:dyDescent="0.25">
      <c r="A41" s="249"/>
      <c r="B41" s="250"/>
      <c r="C41" s="251"/>
      <c r="D41" s="855"/>
      <c r="E41" s="855"/>
      <c r="F41" s="855"/>
      <c r="G41" s="855"/>
      <c r="H41" s="855"/>
      <c r="I41" s="856"/>
      <c r="J41" s="857"/>
      <c r="K41" s="236"/>
    </row>
    <row r="42" spans="1:11" ht="13.5" thickBot="1" x14ac:dyDescent="0.25">
      <c r="A42" s="14" t="s">
        <v>568</v>
      </c>
      <c r="B42" s="15">
        <f>SUM(B13:B41)</f>
        <v>0</v>
      </c>
      <c r="C42" s="852" t="s">
        <v>569</v>
      </c>
      <c r="D42" s="853"/>
      <c r="E42" s="853"/>
      <c r="F42" s="853"/>
      <c r="G42" s="853"/>
      <c r="H42" s="853"/>
      <c r="I42" s="853"/>
      <c r="J42" s="854"/>
      <c r="K42" s="13"/>
    </row>
  </sheetData>
  <mergeCells count="41">
    <mergeCell ref="N12:Q12"/>
    <mergeCell ref="D13:J13"/>
    <mergeCell ref="A3:B3"/>
    <mergeCell ref="C3:J3"/>
    <mergeCell ref="A4:J4"/>
    <mergeCell ref="A5:J5"/>
    <mergeCell ref="A6:J6"/>
    <mergeCell ref="D31:J31"/>
    <mergeCell ref="D20:J20"/>
    <mergeCell ref="D28:J28"/>
    <mergeCell ref="D29:J29"/>
    <mergeCell ref="D30:J30"/>
    <mergeCell ref="D23:J23"/>
    <mergeCell ref="D24:J24"/>
    <mergeCell ref="D25:J25"/>
    <mergeCell ref="D21:J21"/>
    <mergeCell ref="D22:J22"/>
    <mergeCell ref="D26:J26"/>
    <mergeCell ref="D27:J27"/>
    <mergeCell ref="C42:J42"/>
    <mergeCell ref="D32:J32"/>
    <mergeCell ref="D33:J33"/>
    <mergeCell ref="D34:J34"/>
    <mergeCell ref="D35:J35"/>
    <mergeCell ref="D36:J36"/>
    <mergeCell ref="D37:J37"/>
    <mergeCell ref="D38:J38"/>
    <mergeCell ref="D39:J39"/>
    <mergeCell ref="D40:J40"/>
    <mergeCell ref="D41:J41"/>
    <mergeCell ref="A1:J1"/>
    <mergeCell ref="D19:J19"/>
    <mergeCell ref="A7:J7"/>
    <mergeCell ref="A8:J8"/>
    <mergeCell ref="A10:C10"/>
    <mergeCell ref="D12:J12"/>
    <mergeCell ref="D14:J14"/>
    <mergeCell ref="D15:J15"/>
    <mergeCell ref="D16:J16"/>
    <mergeCell ref="D17:J17"/>
    <mergeCell ref="D18:J18"/>
  </mergeCells>
  <dataValidations count="3">
    <dataValidation type="list" allowBlank="1" showInputMessage="1" showErrorMessage="1" sqref="I10" xr:uid="{00000000-0002-0000-0800-000000000000}">
      <formula1>$O$14:$O$16</formula1>
    </dataValidation>
    <dataValidation type="list" allowBlank="1" showInputMessage="1" showErrorMessage="1" sqref="K10" xr:uid="{00000000-0002-0000-0800-000001000000}">
      <formula1>$O$14:$O$15</formula1>
    </dataValidation>
    <dataValidation type="list" allowBlank="1" showInputMessage="1" showErrorMessage="1" sqref="C13:C41" xr:uid="{00000000-0002-0000-0800-000002000000}">
      <formula1>$N$14:$N$15</formula1>
    </dataValidation>
  </dataValidations>
  <pageMargins left="0.75" right="0.75" top="0.91666666666666663" bottom="1" header="0.5" footer="0.5"/>
  <pageSetup orientation="portrait" r:id="rId1"/>
  <headerFooter alignWithMargins="0">
    <oddHeader>&amp;L&amp;G&amp;C&amp;"Arial,Bold"
Customer Measure Cost Tracking</oddHeader>
    <oddFooter>&amp;LImplementation Cost Tracking - 2026.1</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F7813697-1495-4EB8-8928-125B227F062E}">
          <x14:formula1>
            <xm:f>EEI_SummaryTable!$A$16:$A$43</xm:f>
          </x14:formula1>
          <xm:sqref>A13:A41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BFDDA3"/>
  </sheetPr>
  <dimension ref="A1:L38"/>
  <sheetViews>
    <sheetView showGridLines="0" showRuler="0" view="pageLayout" zoomScaleNormal="100" zoomScaleSheetLayoutView="80" workbookViewId="0">
      <selection activeCell="C6" sqref="C6:D6"/>
    </sheetView>
  </sheetViews>
  <sheetFormatPr defaultColWidth="9.140625" defaultRowHeight="12.75" x14ac:dyDescent="0.2"/>
  <cols>
    <col min="1" max="1" width="9.140625" style="224"/>
    <col min="2" max="2" width="9.85546875" style="224" customWidth="1"/>
    <col min="3" max="3" width="12" style="224" customWidth="1"/>
    <col min="4" max="4" width="5.28515625" style="224" customWidth="1"/>
    <col min="5" max="5" width="7.140625" style="224" customWidth="1"/>
    <col min="6" max="6" width="4.28515625" style="224" customWidth="1"/>
    <col min="7" max="7" width="4.140625" style="224" customWidth="1"/>
    <col min="8" max="9" width="9.140625" style="224"/>
    <col min="10" max="10" width="4.140625" style="224" customWidth="1"/>
    <col min="11" max="11" width="10.85546875" style="224" customWidth="1"/>
    <col min="12" max="12" width="5.42578125" style="224" customWidth="1"/>
    <col min="13" max="16384" width="9.140625" style="224"/>
  </cols>
  <sheetData>
    <row r="1" spans="1:12" ht="15" x14ac:dyDescent="0.25">
      <c r="A1" s="758" t="str">
        <f>"PSE "&amp;VLOOKUP(CxPath,Hidden!$K$3:$M$5,3,FALSE)</f>
        <v>PSE Existing Building Commissioning (EBCx)</v>
      </c>
      <c r="B1" s="758"/>
      <c r="C1" s="758"/>
      <c r="D1" s="758"/>
      <c r="E1" s="758"/>
      <c r="F1" s="758"/>
      <c r="G1" s="758"/>
      <c r="H1" s="758"/>
      <c r="I1" s="758"/>
      <c r="J1" s="758"/>
      <c r="K1" s="758"/>
      <c r="L1" s="758"/>
    </row>
    <row r="2" spans="1:12" ht="5.0999999999999996" customHeight="1" thickBot="1" x14ac:dyDescent="0.3">
      <c r="A2" s="336"/>
      <c r="B2" s="336"/>
      <c r="C2" s="336"/>
      <c r="D2" s="336"/>
      <c r="E2" s="336"/>
    </row>
    <row r="3" spans="1:12" ht="18" customHeight="1" thickBot="1" x14ac:dyDescent="0.25">
      <c r="A3" s="893" t="s">
        <v>449</v>
      </c>
      <c r="B3" s="894"/>
      <c r="C3" s="894"/>
      <c r="D3" s="894"/>
      <c r="E3" s="894"/>
      <c r="F3" s="894"/>
      <c r="G3" s="894"/>
      <c r="H3" s="894"/>
      <c r="I3" s="894"/>
      <c r="J3" s="894"/>
      <c r="K3" s="894"/>
      <c r="L3" s="895"/>
    </row>
    <row r="4" spans="1:12" ht="5.0999999999999996" customHeight="1" thickBot="1" x14ac:dyDescent="0.25"/>
    <row r="5" spans="1:12" x14ac:dyDescent="0.2">
      <c r="A5" s="9" t="s">
        <v>450</v>
      </c>
      <c r="B5" s="884" t="str">
        <f>""&amp;'Pre-screen+Assessment'!F4</f>
        <v/>
      </c>
      <c r="C5" s="885"/>
      <c r="D5" s="885"/>
      <c r="E5" s="885"/>
      <c r="F5" s="885"/>
      <c r="G5" s="886"/>
      <c r="H5" s="8" t="s">
        <v>300</v>
      </c>
      <c r="I5" s="889" t="str">
        <f>IF('Pre-screen+Assessment'!F5=0,"",'Pre-screen+Assessment'!F5)</f>
        <v/>
      </c>
      <c r="J5" s="890"/>
      <c r="K5" s="890"/>
      <c r="L5" s="891"/>
    </row>
    <row r="6" spans="1:12" x14ac:dyDescent="0.2">
      <c r="A6" s="7" t="s">
        <v>451</v>
      </c>
      <c r="B6" s="255"/>
      <c r="C6" s="887"/>
      <c r="D6" s="887"/>
      <c r="E6" s="256"/>
      <c r="F6" s="256"/>
      <c r="G6" s="256"/>
      <c r="H6" s="6" t="s">
        <v>452</v>
      </c>
      <c r="I6" s="827"/>
      <c r="J6" s="828"/>
      <c r="K6" s="828"/>
      <c r="L6" s="892"/>
    </row>
    <row r="7" spans="1:12" x14ac:dyDescent="0.2">
      <c r="A7" s="342"/>
      <c r="B7" s="343"/>
      <c r="C7" s="346" t="s">
        <v>453</v>
      </c>
      <c r="D7" s="887"/>
      <c r="E7" s="887"/>
      <c r="G7" s="5"/>
      <c r="H7" s="345"/>
      <c r="I7" s="226"/>
      <c r="J7" s="348" t="s">
        <v>454</v>
      </c>
      <c r="K7" s="887"/>
      <c r="L7" s="888"/>
    </row>
    <row r="8" spans="1:12" ht="13.5" thickBot="1" x14ac:dyDescent="0.25">
      <c r="A8" s="344"/>
      <c r="B8" s="321"/>
      <c r="C8" s="347" t="s">
        <v>455</v>
      </c>
      <c r="D8" s="896"/>
      <c r="E8" s="897"/>
      <c r="F8" s="257"/>
      <c r="G8" s="257"/>
      <c r="H8" s="257"/>
      <c r="I8" s="257"/>
      <c r="J8" s="258"/>
      <c r="K8" s="258"/>
      <c r="L8" s="259"/>
    </row>
    <row r="9" spans="1:12" ht="6.75" customHeight="1" thickBot="1" x14ac:dyDescent="0.25"/>
    <row r="10" spans="1:12" x14ac:dyDescent="0.2">
      <c r="A10" s="260">
        <v>1</v>
      </c>
      <c r="B10" s="878" t="s">
        <v>456</v>
      </c>
      <c r="C10" s="879"/>
      <c r="D10" s="859"/>
      <c r="E10" s="880"/>
      <c r="F10" s="261"/>
      <c r="G10" s="261"/>
      <c r="H10" s="261"/>
      <c r="I10" s="261"/>
      <c r="J10" s="261"/>
      <c r="K10" s="261"/>
      <c r="L10" s="262"/>
    </row>
    <row r="11" spans="1:12" ht="26.25" customHeight="1" x14ac:dyDescent="0.2">
      <c r="A11" s="881" t="s">
        <v>457</v>
      </c>
      <c r="B11" s="882"/>
      <c r="C11" s="882"/>
      <c r="D11" s="882"/>
      <c r="E11" s="882"/>
      <c r="F11" s="882"/>
      <c r="G11" s="882"/>
      <c r="H11" s="882"/>
      <c r="I11" s="882"/>
      <c r="J11" s="882"/>
      <c r="K11" s="882"/>
      <c r="L11" s="883"/>
    </row>
    <row r="12" spans="1:12" ht="62.1" customHeight="1" x14ac:dyDescent="0.2">
      <c r="A12" s="872"/>
      <c r="B12" s="873"/>
      <c r="C12" s="873"/>
      <c r="D12" s="873"/>
      <c r="E12" s="873"/>
      <c r="F12" s="873"/>
      <c r="G12" s="873"/>
      <c r="H12" s="873"/>
      <c r="I12" s="873"/>
      <c r="J12" s="873"/>
      <c r="K12" s="873"/>
      <c r="L12" s="874"/>
    </row>
    <row r="13" spans="1:12" ht="13.5" customHeight="1" x14ac:dyDescent="0.2">
      <c r="A13" s="875" t="s">
        <v>458</v>
      </c>
      <c r="B13" s="876"/>
      <c r="C13" s="876"/>
      <c r="D13" s="876"/>
      <c r="E13" s="876"/>
      <c r="F13" s="876"/>
      <c r="G13" s="876"/>
      <c r="H13" s="876"/>
      <c r="I13" s="876"/>
      <c r="J13" s="876"/>
      <c r="K13" s="876"/>
      <c r="L13" s="877"/>
    </row>
    <row r="14" spans="1:12" ht="62.1" customHeight="1" x14ac:dyDescent="0.2">
      <c r="A14" s="872"/>
      <c r="B14" s="873"/>
      <c r="C14" s="873"/>
      <c r="D14" s="873"/>
      <c r="E14" s="873"/>
      <c r="F14" s="873"/>
      <c r="G14" s="873"/>
      <c r="H14" s="873"/>
      <c r="I14" s="873"/>
      <c r="J14" s="873"/>
      <c r="K14" s="873"/>
      <c r="L14" s="874"/>
    </row>
    <row r="15" spans="1:12" ht="8.25" customHeight="1" thickBot="1" x14ac:dyDescent="0.25"/>
    <row r="16" spans="1:12" x14ac:dyDescent="0.2">
      <c r="A16" s="260">
        <v>2</v>
      </c>
      <c r="B16" s="878" t="s">
        <v>456</v>
      </c>
      <c r="C16" s="879"/>
      <c r="D16" s="859"/>
      <c r="E16" s="880"/>
      <c r="F16" s="261"/>
      <c r="G16" s="261"/>
      <c r="H16" s="261"/>
      <c r="I16" s="261"/>
      <c r="J16" s="261"/>
      <c r="K16" s="261"/>
      <c r="L16" s="262"/>
    </row>
    <row r="17" spans="1:12" ht="26.25" customHeight="1" x14ac:dyDescent="0.2">
      <c r="A17" s="881" t="s">
        <v>457</v>
      </c>
      <c r="B17" s="882"/>
      <c r="C17" s="882"/>
      <c r="D17" s="882"/>
      <c r="E17" s="882"/>
      <c r="F17" s="882"/>
      <c r="G17" s="882"/>
      <c r="H17" s="882"/>
      <c r="I17" s="882"/>
      <c r="J17" s="882"/>
      <c r="K17" s="882"/>
      <c r="L17" s="883"/>
    </row>
    <row r="18" spans="1:12" ht="62.1" customHeight="1" x14ac:dyDescent="0.2">
      <c r="A18" s="872"/>
      <c r="B18" s="873"/>
      <c r="C18" s="873"/>
      <c r="D18" s="873"/>
      <c r="E18" s="873"/>
      <c r="F18" s="873"/>
      <c r="G18" s="873"/>
      <c r="H18" s="873"/>
      <c r="I18" s="873"/>
      <c r="J18" s="873"/>
      <c r="K18" s="873"/>
      <c r="L18" s="874"/>
    </row>
    <row r="19" spans="1:12" ht="13.5" customHeight="1" x14ac:dyDescent="0.2">
      <c r="A19" s="875" t="s">
        <v>458</v>
      </c>
      <c r="B19" s="876"/>
      <c r="C19" s="876"/>
      <c r="D19" s="876"/>
      <c r="E19" s="876"/>
      <c r="F19" s="876"/>
      <c r="G19" s="876"/>
      <c r="H19" s="876"/>
      <c r="I19" s="876"/>
      <c r="J19" s="876"/>
      <c r="K19" s="876"/>
      <c r="L19" s="877"/>
    </row>
    <row r="20" spans="1:12" ht="62.1" customHeight="1" x14ac:dyDescent="0.2">
      <c r="A20" s="872"/>
      <c r="B20" s="873"/>
      <c r="C20" s="873"/>
      <c r="D20" s="873"/>
      <c r="E20" s="873"/>
      <c r="F20" s="873"/>
      <c r="G20" s="873"/>
      <c r="H20" s="873"/>
      <c r="I20" s="873"/>
      <c r="J20" s="873"/>
      <c r="K20" s="873"/>
      <c r="L20" s="874"/>
    </row>
    <row r="21" spans="1:12" ht="13.5" thickBot="1" x14ac:dyDescent="0.25"/>
    <row r="22" spans="1:12" x14ac:dyDescent="0.2">
      <c r="A22" s="260">
        <v>3</v>
      </c>
      <c r="B22" s="878" t="s">
        <v>456</v>
      </c>
      <c r="C22" s="879"/>
      <c r="D22" s="859"/>
      <c r="E22" s="880"/>
      <c r="F22" s="261"/>
      <c r="G22" s="261"/>
      <c r="H22" s="261"/>
      <c r="I22" s="261"/>
      <c r="J22" s="261"/>
      <c r="K22" s="261"/>
      <c r="L22" s="262"/>
    </row>
    <row r="23" spans="1:12" ht="26.25" customHeight="1" x14ac:dyDescent="0.2">
      <c r="A23" s="881" t="s">
        <v>457</v>
      </c>
      <c r="B23" s="882"/>
      <c r="C23" s="882"/>
      <c r="D23" s="882"/>
      <c r="E23" s="882"/>
      <c r="F23" s="882"/>
      <c r="G23" s="882"/>
      <c r="H23" s="882"/>
      <c r="I23" s="882"/>
      <c r="J23" s="882"/>
      <c r="K23" s="882"/>
      <c r="L23" s="883"/>
    </row>
    <row r="24" spans="1:12" ht="62.1" customHeight="1" x14ac:dyDescent="0.2">
      <c r="A24" s="872"/>
      <c r="B24" s="873"/>
      <c r="C24" s="873"/>
      <c r="D24" s="873"/>
      <c r="E24" s="873"/>
      <c r="F24" s="873"/>
      <c r="G24" s="873"/>
      <c r="H24" s="873"/>
      <c r="I24" s="873"/>
      <c r="J24" s="873"/>
      <c r="K24" s="873"/>
      <c r="L24" s="874"/>
    </row>
    <row r="25" spans="1:12" ht="13.5" customHeight="1" x14ac:dyDescent="0.2">
      <c r="A25" s="875" t="s">
        <v>458</v>
      </c>
      <c r="B25" s="876"/>
      <c r="C25" s="876"/>
      <c r="D25" s="876"/>
      <c r="E25" s="876"/>
      <c r="F25" s="876"/>
      <c r="G25" s="876"/>
      <c r="H25" s="876"/>
      <c r="I25" s="876"/>
      <c r="J25" s="876"/>
      <c r="K25" s="876"/>
      <c r="L25" s="877"/>
    </row>
    <row r="26" spans="1:12" ht="62.1" customHeight="1" x14ac:dyDescent="0.2">
      <c r="A26" s="872"/>
      <c r="B26" s="873"/>
      <c r="C26" s="873"/>
      <c r="D26" s="873"/>
      <c r="E26" s="873"/>
      <c r="F26" s="873"/>
      <c r="G26" s="873"/>
      <c r="H26" s="873"/>
      <c r="I26" s="873"/>
      <c r="J26" s="873"/>
      <c r="K26" s="873"/>
      <c r="L26" s="874"/>
    </row>
    <row r="27" spans="1:12" ht="13.5" thickBot="1" x14ac:dyDescent="0.25"/>
    <row r="28" spans="1:12" x14ac:dyDescent="0.2">
      <c r="A28" s="260">
        <v>4</v>
      </c>
      <c r="B28" s="878" t="s">
        <v>456</v>
      </c>
      <c r="C28" s="879"/>
      <c r="D28" s="859"/>
      <c r="E28" s="880"/>
      <c r="F28" s="261"/>
      <c r="G28" s="261"/>
      <c r="H28" s="261"/>
      <c r="I28" s="261"/>
      <c r="J28" s="261"/>
      <c r="K28" s="261"/>
      <c r="L28" s="262"/>
    </row>
    <row r="29" spans="1:12" ht="26.25" customHeight="1" x14ac:dyDescent="0.2">
      <c r="A29" s="881" t="s">
        <v>457</v>
      </c>
      <c r="B29" s="882"/>
      <c r="C29" s="882"/>
      <c r="D29" s="882"/>
      <c r="E29" s="882"/>
      <c r="F29" s="882"/>
      <c r="G29" s="882"/>
      <c r="H29" s="882"/>
      <c r="I29" s="882"/>
      <c r="J29" s="882"/>
      <c r="K29" s="882"/>
      <c r="L29" s="883"/>
    </row>
    <row r="30" spans="1:12" ht="62.1" customHeight="1" x14ac:dyDescent="0.2">
      <c r="A30" s="872"/>
      <c r="B30" s="873"/>
      <c r="C30" s="873"/>
      <c r="D30" s="873"/>
      <c r="E30" s="873"/>
      <c r="F30" s="873"/>
      <c r="G30" s="873"/>
      <c r="H30" s="873"/>
      <c r="I30" s="873"/>
      <c r="J30" s="873"/>
      <c r="K30" s="873"/>
      <c r="L30" s="874"/>
    </row>
    <row r="31" spans="1:12" ht="13.5" customHeight="1" x14ac:dyDescent="0.2">
      <c r="A31" s="875" t="s">
        <v>458</v>
      </c>
      <c r="B31" s="876"/>
      <c r="C31" s="876"/>
      <c r="D31" s="876"/>
      <c r="E31" s="876"/>
      <c r="F31" s="876"/>
      <c r="G31" s="876"/>
      <c r="H31" s="876"/>
      <c r="I31" s="876"/>
      <c r="J31" s="876"/>
      <c r="K31" s="876"/>
      <c r="L31" s="877"/>
    </row>
    <row r="32" spans="1:12" ht="62.1" customHeight="1" x14ac:dyDescent="0.2">
      <c r="A32" s="872"/>
      <c r="B32" s="873"/>
      <c r="C32" s="873"/>
      <c r="D32" s="873"/>
      <c r="E32" s="873"/>
      <c r="F32" s="873"/>
      <c r="G32" s="873"/>
      <c r="H32" s="873"/>
      <c r="I32" s="873"/>
      <c r="J32" s="873"/>
      <c r="K32" s="873"/>
      <c r="L32" s="874"/>
    </row>
    <row r="33" spans="1:12" ht="13.5" thickBot="1" x14ac:dyDescent="0.25"/>
    <row r="34" spans="1:12" x14ac:dyDescent="0.2">
      <c r="A34" s="260">
        <v>5</v>
      </c>
      <c r="B34" s="878" t="s">
        <v>456</v>
      </c>
      <c r="C34" s="879"/>
      <c r="D34" s="859"/>
      <c r="E34" s="880"/>
      <c r="F34" s="261"/>
      <c r="G34" s="261"/>
      <c r="H34" s="261"/>
      <c r="I34" s="261"/>
      <c r="J34" s="261"/>
      <c r="K34" s="261"/>
      <c r="L34" s="262"/>
    </row>
    <row r="35" spans="1:12" x14ac:dyDescent="0.2">
      <c r="A35" s="881" t="s">
        <v>457</v>
      </c>
      <c r="B35" s="882"/>
      <c r="C35" s="882"/>
      <c r="D35" s="882"/>
      <c r="E35" s="882"/>
      <c r="F35" s="882"/>
      <c r="G35" s="882"/>
      <c r="H35" s="882"/>
      <c r="I35" s="882"/>
      <c r="J35" s="882"/>
      <c r="K35" s="882"/>
      <c r="L35" s="883"/>
    </row>
    <row r="36" spans="1:12" ht="62.1" customHeight="1" x14ac:dyDescent="0.2">
      <c r="A36" s="872"/>
      <c r="B36" s="873"/>
      <c r="C36" s="873"/>
      <c r="D36" s="873"/>
      <c r="E36" s="873"/>
      <c r="F36" s="873"/>
      <c r="G36" s="873"/>
      <c r="H36" s="873"/>
      <c r="I36" s="873"/>
      <c r="J36" s="873"/>
      <c r="K36" s="873"/>
      <c r="L36" s="874"/>
    </row>
    <row r="37" spans="1:12" x14ac:dyDescent="0.2">
      <c r="A37" s="875" t="s">
        <v>458</v>
      </c>
      <c r="B37" s="876"/>
      <c r="C37" s="876"/>
      <c r="D37" s="876"/>
      <c r="E37" s="876"/>
      <c r="F37" s="876"/>
      <c r="G37" s="876"/>
      <c r="H37" s="876"/>
      <c r="I37" s="876"/>
      <c r="J37" s="876"/>
      <c r="K37" s="876"/>
      <c r="L37" s="877"/>
    </row>
    <row r="38" spans="1:12" ht="62.1" customHeight="1" x14ac:dyDescent="0.2">
      <c r="A38" s="872"/>
      <c r="B38" s="873"/>
      <c r="C38" s="873"/>
      <c r="D38" s="873"/>
      <c r="E38" s="873"/>
      <c r="F38" s="873"/>
      <c r="G38" s="873"/>
      <c r="H38" s="873"/>
      <c r="I38" s="873"/>
      <c r="J38" s="873"/>
      <c r="K38" s="873"/>
      <c r="L38" s="874"/>
    </row>
  </sheetData>
  <mergeCells count="39">
    <mergeCell ref="A14:L14"/>
    <mergeCell ref="I5:L5"/>
    <mergeCell ref="I6:L6"/>
    <mergeCell ref="A3:L3"/>
    <mergeCell ref="B10:C10"/>
    <mergeCell ref="A11:L11"/>
    <mergeCell ref="A13:L13"/>
    <mergeCell ref="D8:E8"/>
    <mergeCell ref="D10:E10"/>
    <mergeCell ref="A12:L12"/>
    <mergeCell ref="A26:L26"/>
    <mergeCell ref="B28:C28"/>
    <mergeCell ref="D28:E28"/>
    <mergeCell ref="A29:L29"/>
    <mergeCell ref="D16:E16"/>
    <mergeCell ref="B16:C16"/>
    <mergeCell ref="A17:L17"/>
    <mergeCell ref="A19:L19"/>
    <mergeCell ref="B22:C22"/>
    <mergeCell ref="D22:E22"/>
    <mergeCell ref="A23:L23"/>
    <mergeCell ref="A20:L20"/>
    <mergeCell ref="A18:L18"/>
    <mergeCell ref="A36:L36"/>
    <mergeCell ref="A37:L37"/>
    <mergeCell ref="A38:L38"/>
    <mergeCell ref="A1:L1"/>
    <mergeCell ref="B34:C34"/>
    <mergeCell ref="D34:E34"/>
    <mergeCell ref="A35:L35"/>
    <mergeCell ref="A30:L30"/>
    <mergeCell ref="A31:L31"/>
    <mergeCell ref="A32:L32"/>
    <mergeCell ref="B5:G5"/>
    <mergeCell ref="D7:E7"/>
    <mergeCell ref="C6:D6"/>
    <mergeCell ref="K7:L7"/>
    <mergeCell ref="A24:L24"/>
    <mergeCell ref="A25:L25"/>
  </mergeCells>
  <pageMargins left="0.75" right="0.77031249999999996" top="1.0559375" bottom="0.82" header="0.5" footer="0.5"/>
  <pageSetup fitToHeight="2" orientation="portrait" r:id="rId1"/>
  <headerFooter alignWithMargins="0">
    <oddHeader>&amp;L&amp;G&amp;C&amp;"Arial,Bold"
Facility Change Tracking Form</oddHeader>
    <oddFooter>&amp;L&amp;8Facility Performance Changes Tracking - 2026.1&amp;R&amp;8
Page &amp;P of &amp;N</oddFooter>
  </headerFooter>
  <rowBreaks count="1" manualBreakCount="1">
    <brk id="26"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rgb="FFBFDDA3"/>
  </sheetPr>
  <dimension ref="A1:J31"/>
  <sheetViews>
    <sheetView showGridLines="0" showRuler="0" view="pageLayout" zoomScaleNormal="100" zoomScaleSheetLayoutView="80" workbookViewId="0">
      <selection activeCell="A5" sqref="A5:D5"/>
    </sheetView>
  </sheetViews>
  <sheetFormatPr defaultColWidth="9.140625" defaultRowHeight="21.75" customHeight="1" x14ac:dyDescent="0.2"/>
  <cols>
    <col min="1" max="1" width="8.42578125" style="16" customWidth="1"/>
    <col min="2" max="2" width="6.28515625" style="16" customWidth="1"/>
    <col min="3" max="3" width="22.28515625" style="16" customWidth="1"/>
    <col min="4" max="4" width="14.42578125" style="16" customWidth="1"/>
    <col min="5" max="5" width="27.85546875" style="16" customWidth="1"/>
    <col min="6" max="6" width="11.85546875" style="16" customWidth="1"/>
    <col min="7" max="16384" width="9.140625" style="16"/>
  </cols>
  <sheetData>
    <row r="1" spans="1:10" ht="21.75" customHeight="1" x14ac:dyDescent="0.25">
      <c r="A1" s="758" t="str">
        <f>"PSE "&amp;VLOOKUP(CxPath,Hidden!$K$3:$M$5,3,FALSE)</f>
        <v>PSE Existing Building Commissioning (EBCx)</v>
      </c>
      <c r="B1" s="758"/>
      <c r="C1" s="758"/>
      <c r="D1" s="758"/>
      <c r="E1" s="758"/>
      <c r="F1" s="758"/>
      <c r="G1" s="336"/>
      <c r="H1" s="336"/>
      <c r="I1" s="336"/>
      <c r="J1" s="336"/>
    </row>
    <row r="2" spans="1:10" ht="5.0999999999999996" customHeight="1" x14ac:dyDescent="0.2"/>
    <row r="3" spans="1:10" ht="21.75" customHeight="1" x14ac:dyDescent="0.2">
      <c r="A3" s="18" t="s">
        <v>570</v>
      </c>
      <c r="B3" s="18"/>
      <c r="C3" s="18"/>
      <c r="D3" s="899" t="str">
        <f>""&amp;'Pre-screen+Assessment'!F4</f>
        <v/>
      </c>
      <c r="E3" s="899"/>
      <c r="F3" s="899"/>
    </row>
    <row r="4" spans="1:10" ht="21.75" customHeight="1" x14ac:dyDescent="0.2">
      <c r="A4" s="85" t="s">
        <v>670</v>
      </c>
      <c r="B4" s="85"/>
      <c r="C4" s="85"/>
      <c r="D4" s="18"/>
    </row>
    <row r="5" spans="1:10" ht="21.75" customHeight="1" x14ac:dyDescent="0.2">
      <c r="A5" s="900"/>
      <c r="B5" s="900"/>
      <c r="C5" s="900"/>
      <c r="D5" s="900"/>
    </row>
    <row r="6" spans="1:10" ht="21.75" customHeight="1" x14ac:dyDescent="0.2">
      <c r="A6" s="900"/>
      <c r="B6" s="900"/>
      <c r="C6" s="900"/>
      <c r="D6" s="900"/>
    </row>
    <row r="7" spans="1:10" ht="21.75" customHeight="1" x14ac:dyDescent="0.2">
      <c r="A7" s="900"/>
      <c r="B7" s="900"/>
      <c r="C7" s="900"/>
      <c r="D7" s="900"/>
    </row>
    <row r="8" spans="1:10" ht="27" customHeight="1" x14ac:dyDescent="0.2">
      <c r="A8" s="898" t="s">
        <v>671</v>
      </c>
      <c r="B8" s="898"/>
      <c r="C8" s="898"/>
      <c r="D8" s="898"/>
      <c r="E8" s="898"/>
      <c r="F8" s="898"/>
    </row>
    <row r="9" spans="1:10" ht="25.5" x14ac:dyDescent="0.2">
      <c r="A9" s="78" t="s">
        <v>1</v>
      </c>
      <c r="B9" s="78" t="s">
        <v>571</v>
      </c>
      <c r="C9" s="78" t="s">
        <v>572</v>
      </c>
      <c r="D9" s="78" t="s">
        <v>573</v>
      </c>
      <c r="E9" s="78" t="s">
        <v>574</v>
      </c>
      <c r="F9" s="79" t="s">
        <v>575</v>
      </c>
    </row>
    <row r="10" spans="1:10" ht="21.75" customHeight="1" x14ac:dyDescent="0.2">
      <c r="A10" s="252"/>
      <c r="B10" s="252"/>
      <c r="C10" s="252"/>
      <c r="D10" s="252"/>
      <c r="E10" s="252"/>
      <c r="F10" s="252"/>
    </row>
    <row r="11" spans="1:10" ht="21.75" customHeight="1" x14ac:dyDescent="0.2">
      <c r="A11" s="253"/>
      <c r="B11" s="253"/>
      <c r="C11" s="253"/>
      <c r="D11" s="253"/>
      <c r="E11" s="253"/>
      <c r="F11" s="253"/>
    </row>
    <row r="12" spans="1:10" ht="21.75" customHeight="1" x14ac:dyDescent="0.2">
      <c r="A12" s="253"/>
      <c r="B12" s="253"/>
      <c r="C12" s="253"/>
      <c r="D12" s="253"/>
      <c r="E12" s="253"/>
      <c r="F12" s="253"/>
    </row>
    <row r="13" spans="1:10" ht="21.75" customHeight="1" x14ac:dyDescent="0.2">
      <c r="A13" s="253"/>
      <c r="B13" s="253"/>
      <c r="C13" s="253"/>
      <c r="D13" s="253"/>
      <c r="E13" s="253"/>
      <c r="F13" s="253"/>
    </row>
    <row r="14" spans="1:10" ht="21.75" customHeight="1" x14ac:dyDescent="0.2">
      <c r="A14" s="253"/>
      <c r="B14" s="253"/>
      <c r="C14" s="253"/>
      <c r="D14" s="253"/>
      <c r="E14" s="253"/>
      <c r="F14" s="253"/>
    </row>
    <row r="15" spans="1:10" ht="21.75" customHeight="1" x14ac:dyDescent="0.2">
      <c r="A15" s="253"/>
      <c r="B15" s="253"/>
      <c r="C15" s="253"/>
      <c r="D15" s="253"/>
      <c r="E15" s="253"/>
      <c r="F15" s="253"/>
    </row>
    <row r="16" spans="1:10" ht="21.75" customHeight="1" x14ac:dyDescent="0.2">
      <c r="A16" s="253"/>
      <c r="B16" s="253"/>
      <c r="C16" s="253"/>
      <c r="D16" s="253"/>
      <c r="E16" s="253"/>
      <c r="F16" s="253"/>
    </row>
    <row r="17" spans="1:6" ht="21.75" customHeight="1" x14ac:dyDescent="0.2">
      <c r="A17" s="253"/>
      <c r="B17" s="253"/>
      <c r="C17" s="253"/>
      <c r="D17" s="253"/>
      <c r="E17" s="253"/>
      <c r="F17" s="253"/>
    </row>
    <row r="18" spans="1:6" ht="21.75" customHeight="1" x14ac:dyDescent="0.2">
      <c r="A18" s="253"/>
      <c r="B18" s="253"/>
      <c r="C18" s="253"/>
      <c r="D18" s="253"/>
      <c r="E18" s="253"/>
      <c r="F18" s="253"/>
    </row>
    <row r="19" spans="1:6" ht="21.75" customHeight="1" x14ac:dyDescent="0.2">
      <c r="A19" s="254"/>
      <c r="B19" s="254"/>
      <c r="C19" s="254"/>
      <c r="D19" s="254"/>
      <c r="E19" s="254"/>
      <c r="F19" s="254"/>
    </row>
    <row r="20" spans="1:6" ht="26.25" customHeight="1" x14ac:dyDescent="0.2">
      <c r="A20" s="898" t="s">
        <v>576</v>
      </c>
      <c r="B20" s="898"/>
      <c r="C20" s="898"/>
      <c r="D20" s="898"/>
      <c r="E20" s="898"/>
      <c r="F20" s="898"/>
    </row>
    <row r="21" spans="1:6" ht="25.5" x14ac:dyDescent="0.2">
      <c r="A21" s="78" t="s">
        <v>1</v>
      </c>
      <c r="B21" s="78" t="s">
        <v>571</v>
      </c>
      <c r="C21" s="78" t="s">
        <v>572</v>
      </c>
      <c r="D21" s="78" t="s">
        <v>573</v>
      </c>
      <c r="E21" s="78" t="s">
        <v>574</v>
      </c>
      <c r="F21" s="79" t="s">
        <v>575</v>
      </c>
    </row>
    <row r="22" spans="1:6" ht="21.75" customHeight="1" x14ac:dyDescent="0.2">
      <c r="A22" s="253"/>
      <c r="B22" s="253"/>
      <c r="C22" s="253"/>
      <c r="D22" s="253"/>
      <c r="E22" s="253"/>
      <c r="F22" s="253"/>
    </row>
    <row r="23" spans="1:6" ht="21.75" customHeight="1" x14ac:dyDescent="0.2">
      <c r="A23" s="253"/>
      <c r="B23" s="253"/>
      <c r="C23" s="253"/>
      <c r="D23" s="253"/>
      <c r="E23" s="253"/>
      <c r="F23" s="253"/>
    </row>
    <row r="24" spans="1:6" ht="21.75" customHeight="1" x14ac:dyDescent="0.2">
      <c r="A24" s="253"/>
      <c r="B24" s="253"/>
      <c r="C24" s="253"/>
      <c r="D24" s="253"/>
      <c r="E24" s="253"/>
      <c r="F24" s="253"/>
    </row>
    <row r="25" spans="1:6" ht="21.75" customHeight="1" x14ac:dyDescent="0.2">
      <c r="A25" s="253"/>
      <c r="B25" s="253"/>
      <c r="C25" s="253"/>
      <c r="D25" s="253"/>
      <c r="E25" s="253"/>
      <c r="F25" s="253"/>
    </row>
    <row r="26" spans="1:6" ht="21.75" customHeight="1" x14ac:dyDescent="0.2">
      <c r="A26" s="253"/>
      <c r="B26" s="253"/>
      <c r="C26" s="253"/>
      <c r="D26" s="253"/>
      <c r="E26" s="253"/>
      <c r="F26" s="253"/>
    </row>
    <row r="27" spans="1:6" ht="21.75" customHeight="1" x14ac:dyDescent="0.2">
      <c r="A27" s="253"/>
      <c r="B27" s="253"/>
      <c r="C27" s="253"/>
      <c r="D27" s="253"/>
      <c r="E27" s="253"/>
      <c r="F27" s="253"/>
    </row>
    <row r="28" spans="1:6" ht="21.75" customHeight="1" x14ac:dyDescent="0.2">
      <c r="A28" s="253"/>
      <c r="B28" s="253"/>
      <c r="C28" s="253"/>
      <c r="D28" s="253"/>
      <c r="E28" s="253"/>
      <c r="F28" s="253"/>
    </row>
    <row r="29" spans="1:6" ht="21.75" customHeight="1" x14ac:dyDescent="0.2">
      <c r="A29" s="253"/>
      <c r="B29" s="253"/>
      <c r="C29" s="253"/>
      <c r="D29" s="253"/>
      <c r="E29" s="253"/>
      <c r="F29" s="253"/>
    </row>
    <row r="30" spans="1:6" ht="21.75" customHeight="1" x14ac:dyDescent="0.2">
      <c r="A30" s="253"/>
      <c r="B30" s="253"/>
      <c r="C30" s="253"/>
      <c r="D30" s="253"/>
      <c r="E30" s="253"/>
      <c r="F30" s="253"/>
    </row>
    <row r="31" spans="1:6" ht="21.75" customHeight="1" x14ac:dyDescent="0.2">
      <c r="A31" s="253"/>
      <c r="B31" s="253"/>
      <c r="C31" s="253"/>
      <c r="D31" s="253"/>
      <c r="E31" s="253"/>
      <c r="F31" s="253"/>
    </row>
  </sheetData>
  <mergeCells count="7">
    <mergeCell ref="A8:F8"/>
    <mergeCell ref="A20:F20"/>
    <mergeCell ref="A1:F1"/>
    <mergeCell ref="D3:F3"/>
    <mergeCell ref="A7:D7"/>
    <mergeCell ref="A6:D6"/>
    <mergeCell ref="A5:D5"/>
  </mergeCells>
  <pageMargins left="0.7" right="0.7" top="0.75" bottom="0.75" header="0.3" footer="0.3"/>
  <pageSetup orientation="portrait" horizontalDpi="1200" verticalDpi="1200" r:id="rId1"/>
  <headerFooter>
    <oddHeader xml:space="preserve">&amp;L&amp;G&amp;R
Operation and Maintenance Staff Training  </oddHeader>
    <oddFooter>&amp;LStaff Training Tracking - 2026.1&amp;RPage &amp;P of &amp;N</oddFooter>
  </headerFooter>
  <legacyDrawingHF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B9EEEED-D819-4B86-B332-7042EE83DB1C}">
          <x14:formula1>
            <xm:f>Hidden!$I$10:$I$11</xm:f>
          </x14:formula1>
          <xm:sqref>F10:F19 F22:F31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0000"/>
  </sheetPr>
  <dimension ref="A1:AL128"/>
  <sheetViews>
    <sheetView zoomScale="80" zoomScaleNormal="80" workbookViewId="0">
      <selection activeCell="AD26" sqref="AD26"/>
    </sheetView>
  </sheetViews>
  <sheetFormatPr defaultColWidth="9.140625" defaultRowHeight="14.25" x14ac:dyDescent="0.2"/>
  <cols>
    <col min="1" max="1" width="22.7109375" style="108" customWidth="1"/>
    <col min="2" max="2" width="18" style="108" bestFit="1" customWidth="1"/>
    <col min="3" max="3" width="14.85546875" style="108" customWidth="1"/>
    <col min="4" max="4" width="15.28515625" style="108" customWidth="1"/>
    <col min="5" max="5" width="12.42578125" style="108" bestFit="1" customWidth="1"/>
    <col min="6" max="6" width="9.140625" style="108"/>
    <col min="7" max="7" width="20.85546875" style="108" bestFit="1" customWidth="1"/>
    <col min="8" max="22" width="9.140625" style="108"/>
    <col min="23" max="23" width="13.140625" style="108" bestFit="1" customWidth="1"/>
    <col min="24" max="24" width="6.85546875" style="108" customWidth="1"/>
    <col min="25" max="25" width="18" style="108" bestFit="1" customWidth="1"/>
    <col min="26" max="26" width="6.85546875" style="108" customWidth="1"/>
    <col min="27" max="27" width="30" style="108" bestFit="1" customWidth="1"/>
    <col min="28" max="28" width="53.5703125" style="108" bestFit="1" customWidth="1"/>
    <col min="29" max="29" width="6.5703125" style="108" bestFit="1" customWidth="1"/>
    <col min="30" max="31" width="10.28515625" style="108" bestFit="1" customWidth="1"/>
    <col min="32" max="32" width="19.28515625" style="108" bestFit="1" customWidth="1"/>
    <col min="33" max="33" width="9.140625" style="108"/>
    <col min="34" max="34" width="71.28515625" style="108" bestFit="1" customWidth="1"/>
    <col min="35" max="35" width="2.42578125" style="108" bestFit="1" customWidth="1"/>
    <col min="36" max="37" width="3.7109375" style="108" bestFit="1" customWidth="1"/>
    <col min="38" max="38" width="10.85546875" style="108" bestFit="1" customWidth="1"/>
    <col min="39" max="16384" width="9.140625" style="108"/>
  </cols>
  <sheetData>
    <row r="1" spans="1:38" ht="16.5" thickBot="1" x14ac:dyDescent="0.25">
      <c r="A1" s="590" t="s">
        <v>29</v>
      </c>
      <c r="B1" s="591"/>
      <c r="C1" s="591"/>
      <c r="D1" s="592"/>
      <c r="E1" s="16"/>
      <c r="F1" s="16"/>
      <c r="G1" s="16"/>
      <c r="O1" s="593" t="s">
        <v>30</v>
      </c>
      <c r="P1" s="593"/>
      <c r="Q1" s="593"/>
      <c r="R1" s="593"/>
      <c r="S1" s="593"/>
      <c r="T1" s="593"/>
      <c r="U1" s="593"/>
      <c r="V1" s="593"/>
      <c r="W1" s="593"/>
      <c r="Z1" s="602" t="s">
        <v>31</v>
      </c>
      <c r="AA1" s="602"/>
      <c r="AB1" s="602"/>
      <c r="AC1" s="602"/>
      <c r="AD1" s="602"/>
      <c r="AE1" s="602"/>
      <c r="AF1" s="109"/>
    </row>
    <row r="2" spans="1:38" ht="60" customHeight="1" x14ac:dyDescent="0.25">
      <c r="A2" s="30" t="s">
        <v>32</v>
      </c>
      <c r="B2" s="31" t="s">
        <v>33</v>
      </c>
      <c r="C2" s="31" t="s">
        <v>34</v>
      </c>
      <c r="D2" s="31" t="s">
        <v>35</v>
      </c>
      <c r="E2" s="31" t="s">
        <v>36</v>
      </c>
      <c r="F2" s="108" t="s">
        <v>37</v>
      </c>
      <c r="G2" s="108" t="s">
        <v>38</v>
      </c>
      <c r="H2" s="108" t="s">
        <v>39</v>
      </c>
      <c r="I2" s="108" t="s">
        <v>40</v>
      </c>
      <c r="K2" s="272" t="s">
        <v>41</v>
      </c>
      <c r="M2" s="108" t="s">
        <v>42</v>
      </c>
      <c r="N2" s="108" t="s">
        <v>43</v>
      </c>
      <c r="O2" s="594" t="s">
        <v>44</v>
      </c>
      <c r="P2" s="594"/>
      <c r="Q2" s="594"/>
      <c r="R2" s="594"/>
      <c r="S2" s="93"/>
      <c r="T2" s="594" t="s">
        <v>45</v>
      </c>
      <c r="U2" s="594"/>
      <c r="V2" s="594"/>
      <c r="W2" s="594"/>
      <c r="Z2" s="110"/>
      <c r="AA2" s="603" t="s">
        <v>46</v>
      </c>
      <c r="AB2" s="603"/>
      <c r="AC2" s="110"/>
      <c r="AD2" s="111" t="s">
        <v>47</v>
      </c>
      <c r="AE2" s="111" t="s">
        <v>48</v>
      </c>
      <c r="AF2" s="112" t="s">
        <v>49</v>
      </c>
      <c r="AH2" s="350" t="s">
        <v>50</v>
      </c>
    </row>
    <row r="3" spans="1:38" ht="15" x14ac:dyDescent="0.25">
      <c r="A3" s="33" t="s">
        <v>51</v>
      </c>
      <c r="B3" s="113">
        <v>0.15</v>
      </c>
      <c r="C3" s="113">
        <v>0.15</v>
      </c>
      <c r="D3" s="277">
        <v>0.35</v>
      </c>
      <c r="E3" s="278">
        <v>5000</v>
      </c>
      <c r="F3" s="114">
        <v>1</v>
      </c>
      <c r="G3" s="114">
        <v>1</v>
      </c>
      <c r="H3" s="115">
        <v>0.05</v>
      </c>
      <c r="I3" s="115">
        <v>0.05</v>
      </c>
      <c r="K3" s="272" t="s">
        <v>52</v>
      </c>
      <c r="L3" s="108" t="s">
        <v>53</v>
      </c>
      <c r="M3" s="108" t="s">
        <v>54</v>
      </c>
      <c r="N3" s="272" t="s">
        <v>52</v>
      </c>
      <c r="O3" s="16" t="s">
        <v>55</v>
      </c>
      <c r="P3" s="16" t="s">
        <v>56</v>
      </c>
      <c r="Q3" s="16" t="s">
        <v>57</v>
      </c>
      <c r="R3" s="16" t="s">
        <v>58</v>
      </c>
      <c r="S3" s="16"/>
      <c r="T3" s="16" t="s">
        <v>55</v>
      </c>
      <c r="U3" s="16" t="s">
        <v>56</v>
      </c>
      <c r="V3" s="16" t="s">
        <v>57</v>
      </c>
      <c r="W3" s="16" t="s">
        <v>58</v>
      </c>
      <c r="Z3" s="603" t="s">
        <v>59</v>
      </c>
      <c r="AA3" s="603" t="s">
        <v>60</v>
      </c>
      <c r="AB3" s="116" t="s">
        <v>61</v>
      </c>
      <c r="AC3" s="603" t="s">
        <v>62</v>
      </c>
      <c r="AD3" s="604" t="s">
        <v>63</v>
      </c>
      <c r="AE3" s="604" t="s">
        <v>63</v>
      </c>
      <c r="AF3" s="109"/>
      <c r="AH3" s="108" t="str" cm="1">
        <f t="array" ref="AH3:AL16">_xlfn._xlws.FILTER($AB$6:$AF$118,$AF$6:$AF$118='Pre-screen+Assessment'!$F$9,"")</f>
        <v>Ambulatory Surgical Center</v>
      </c>
      <c r="AI3" s="108">
        <v>0</v>
      </c>
      <c r="AJ3" s="108">
        <v>90</v>
      </c>
      <c r="AK3" s="108">
        <v>96</v>
      </c>
      <c r="AL3" s="108" t="str">
        <v>Office</v>
      </c>
    </row>
    <row r="4" spans="1:38" ht="15" x14ac:dyDescent="0.25">
      <c r="A4" s="33" t="s">
        <v>64</v>
      </c>
      <c r="B4" s="113">
        <v>0.15</v>
      </c>
      <c r="C4" s="113">
        <v>0.15</v>
      </c>
      <c r="D4" s="277">
        <v>0.35</v>
      </c>
      <c r="E4" s="278">
        <v>5000</v>
      </c>
      <c r="F4" s="114">
        <v>0</v>
      </c>
      <c r="G4" s="114">
        <v>1</v>
      </c>
      <c r="H4" s="115">
        <v>0.05</v>
      </c>
      <c r="I4" s="115">
        <v>0</v>
      </c>
      <c r="K4" s="272" t="s">
        <v>65</v>
      </c>
      <c r="L4" s="108" t="s">
        <v>66</v>
      </c>
      <c r="M4" s="108" t="s">
        <v>67</v>
      </c>
      <c r="N4" s="272" t="s">
        <v>65</v>
      </c>
      <c r="O4" s="16" t="s">
        <v>68</v>
      </c>
      <c r="P4" s="117">
        <v>7.9287459931167596</v>
      </c>
      <c r="Q4" s="16">
        <v>2.4</v>
      </c>
      <c r="R4" s="16">
        <v>16</v>
      </c>
      <c r="S4" s="16"/>
      <c r="T4" s="16" t="s">
        <v>68</v>
      </c>
      <c r="U4" s="117">
        <v>0.44443602797158799</v>
      </c>
      <c r="V4" s="16">
        <v>0.19</v>
      </c>
      <c r="W4" s="16">
        <v>0.43</v>
      </c>
      <c r="Z4" s="603"/>
      <c r="AA4" s="603"/>
      <c r="AB4" s="116" t="s">
        <v>69</v>
      </c>
      <c r="AC4" s="603"/>
      <c r="AD4" s="604"/>
      <c r="AE4" s="604"/>
      <c r="AF4" s="109"/>
      <c r="AH4" s="108" t="str">
        <v>Bank Branch</v>
      </c>
      <c r="AI4" s="108">
        <v>0</v>
      </c>
      <c r="AJ4" s="108">
        <v>69</v>
      </c>
      <c r="AK4" s="108">
        <v>71</v>
      </c>
      <c r="AL4" s="108" t="str">
        <v>Office</v>
      </c>
    </row>
    <row r="5" spans="1:38" ht="15" x14ac:dyDescent="0.25">
      <c r="A5" s="33" t="s">
        <v>70</v>
      </c>
      <c r="B5" s="113">
        <v>0.1</v>
      </c>
      <c r="C5" s="113">
        <v>0.1</v>
      </c>
      <c r="D5" s="277">
        <v>0.25</v>
      </c>
      <c r="E5" s="278">
        <v>4000</v>
      </c>
      <c r="F5" s="114">
        <v>0</v>
      </c>
      <c r="G5" s="114">
        <v>1</v>
      </c>
      <c r="H5" s="115">
        <v>0.05</v>
      </c>
      <c r="I5" s="115">
        <v>0</v>
      </c>
      <c r="K5" s="272" t="s">
        <v>71</v>
      </c>
      <c r="L5" s="108" t="s">
        <v>72</v>
      </c>
      <c r="M5" s="108" t="s">
        <v>73</v>
      </c>
      <c r="N5" s="272" t="s">
        <v>71</v>
      </c>
      <c r="O5" s="16" t="s">
        <v>74</v>
      </c>
      <c r="P5" s="117">
        <v>40.2306655196805</v>
      </c>
      <c r="Q5" s="16">
        <v>41</v>
      </c>
      <c r="R5" s="16">
        <v>73</v>
      </c>
      <c r="S5" s="16"/>
      <c r="T5" s="16" t="s">
        <v>74</v>
      </c>
      <c r="U5" s="117">
        <v>0.57326243696547696</v>
      </c>
      <c r="V5" s="16">
        <v>0.42</v>
      </c>
      <c r="W5" s="16">
        <v>0.61</v>
      </c>
      <c r="Z5" s="116"/>
      <c r="AA5" s="116"/>
      <c r="AB5" s="116" t="s">
        <v>75</v>
      </c>
      <c r="AC5" s="116"/>
      <c r="AD5" s="118" t="s">
        <v>76</v>
      </c>
      <c r="AE5" s="118" t="s">
        <v>76</v>
      </c>
      <c r="AF5" s="109"/>
      <c r="AH5" s="108" t="str">
        <v>Financial Office</v>
      </c>
      <c r="AI5" s="108">
        <v>0</v>
      </c>
      <c r="AJ5" s="108">
        <v>69</v>
      </c>
      <c r="AK5" s="108">
        <v>71</v>
      </c>
      <c r="AL5" s="108" t="str">
        <v>Office</v>
      </c>
    </row>
    <row r="6" spans="1:38" ht="15" x14ac:dyDescent="0.2">
      <c r="A6" s="33" t="s">
        <v>77</v>
      </c>
      <c r="B6" s="113">
        <v>0.05</v>
      </c>
      <c r="C6" s="113">
        <v>0.1</v>
      </c>
      <c r="D6" s="277">
        <v>0.15</v>
      </c>
      <c r="E6" s="278">
        <v>2000</v>
      </c>
      <c r="F6" s="114">
        <v>1</v>
      </c>
      <c r="G6" s="114">
        <v>0</v>
      </c>
      <c r="H6" s="115">
        <v>0</v>
      </c>
      <c r="I6" s="115">
        <v>0.1</v>
      </c>
      <c r="O6" s="16" t="s">
        <v>78</v>
      </c>
      <c r="P6" s="117">
        <v>10.886655193337001</v>
      </c>
      <c r="Q6" s="16">
        <v>11</v>
      </c>
      <c r="R6" s="16">
        <v>14</v>
      </c>
      <c r="S6" s="16"/>
      <c r="T6" s="16" t="s">
        <v>78</v>
      </c>
      <c r="U6" s="117">
        <v>0.43014956033379198</v>
      </c>
      <c r="V6" s="16">
        <v>0.27</v>
      </c>
      <c r="W6" s="16">
        <v>0.48</v>
      </c>
      <c r="Y6" s="109" t="s">
        <v>79</v>
      </c>
      <c r="Z6" s="119">
        <v>3</v>
      </c>
      <c r="AA6" s="120" t="s">
        <v>80</v>
      </c>
      <c r="AB6" s="120" t="s">
        <v>81</v>
      </c>
      <c r="AC6" s="110"/>
      <c r="AD6" s="118">
        <v>49</v>
      </c>
      <c r="AE6" s="118">
        <v>51</v>
      </c>
      <c r="AF6" s="109" t="s">
        <v>82</v>
      </c>
      <c r="AH6" s="108" t="str">
        <v>Medical Office - Healthcare</v>
      </c>
      <c r="AI6" s="108">
        <v>3</v>
      </c>
      <c r="AJ6" s="108">
        <v>60</v>
      </c>
      <c r="AK6" s="108">
        <v>65</v>
      </c>
      <c r="AL6" s="108" t="str">
        <v>Office</v>
      </c>
    </row>
    <row r="7" spans="1:38" ht="15" x14ac:dyDescent="0.2">
      <c r="A7" s="273"/>
      <c r="B7" s="276"/>
      <c r="C7" s="276"/>
      <c r="D7" s="276"/>
      <c r="E7" s="279"/>
      <c r="F7" s="274"/>
      <c r="G7" s="274"/>
      <c r="H7" s="275"/>
      <c r="I7" s="275"/>
      <c r="J7" s="108" t="s">
        <v>83</v>
      </c>
      <c r="O7" s="16" t="s">
        <v>79</v>
      </c>
      <c r="P7" s="117">
        <v>11.843875468960499</v>
      </c>
      <c r="Q7" s="16">
        <v>7.8</v>
      </c>
      <c r="R7" s="16">
        <v>18</v>
      </c>
      <c r="S7" s="16"/>
      <c r="T7" s="16" t="s">
        <v>79</v>
      </c>
      <c r="U7" s="117">
        <v>0.16486466038011999</v>
      </c>
      <c r="V7" s="16">
        <v>0.13</v>
      </c>
      <c r="W7" s="16">
        <v>0.34</v>
      </c>
      <c r="Y7" s="109" t="s">
        <v>79</v>
      </c>
      <c r="Z7" s="119">
        <v>50</v>
      </c>
      <c r="AA7" s="120" t="s">
        <v>84</v>
      </c>
      <c r="AB7" s="120" t="s">
        <v>85</v>
      </c>
      <c r="AC7" s="110"/>
      <c r="AD7" s="118">
        <v>90</v>
      </c>
      <c r="AE7" s="118">
        <v>96</v>
      </c>
      <c r="AF7" s="109" t="s">
        <v>79</v>
      </c>
      <c r="AH7" s="108" t="str">
        <v>Medical Office - Office</v>
      </c>
      <c r="AI7" s="108">
        <v>3</v>
      </c>
      <c r="AJ7" s="108">
        <v>60</v>
      </c>
      <c r="AK7" s="108">
        <v>65</v>
      </c>
      <c r="AL7" s="108" t="str">
        <v>Office</v>
      </c>
    </row>
    <row r="8" spans="1:38" ht="15" x14ac:dyDescent="0.2">
      <c r="G8" s="35"/>
      <c r="O8" s="16" t="s">
        <v>86</v>
      </c>
      <c r="P8" s="117">
        <v>6.3891895746296603</v>
      </c>
      <c r="Q8" s="16">
        <v>4.8</v>
      </c>
      <c r="R8" s="16">
        <v>22</v>
      </c>
      <c r="S8" s="16"/>
      <c r="T8" s="16" t="s">
        <v>86</v>
      </c>
      <c r="U8" s="117">
        <v>0.36155816573798</v>
      </c>
      <c r="V8" s="16">
        <v>0.42</v>
      </c>
      <c r="W8" s="16">
        <v>0.83</v>
      </c>
      <c r="Y8" s="109" t="s">
        <v>82</v>
      </c>
      <c r="Z8" s="119">
        <v>10</v>
      </c>
      <c r="AA8" s="120" t="s">
        <v>87</v>
      </c>
      <c r="AB8" s="120" t="s">
        <v>88</v>
      </c>
      <c r="AC8" s="110"/>
      <c r="AD8" s="118">
        <v>55</v>
      </c>
      <c r="AE8" s="118">
        <v>59</v>
      </c>
      <c r="AF8" s="109" t="s">
        <v>68</v>
      </c>
      <c r="AH8" s="108" t="str">
        <v>Office (Admin/professional office)</v>
      </c>
      <c r="AI8" s="108">
        <v>0</v>
      </c>
      <c r="AJ8" s="108">
        <v>63</v>
      </c>
      <c r="AK8" s="108">
        <v>66</v>
      </c>
      <c r="AL8" s="108" t="str">
        <v>Office</v>
      </c>
    </row>
    <row r="9" spans="1:38" ht="15" x14ac:dyDescent="0.2">
      <c r="C9" s="108" t="s">
        <v>89</v>
      </c>
      <c r="H9" s="32"/>
      <c r="I9" s="121" t="s">
        <v>90</v>
      </c>
      <c r="L9" s="108" t="s">
        <v>91</v>
      </c>
      <c r="O9" s="16" t="s">
        <v>92</v>
      </c>
      <c r="P9" s="117">
        <v>14.7361502604794</v>
      </c>
      <c r="Q9" s="16">
        <v>11</v>
      </c>
      <c r="R9" s="16">
        <v>24</v>
      </c>
      <c r="S9" s="16"/>
      <c r="T9" s="16" t="s">
        <v>92</v>
      </c>
      <c r="U9" s="117">
        <v>0.41015429738002301</v>
      </c>
      <c r="V9" s="16">
        <v>0.23</v>
      </c>
      <c r="W9" s="16">
        <v>0.4</v>
      </c>
      <c r="Y9" s="109" t="s">
        <v>82</v>
      </c>
      <c r="Z9" s="119">
        <v>86</v>
      </c>
      <c r="AA9" s="120" t="s">
        <v>93</v>
      </c>
      <c r="AB9" s="120" t="s">
        <v>94</v>
      </c>
      <c r="AC9" s="110"/>
      <c r="AD9" s="118">
        <v>59</v>
      </c>
      <c r="AE9" s="118">
        <v>66</v>
      </c>
      <c r="AF9" s="109" t="s">
        <v>93</v>
      </c>
      <c r="AH9" s="108" t="str">
        <v xml:space="preserve">Office (Bank/other financial) </v>
      </c>
      <c r="AI9" s="108">
        <v>0</v>
      </c>
      <c r="AJ9" s="108">
        <v>69</v>
      </c>
      <c r="AK9" s="108">
        <v>71</v>
      </c>
      <c r="AL9" s="108" t="str">
        <v>Office</v>
      </c>
    </row>
    <row r="10" spans="1:38" ht="15" x14ac:dyDescent="0.2">
      <c r="A10" s="122" t="s">
        <v>95</v>
      </c>
      <c r="B10" s="123"/>
      <c r="C10" s="124">
        <v>2</v>
      </c>
      <c r="D10" s="125" t="s">
        <v>96</v>
      </c>
      <c r="E10" s="121"/>
      <c r="F10" s="108" t="s">
        <v>97</v>
      </c>
      <c r="G10" s="108" t="s">
        <v>98</v>
      </c>
      <c r="H10" s="32"/>
      <c r="I10" s="121" t="s">
        <v>99</v>
      </c>
      <c r="K10" s="442"/>
      <c r="L10" s="443" t="s">
        <v>100</v>
      </c>
      <c r="M10" s="440">
        <f>VLOOKUP(Customer_Type,Hidden!A3:I7,6,0)</f>
        <v>1</v>
      </c>
      <c r="O10" s="16" t="s">
        <v>101</v>
      </c>
      <c r="P10" s="117">
        <v>39.613031090424897</v>
      </c>
      <c r="Q10" s="16">
        <v>20</v>
      </c>
      <c r="R10" s="16">
        <v>39</v>
      </c>
      <c r="S10" s="16"/>
      <c r="T10" s="16" t="s">
        <v>101</v>
      </c>
      <c r="U10" s="117">
        <v>2.4757328360764701</v>
      </c>
      <c r="V10" s="16">
        <v>0.86</v>
      </c>
      <c r="W10" s="16">
        <v>1.7</v>
      </c>
      <c r="Y10" s="109" t="s">
        <v>82</v>
      </c>
      <c r="Z10" s="119">
        <v>1</v>
      </c>
      <c r="AA10" s="120" t="s">
        <v>102</v>
      </c>
      <c r="AB10" s="120" t="s">
        <v>103</v>
      </c>
      <c r="AC10" s="110"/>
      <c r="AD10" s="118">
        <v>69</v>
      </c>
      <c r="AE10" s="118">
        <v>71</v>
      </c>
      <c r="AF10" s="109" t="s">
        <v>79</v>
      </c>
      <c r="AH10" s="108" t="str">
        <v>Office (Government office)</v>
      </c>
      <c r="AI10" s="108">
        <v>0</v>
      </c>
      <c r="AJ10" s="108">
        <v>66</v>
      </c>
      <c r="AK10" s="108">
        <v>69</v>
      </c>
      <c r="AL10" s="108" t="str">
        <v>Office</v>
      </c>
    </row>
    <row r="11" spans="1:38" ht="15" x14ac:dyDescent="0.2">
      <c r="A11" s="126" t="s">
        <v>104</v>
      </c>
      <c r="B11" s="127"/>
      <c r="C11" s="128">
        <v>0.1</v>
      </c>
      <c r="D11" s="125" t="s">
        <v>105</v>
      </c>
      <c r="E11" s="121"/>
      <c r="F11" s="108" t="s">
        <v>106</v>
      </c>
      <c r="G11" s="108" t="s">
        <v>107</v>
      </c>
      <c r="H11" s="32"/>
      <c r="I11" s="121" t="s">
        <v>108</v>
      </c>
      <c r="K11" s="444"/>
      <c r="L11" s="445" t="s">
        <v>109</v>
      </c>
      <c r="M11" s="441">
        <f>VLOOKUP(Customer_Type,Hidden!A3:I7,7,0)</f>
        <v>1</v>
      </c>
      <c r="O11" s="16" t="s">
        <v>93</v>
      </c>
      <c r="P11" s="117">
        <v>9.5914130170678504</v>
      </c>
      <c r="Q11" s="16">
        <v>4</v>
      </c>
      <c r="R11" s="16">
        <v>14</v>
      </c>
      <c r="S11" s="16"/>
      <c r="T11" s="16" t="s">
        <v>93</v>
      </c>
      <c r="U11" s="117">
        <v>0.29059217436248802</v>
      </c>
      <c r="V11" s="16">
        <v>0.2</v>
      </c>
      <c r="W11" s="16">
        <v>0.33</v>
      </c>
      <c r="Y11" s="109" t="s">
        <v>82</v>
      </c>
      <c r="Z11" s="119">
        <v>11</v>
      </c>
      <c r="AA11" s="120" t="s">
        <v>87</v>
      </c>
      <c r="AB11" s="120" t="s">
        <v>110</v>
      </c>
      <c r="AC11" s="110"/>
      <c r="AD11" s="118">
        <v>55</v>
      </c>
      <c r="AE11" s="118">
        <v>59</v>
      </c>
      <c r="AF11" s="109" t="s">
        <v>68</v>
      </c>
      <c r="AH11" s="108" t="str">
        <v>Office (Medical office (diagnostic))</v>
      </c>
      <c r="AI11" s="108">
        <v>3</v>
      </c>
      <c r="AJ11" s="108">
        <v>60</v>
      </c>
      <c r="AK11" s="108">
        <v>65</v>
      </c>
      <c r="AL11" s="108" t="str">
        <v>Office</v>
      </c>
    </row>
    <row r="12" spans="1:38" ht="15" x14ac:dyDescent="0.2">
      <c r="A12" s="35"/>
      <c r="O12" s="16" t="s">
        <v>82</v>
      </c>
      <c r="P12" s="117">
        <v>7.3920297154696302</v>
      </c>
      <c r="Q12" s="16">
        <v>6.7</v>
      </c>
      <c r="R12" s="16">
        <v>10</v>
      </c>
      <c r="S12" s="16"/>
      <c r="T12" s="16" t="s">
        <v>82</v>
      </c>
      <c r="U12" s="117">
        <v>0.22458971276074899</v>
      </c>
      <c r="V12" s="16">
        <v>0.37</v>
      </c>
      <c r="W12" s="16">
        <v>0.51</v>
      </c>
      <c r="Y12" s="109" t="s">
        <v>82</v>
      </c>
      <c r="Z12" s="119">
        <v>35</v>
      </c>
      <c r="AA12" s="120" t="s">
        <v>111</v>
      </c>
      <c r="AB12" s="120" t="s">
        <v>112</v>
      </c>
      <c r="AC12" s="110"/>
      <c r="AD12" s="118">
        <v>361</v>
      </c>
      <c r="AE12" s="118">
        <v>378</v>
      </c>
      <c r="AF12" s="109" t="s">
        <v>113</v>
      </c>
      <c r="AH12" s="108" t="str">
        <v>Office (Other office)</v>
      </c>
      <c r="AI12" s="108">
        <v>0</v>
      </c>
      <c r="AJ12" s="108">
        <v>66</v>
      </c>
      <c r="AK12" s="108">
        <v>68</v>
      </c>
      <c r="AL12" s="108" t="str">
        <v>Office</v>
      </c>
    </row>
    <row r="13" spans="1:38" ht="15" x14ac:dyDescent="0.2">
      <c r="O13" s="16" t="s">
        <v>114</v>
      </c>
      <c r="P13" s="117">
        <v>3.7159740091773101</v>
      </c>
      <c r="Q13" s="16">
        <v>1.2</v>
      </c>
      <c r="R13" s="16">
        <v>3.6</v>
      </c>
      <c r="S13" s="16"/>
      <c r="T13" s="16" t="s">
        <v>114</v>
      </c>
      <c r="U13" s="117">
        <v>0.14154110522380001</v>
      </c>
      <c r="V13" s="16">
        <v>5.3999999999999999E-2</v>
      </c>
      <c r="W13" s="16">
        <v>0.21</v>
      </c>
      <c r="Y13" s="109" t="s">
        <v>82</v>
      </c>
      <c r="Z13" s="119">
        <v>58</v>
      </c>
      <c r="AA13" s="120" t="s">
        <v>115</v>
      </c>
      <c r="AB13" s="120" t="s">
        <v>116</v>
      </c>
      <c r="AC13" s="110"/>
      <c r="AD13" s="118">
        <v>88</v>
      </c>
      <c r="AE13" s="118">
        <v>90</v>
      </c>
      <c r="AF13" s="109" t="s">
        <v>78</v>
      </c>
      <c r="AH13" s="108" t="str">
        <v>Other - Office</v>
      </c>
      <c r="AI13" s="108">
        <v>0</v>
      </c>
      <c r="AJ13" s="108">
        <v>66</v>
      </c>
      <c r="AK13" s="108">
        <v>68</v>
      </c>
      <c r="AL13" s="108" t="str">
        <v>Office</v>
      </c>
    </row>
    <row r="14" spans="1:38" ht="15.75" thickBot="1" x14ac:dyDescent="0.25">
      <c r="A14" s="129" t="s">
        <v>117</v>
      </c>
      <c r="B14" s="130"/>
      <c r="C14" s="130"/>
      <c r="D14" s="121"/>
      <c r="E14" s="121"/>
      <c r="F14" s="121"/>
      <c r="G14" s="121"/>
      <c r="H14" s="121"/>
      <c r="I14" s="121"/>
      <c r="J14" s="121"/>
      <c r="K14" s="121"/>
      <c r="L14" s="121"/>
      <c r="M14" s="121"/>
      <c r="O14" s="108" t="s">
        <v>187</v>
      </c>
      <c r="P14" s="117"/>
      <c r="Q14" s="32"/>
      <c r="R14" s="32"/>
      <c r="S14" s="32"/>
      <c r="T14" s="108" t="s">
        <v>187</v>
      </c>
      <c r="U14" s="117"/>
      <c r="Y14" s="109" t="s">
        <v>82</v>
      </c>
      <c r="Z14" s="119">
        <v>12</v>
      </c>
      <c r="AA14" s="120" t="s">
        <v>87</v>
      </c>
      <c r="AB14" s="120" t="s">
        <v>118</v>
      </c>
      <c r="AC14" s="110"/>
      <c r="AD14" s="118">
        <v>73</v>
      </c>
      <c r="AE14" s="118">
        <v>78</v>
      </c>
      <c r="AF14" s="109" t="s">
        <v>68</v>
      </c>
      <c r="AH14" s="108" t="str">
        <v>Outpatient Rehabilitation/Physical Therapy</v>
      </c>
      <c r="AI14" s="108">
        <v>0</v>
      </c>
      <c r="AJ14" s="108">
        <v>90</v>
      </c>
      <c r="AK14" s="108">
        <v>96</v>
      </c>
      <c r="AL14" s="108" t="str">
        <v>Office</v>
      </c>
    </row>
    <row r="15" spans="1:38" ht="71.25" customHeight="1" thickBot="1" x14ac:dyDescent="0.25">
      <c r="A15" s="595" t="s">
        <v>673</v>
      </c>
      <c r="B15" s="596"/>
      <c r="C15" s="596"/>
      <c r="D15" s="596"/>
      <c r="E15" s="596"/>
      <c r="F15" s="596"/>
      <c r="G15" s="597"/>
      <c r="H15" s="121"/>
      <c r="I15" s="598" t="s">
        <v>675</v>
      </c>
      <c r="J15" s="599"/>
      <c r="K15" s="599"/>
      <c r="L15" s="600"/>
      <c r="M15" s="334"/>
      <c r="O15" s="108" t="s">
        <v>113</v>
      </c>
      <c r="P15" s="117"/>
      <c r="T15" s="108" t="s">
        <v>113</v>
      </c>
      <c r="U15" s="117"/>
      <c r="Y15" s="109" t="s">
        <v>68</v>
      </c>
      <c r="Z15" s="119">
        <v>13</v>
      </c>
      <c r="AA15" s="120" t="s">
        <v>87</v>
      </c>
      <c r="AB15" s="120" t="s">
        <v>119</v>
      </c>
      <c r="AC15" s="110"/>
      <c r="AD15" s="118">
        <v>55</v>
      </c>
      <c r="AE15" s="118">
        <v>59</v>
      </c>
      <c r="AF15" s="109" t="s">
        <v>68</v>
      </c>
      <c r="AH15" s="108" t="str">
        <v>Urgent Care/Clinic/Other Outpatient</v>
      </c>
      <c r="AI15" s="108">
        <v>0</v>
      </c>
      <c r="AJ15" s="108">
        <v>90</v>
      </c>
      <c r="AK15" s="108">
        <v>96</v>
      </c>
      <c r="AL15" s="108" t="str">
        <v>Office</v>
      </c>
    </row>
    <row r="16" spans="1:38" ht="16.5" customHeight="1" thickBot="1" x14ac:dyDescent="0.25">
      <c r="A16" s="605" t="s">
        <v>674</v>
      </c>
      <c r="B16" s="606"/>
      <c r="C16" s="606"/>
      <c r="D16" s="606"/>
      <c r="E16" s="606"/>
      <c r="F16" s="606"/>
      <c r="G16" s="607"/>
      <c r="H16" s="121"/>
      <c r="I16" s="608" t="s">
        <v>674</v>
      </c>
      <c r="J16" s="609"/>
      <c r="K16" s="609"/>
      <c r="L16" s="610"/>
      <c r="P16" s="32"/>
      <c r="Y16" s="109" t="s">
        <v>68</v>
      </c>
      <c r="Z16" s="119">
        <v>4</v>
      </c>
      <c r="AA16" s="120" t="s">
        <v>80</v>
      </c>
      <c r="AB16" s="120" t="s">
        <v>120</v>
      </c>
      <c r="AC16" s="110"/>
      <c r="AD16" s="118">
        <v>102</v>
      </c>
      <c r="AE16" s="118">
        <v>102</v>
      </c>
      <c r="AF16" s="109" t="s">
        <v>82</v>
      </c>
      <c r="AH16" s="108" t="str">
        <v>Veterinary Office</v>
      </c>
      <c r="AI16" s="108">
        <v>0</v>
      </c>
      <c r="AJ16" s="108">
        <v>90</v>
      </c>
      <c r="AK16" s="108">
        <v>96</v>
      </c>
      <c r="AL16" s="108" t="str">
        <v>Office</v>
      </c>
    </row>
    <row r="17" spans="1:32" ht="39" thickBot="1" x14ac:dyDescent="0.25">
      <c r="A17" s="86" t="s">
        <v>121</v>
      </c>
      <c r="B17" s="87" t="s">
        <v>122</v>
      </c>
      <c r="C17" s="88" t="s">
        <v>123</v>
      </c>
      <c r="D17" s="88" t="s">
        <v>124</v>
      </c>
      <c r="E17" s="88" t="s">
        <v>125</v>
      </c>
      <c r="F17" s="88" t="s">
        <v>126</v>
      </c>
      <c r="G17" s="89" t="s">
        <v>127</v>
      </c>
      <c r="H17" s="121"/>
      <c r="I17" s="86" t="s">
        <v>121</v>
      </c>
      <c r="J17" s="87" t="s">
        <v>128</v>
      </c>
      <c r="K17" s="88" t="s">
        <v>124</v>
      </c>
      <c r="L17" s="89" t="s">
        <v>129</v>
      </c>
      <c r="P17" s="32"/>
      <c r="Y17" s="109" t="s">
        <v>68</v>
      </c>
      <c r="Z17" s="119">
        <v>36</v>
      </c>
      <c r="AA17" s="120" t="s">
        <v>111</v>
      </c>
      <c r="AB17" s="120" t="s">
        <v>130</v>
      </c>
      <c r="AC17" s="110"/>
      <c r="AD17" s="118">
        <v>244</v>
      </c>
      <c r="AE17" s="118">
        <v>253</v>
      </c>
      <c r="AF17" s="109" t="s">
        <v>74</v>
      </c>
    </row>
    <row r="18" spans="1:32" ht="15" x14ac:dyDescent="0.2">
      <c r="A18" s="131">
        <v>1</v>
      </c>
      <c r="B18" s="132">
        <v>24.352669930187982</v>
      </c>
      <c r="C18" s="133">
        <v>26.52579038352118</v>
      </c>
      <c r="D18" s="133">
        <v>17.361980460971203</v>
      </c>
      <c r="E18" s="133">
        <v>15.411770354721416</v>
      </c>
      <c r="F18" s="133">
        <v>16.030466037807159</v>
      </c>
      <c r="G18" s="134">
        <v>15.89789194046849</v>
      </c>
      <c r="H18" s="121"/>
      <c r="I18" s="135">
        <v>1</v>
      </c>
      <c r="J18" s="136">
        <v>1.8911978158730101</v>
      </c>
      <c r="K18" s="137">
        <v>1.6483114187516299</v>
      </c>
      <c r="L18" s="138">
        <v>1.6476687196828299</v>
      </c>
      <c r="P18" s="32"/>
      <c r="Y18" s="109" t="s">
        <v>68</v>
      </c>
      <c r="Z18" s="119">
        <v>87</v>
      </c>
      <c r="AA18" s="120" t="s">
        <v>93</v>
      </c>
      <c r="AB18" s="120" t="s">
        <v>130</v>
      </c>
      <c r="AC18" s="110"/>
      <c r="AD18" s="118">
        <v>260</v>
      </c>
      <c r="AE18" s="118">
        <v>269</v>
      </c>
      <c r="AF18" s="109" t="s">
        <v>74</v>
      </c>
    </row>
    <row r="19" spans="1:32" ht="15" x14ac:dyDescent="0.2">
      <c r="A19" s="139">
        <v>2</v>
      </c>
      <c r="B19" s="140">
        <v>47.135854274477474</v>
      </c>
      <c r="C19" s="141">
        <v>51.365209017527079</v>
      </c>
      <c r="D19" s="141">
        <v>33.611885782076151</v>
      </c>
      <c r="E19" s="141">
        <v>29.829386194736664</v>
      </c>
      <c r="F19" s="141">
        <v>31.03341145965085</v>
      </c>
      <c r="G19" s="142">
        <v>30.77123345865748</v>
      </c>
      <c r="H19" s="121"/>
      <c r="I19" s="135">
        <v>2</v>
      </c>
      <c r="J19" s="136">
        <v>3.64943258565427</v>
      </c>
      <c r="K19" s="137">
        <v>3.17948994771249</v>
      </c>
      <c r="L19" s="138">
        <v>3.1784567192220199</v>
      </c>
      <c r="P19" s="32"/>
      <c r="Y19" s="109" t="s">
        <v>68</v>
      </c>
      <c r="Z19" s="119">
        <v>37</v>
      </c>
      <c r="AA19" s="120" t="s">
        <v>111</v>
      </c>
      <c r="AB19" s="120" t="s">
        <v>131</v>
      </c>
      <c r="AC19" s="110"/>
      <c r="AD19" s="118">
        <v>260</v>
      </c>
      <c r="AE19" s="118">
        <v>269</v>
      </c>
      <c r="AF19" s="109" t="s">
        <v>74</v>
      </c>
    </row>
    <row r="20" spans="1:32" ht="15" x14ac:dyDescent="0.2">
      <c r="A20" s="139">
        <v>3</v>
      </c>
      <c r="B20" s="140">
        <v>68.269030121780986</v>
      </c>
      <c r="C20" s="141">
        <v>74.391037642219487</v>
      </c>
      <c r="D20" s="141">
        <v>48.614928435262343</v>
      </c>
      <c r="E20" s="141">
        <v>43.090450938696073</v>
      </c>
      <c r="F20" s="141">
        <v>44.857791433609449</v>
      </c>
      <c r="G20" s="142">
        <v>44.482984833581355</v>
      </c>
      <c r="H20" s="121"/>
      <c r="I20" s="135">
        <v>3</v>
      </c>
      <c r="J20" s="136">
        <v>5.2877281723042202</v>
      </c>
      <c r="K20" s="137">
        <v>4.6188238591356798</v>
      </c>
      <c r="L20" s="138">
        <v>4.6168274175137798</v>
      </c>
      <c r="P20" s="32"/>
      <c r="Y20" s="109" t="s">
        <v>68</v>
      </c>
      <c r="Z20" s="119">
        <v>88</v>
      </c>
      <c r="AA20" s="120" t="s">
        <v>93</v>
      </c>
      <c r="AB20" s="120" t="s">
        <v>131</v>
      </c>
      <c r="AC20" s="110"/>
      <c r="AD20" s="118">
        <v>244</v>
      </c>
      <c r="AE20" s="118">
        <v>253</v>
      </c>
      <c r="AF20" s="109" t="s">
        <v>74</v>
      </c>
    </row>
    <row r="21" spans="1:32" ht="15.75" thickBot="1" x14ac:dyDescent="0.25">
      <c r="A21" s="139">
        <v>4</v>
      </c>
      <c r="B21" s="140">
        <v>87.78157074311541</v>
      </c>
      <c r="C21" s="141">
        <v>95.798925982081656</v>
      </c>
      <c r="D21" s="141">
        <v>62.423718888092985</v>
      </c>
      <c r="E21" s="141">
        <v>55.285612615088098</v>
      </c>
      <c r="F21" s="143">
        <v>57.572879360865429</v>
      </c>
      <c r="G21" s="142">
        <v>57.085448610931465</v>
      </c>
      <c r="H21" s="121"/>
      <c r="I21" s="135">
        <v>4</v>
      </c>
      <c r="J21" s="144">
        <v>6.8166485975933497</v>
      </c>
      <c r="K21" s="137">
        <v>5.9813204188731302</v>
      </c>
      <c r="L21" s="138">
        <v>5.9788041715136702</v>
      </c>
      <c r="P21" s="32"/>
      <c r="Y21" s="109" t="s">
        <v>68</v>
      </c>
      <c r="Z21" s="119">
        <v>14</v>
      </c>
      <c r="AA21" s="120" t="s">
        <v>87</v>
      </c>
      <c r="AB21" s="120" t="s">
        <v>132</v>
      </c>
      <c r="AC21" s="110"/>
      <c r="AD21" s="118">
        <v>50</v>
      </c>
      <c r="AE21" s="118">
        <v>52</v>
      </c>
      <c r="AF21" s="109" t="s">
        <v>68</v>
      </c>
    </row>
    <row r="22" spans="1:32" ht="15.75" thickBot="1" x14ac:dyDescent="0.25">
      <c r="A22" s="139">
        <v>5</v>
      </c>
      <c r="B22" s="140">
        <v>105.80632627672668</v>
      </c>
      <c r="C22" s="141">
        <v>115.76658828369375</v>
      </c>
      <c r="D22" s="141">
        <v>75.071675491431421</v>
      </c>
      <c r="E22" s="145">
        <v>66.520308611775761</v>
      </c>
      <c r="F22" s="90">
        <v>69.265663031962944</v>
      </c>
      <c r="G22" s="146">
        <v>68.645100477094644</v>
      </c>
      <c r="H22" s="121"/>
      <c r="I22" s="147">
        <v>5</v>
      </c>
      <c r="J22" s="91">
        <v>8.4407593859267802</v>
      </c>
      <c r="K22" s="148">
        <v>7.4503383577361397</v>
      </c>
      <c r="L22" s="138">
        <v>7.4473495713459403</v>
      </c>
      <c r="P22" s="32"/>
      <c r="Y22" s="109" t="s">
        <v>68</v>
      </c>
      <c r="Z22" s="119">
        <v>76</v>
      </c>
      <c r="AA22" s="120" t="s">
        <v>133</v>
      </c>
      <c r="AB22" s="120" t="s">
        <v>134</v>
      </c>
      <c r="AC22" s="110"/>
      <c r="AD22" s="118">
        <v>101</v>
      </c>
      <c r="AE22" s="118">
        <v>106</v>
      </c>
      <c r="AF22" s="109" t="s">
        <v>86</v>
      </c>
    </row>
    <row r="23" spans="1:32" ht="26.25" customHeight="1" x14ac:dyDescent="0.2">
      <c r="A23" s="611" t="s">
        <v>135</v>
      </c>
      <c r="B23" s="611"/>
      <c r="C23" s="611"/>
      <c r="D23" s="611"/>
      <c r="E23" s="611"/>
      <c r="F23" s="611"/>
      <c r="G23" s="611"/>
      <c r="H23" s="121"/>
      <c r="I23" s="611" t="s">
        <v>136</v>
      </c>
      <c r="J23" s="611"/>
      <c r="K23" s="611"/>
      <c r="L23" s="611"/>
      <c r="M23" s="320"/>
      <c r="P23" s="32"/>
      <c r="Y23" s="109" t="s">
        <v>68</v>
      </c>
      <c r="Z23" s="119">
        <v>100</v>
      </c>
      <c r="AA23" s="120" t="s">
        <v>137</v>
      </c>
      <c r="AB23" s="120" t="s">
        <v>138</v>
      </c>
      <c r="AC23" s="119">
        <v>6</v>
      </c>
      <c r="AD23" s="118" t="s">
        <v>677</v>
      </c>
      <c r="AE23" s="118" t="s">
        <v>677</v>
      </c>
      <c r="AF23" s="109" t="s">
        <v>86</v>
      </c>
    </row>
    <row r="24" spans="1:32" ht="16.5" customHeight="1" x14ac:dyDescent="0.2">
      <c r="A24" s="431"/>
      <c r="B24" s="426" t="s">
        <v>139</v>
      </c>
      <c r="C24" s="84"/>
      <c r="D24" s="432"/>
      <c r="E24" s="433" t="s">
        <v>140</v>
      </c>
      <c r="F24" s="431"/>
      <c r="G24" s="431"/>
      <c r="P24" s="32"/>
      <c r="Y24" s="109" t="s">
        <v>68</v>
      </c>
      <c r="Z24" s="119">
        <v>111</v>
      </c>
      <c r="AA24" s="120" t="s">
        <v>141</v>
      </c>
      <c r="AB24" s="120" t="s">
        <v>142</v>
      </c>
      <c r="AC24" s="110"/>
      <c r="AD24" s="118">
        <v>36</v>
      </c>
      <c r="AE24" s="118">
        <v>44</v>
      </c>
      <c r="AF24" s="109" t="s">
        <v>114</v>
      </c>
    </row>
    <row r="25" spans="1:32" x14ac:dyDescent="0.2">
      <c r="A25" s="431"/>
      <c r="B25" s="434" t="s">
        <v>143</v>
      </c>
      <c r="C25" s="432"/>
      <c r="D25" s="435">
        <v>9.7300000000000011E-2</v>
      </c>
      <c r="E25" s="432"/>
      <c r="F25" s="431"/>
      <c r="G25" s="431"/>
      <c r="P25" s="32"/>
      <c r="Y25" s="109" t="s">
        <v>68</v>
      </c>
      <c r="Z25" s="119">
        <v>89</v>
      </c>
      <c r="AA25" s="120" t="s">
        <v>93</v>
      </c>
      <c r="AB25" s="120" t="s">
        <v>144</v>
      </c>
      <c r="AC25" s="119">
        <v>5</v>
      </c>
      <c r="AD25" s="118">
        <v>58</v>
      </c>
      <c r="AE25" s="118">
        <v>64</v>
      </c>
      <c r="AF25" s="109" t="s">
        <v>93</v>
      </c>
    </row>
    <row r="26" spans="1:32" ht="25.5" x14ac:dyDescent="0.2">
      <c r="A26" s="431"/>
      <c r="B26" s="434" t="s">
        <v>145</v>
      </c>
      <c r="C26" s="432"/>
      <c r="D26" s="435">
        <v>7.7512500000000012E-2</v>
      </c>
      <c r="E26" s="432"/>
      <c r="F26" s="431"/>
      <c r="G26" s="431"/>
      <c r="P26" s="32"/>
      <c r="Y26" s="109" t="s">
        <v>68</v>
      </c>
      <c r="Z26" s="119">
        <v>108</v>
      </c>
      <c r="AA26" s="120" t="s">
        <v>146</v>
      </c>
      <c r="AB26" s="120" t="s">
        <v>147</v>
      </c>
      <c r="AC26" s="119">
        <v>7</v>
      </c>
      <c r="AD26" s="118" t="s">
        <v>148</v>
      </c>
      <c r="AE26" s="118" t="s">
        <v>148</v>
      </c>
      <c r="AF26" s="109"/>
    </row>
    <row r="27" spans="1:32" ht="15" x14ac:dyDescent="0.2">
      <c r="A27" s="431"/>
      <c r="B27" s="434" t="s">
        <v>149</v>
      </c>
      <c r="C27" s="432"/>
      <c r="D27" s="435">
        <v>8.9285714285714288E-2</v>
      </c>
      <c r="E27" s="432"/>
      <c r="F27" s="431"/>
      <c r="G27" s="431"/>
      <c r="P27" s="32"/>
      <c r="Y27" s="109" t="s">
        <v>68</v>
      </c>
      <c r="Z27" s="119">
        <v>38</v>
      </c>
      <c r="AA27" s="120" t="s">
        <v>111</v>
      </c>
      <c r="AB27" s="120" t="s">
        <v>150</v>
      </c>
      <c r="AC27" s="110"/>
      <c r="AD27" s="118">
        <v>427</v>
      </c>
      <c r="AE27" s="118">
        <v>454</v>
      </c>
      <c r="AF27" s="109" t="s">
        <v>113</v>
      </c>
    </row>
    <row r="28" spans="1:32" ht="15" x14ac:dyDescent="0.2">
      <c r="A28" s="431"/>
      <c r="B28" s="434" t="s">
        <v>151</v>
      </c>
      <c r="C28" s="432"/>
      <c r="D28" s="435">
        <v>8.09E-2</v>
      </c>
      <c r="E28" s="432"/>
      <c r="F28" s="431"/>
      <c r="G28" s="431"/>
      <c r="P28" s="32"/>
      <c r="Y28" s="109" t="s">
        <v>68</v>
      </c>
      <c r="Z28" s="119">
        <v>2</v>
      </c>
      <c r="AA28" s="120" t="s">
        <v>102</v>
      </c>
      <c r="AB28" s="120" t="s">
        <v>152</v>
      </c>
      <c r="AC28" s="110"/>
      <c r="AD28" s="118">
        <v>69</v>
      </c>
      <c r="AE28" s="118">
        <v>71</v>
      </c>
      <c r="AF28" s="109" t="s">
        <v>79</v>
      </c>
    </row>
    <row r="29" spans="1:32" ht="15" x14ac:dyDescent="0.2">
      <c r="A29" s="433" t="s">
        <v>153</v>
      </c>
      <c r="B29" s="436" t="s">
        <v>154</v>
      </c>
      <c r="C29" s="433" t="s">
        <v>155</v>
      </c>
      <c r="D29" s="431"/>
      <c r="E29" s="431"/>
      <c r="F29" s="433" t="s">
        <v>156</v>
      </c>
      <c r="G29" s="433" t="s">
        <v>157</v>
      </c>
      <c r="P29" s="32"/>
      <c r="Y29" s="109" t="s">
        <v>68</v>
      </c>
      <c r="Z29" s="119">
        <v>77</v>
      </c>
      <c r="AA29" s="120" t="s">
        <v>133</v>
      </c>
      <c r="AB29" s="120" t="s">
        <v>158</v>
      </c>
      <c r="AC29" s="110"/>
      <c r="AD29" s="118">
        <v>65</v>
      </c>
      <c r="AE29" s="118">
        <v>68</v>
      </c>
      <c r="AF29" s="109" t="s">
        <v>86</v>
      </c>
    </row>
    <row r="30" spans="1:32" ht="15" x14ac:dyDescent="0.2">
      <c r="A30" s="431"/>
      <c r="B30" s="434" t="s">
        <v>159</v>
      </c>
      <c r="C30" s="437">
        <v>10.956899999999999</v>
      </c>
      <c r="D30" s="438">
        <f>C30/100</f>
        <v>0.10956899999999999</v>
      </c>
      <c r="E30" s="431"/>
      <c r="F30" s="434" t="s">
        <v>160</v>
      </c>
      <c r="G30" s="439">
        <v>1.3986700000000001</v>
      </c>
      <c r="I30" s="34" t="s">
        <v>161</v>
      </c>
      <c r="P30" s="32"/>
      <c r="Y30" s="109" t="s">
        <v>68</v>
      </c>
      <c r="Z30" s="119">
        <v>15</v>
      </c>
      <c r="AA30" s="120" t="s">
        <v>87</v>
      </c>
      <c r="AB30" s="120" t="s">
        <v>162</v>
      </c>
      <c r="AC30" s="110"/>
      <c r="AD30" s="118">
        <v>73</v>
      </c>
      <c r="AE30" s="118">
        <v>78</v>
      </c>
      <c r="AF30" s="109" t="s">
        <v>68</v>
      </c>
    </row>
    <row r="31" spans="1:32" ht="15" x14ac:dyDescent="0.2">
      <c r="A31" s="431"/>
      <c r="B31" s="434" t="s">
        <v>163</v>
      </c>
      <c r="C31" s="437">
        <v>10.6685</v>
      </c>
      <c r="D31" s="438">
        <f t="shared" ref="D31:D48" si="0">C31/100</f>
        <v>0.106685</v>
      </c>
      <c r="E31" s="431"/>
      <c r="F31" s="434" t="s">
        <v>164</v>
      </c>
      <c r="G31" s="439">
        <v>0.96008000000000004</v>
      </c>
      <c r="I31" s="149">
        <v>0.05</v>
      </c>
      <c r="P31" s="32"/>
      <c r="Y31" s="109" t="s">
        <v>68</v>
      </c>
      <c r="Z31" s="119">
        <v>40</v>
      </c>
      <c r="AA31" s="120" t="s">
        <v>111</v>
      </c>
      <c r="AB31" s="120" t="s">
        <v>165</v>
      </c>
      <c r="AC31" s="110"/>
      <c r="AD31" s="118">
        <v>260</v>
      </c>
      <c r="AE31" s="118">
        <v>269</v>
      </c>
      <c r="AF31" s="109" t="s">
        <v>74</v>
      </c>
    </row>
    <row r="32" spans="1:32" ht="15" x14ac:dyDescent="0.2">
      <c r="A32" s="431"/>
      <c r="B32" s="434" t="s">
        <v>166</v>
      </c>
      <c r="C32" s="437">
        <v>8.5140999999999991</v>
      </c>
      <c r="D32" s="438">
        <f t="shared" si="0"/>
        <v>8.5140999999999994E-2</v>
      </c>
      <c r="E32" s="431"/>
      <c r="F32" s="434" t="s">
        <v>167</v>
      </c>
      <c r="G32" s="439">
        <v>0.94388000000000005</v>
      </c>
      <c r="I32" s="149">
        <v>0.1</v>
      </c>
      <c r="Y32" s="109" t="s">
        <v>68</v>
      </c>
      <c r="Z32" s="119">
        <v>41</v>
      </c>
      <c r="AA32" s="120" t="s">
        <v>111</v>
      </c>
      <c r="AB32" s="120" t="s">
        <v>168</v>
      </c>
      <c r="AC32" s="110"/>
      <c r="AD32" s="118">
        <v>244</v>
      </c>
      <c r="AE32" s="118">
        <v>253</v>
      </c>
      <c r="AF32" s="109" t="s">
        <v>74</v>
      </c>
    </row>
    <row r="33" spans="1:32" ht="15" x14ac:dyDescent="0.2">
      <c r="A33" s="431"/>
      <c r="B33" s="434" t="s">
        <v>169</v>
      </c>
      <c r="C33" s="437">
        <v>6.9987999999999992</v>
      </c>
      <c r="D33" s="438">
        <f t="shared" si="0"/>
        <v>6.9987999999999995E-2</v>
      </c>
      <c r="E33" s="431"/>
      <c r="F33" s="434" t="s">
        <v>170</v>
      </c>
      <c r="G33" s="439">
        <v>0.98514999999999997</v>
      </c>
      <c r="I33" s="149">
        <v>0.15</v>
      </c>
      <c r="Y33" s="109" t="s">
        <v>68</v>
      </c>
      <c r="Z33" s="119">
        <v>39</v>
      </c>
      <c r="AA33" s="120" t="s">
        <v>111</v>
      </c>
      <c r="AB33" s="120" t="s">
        <v>171</v>
      </c>
      <c r="AC33" s="110"/>
      <c r="AD33" s="118">
        <v>191</v>
      </c>
      <c r="AE33" s="118">
        <v>198</v>
      </c>
      <c r="AF33" s="109" t="s">
        <v>74</v>
      </c>
    </row>
    <row r="34" spans="1:32" ht="15" x14ac:dyDescent="0.2">
      <c r="A34" s="431"/>
      <c r="B34" s="434" t="s">
        <v>172</v>
      </c>
      <c r="C34" s="437">
        <v>7.1389999999999993</v>
      </c>
      <c r="D34" s="438">
        <f t="shared" si="0"/>
        <v>7.1389999999999995E-2</v>
      </c>
      <c r="E34" s="431"/>
      <c r="F34" s="434" t="s">
        <v>173</v>
      </c>
      <c r="G34" s="439">
        <v>0.91708000000000001</v>
      </c>
      <c r="I34" s="32"/>
      <c r="Y34" s="109" t="s">
        <v>68</v>
      </c>
      <c r="Z34" s="119">
        <v>42</v>
      </c>
      <c r="AA34" s="120" t="s">
        <v>111</v>
      </c>
      <c r="AB34" s="120" t="s">
        <v>174</v>
      </c>
      <c r="AC34" s="110"/>
      <c r="AD34" s="118">
        <v>184</v>
      </c>
      <c r="AE34" s="118">
        <v>189</v>
      </c>
      <c r="AF34" s="109" t="s">
        <v>74</v>
      </c>
    </row>
    <row r="35" spans="1:32" ht="15" x14ac:dyDescent="0.2">
      <c r="A35" s="431"/>
      <c r="B35" s="434" t="s">
        <v>175</v>
      </c>
      <c r="C35" s="437">
        <v>11.6258</v>
      </c>
      <c r="D35" s="438">
        <f t="shared" si="0"/>
        <v>0.116258</v>
      </c>
      <c r="E35" s="431"/>
      <c r="F35" s="434" t="s">
        <v>176</v>
      </c>
      <c r="G35" s="439">
        <v>0.91271000000000002</v>
      </c>
      <c r="I35" s="32"/>
      <c r="Y35" s="109" t="s">
        <v>68</v>
      </c>
      <c r="Z35" s="119">
        <v>43</v>
      </c>
      <c r="AA35" s="120" t="s">
        <v>111</v>
      </c>
      <c r="AB35" s="120" t="s">
        <v>177</v>
      </c>
      <c r="AC35" s="110"/>
      <c r="AD35" s="118">
        <v>427</v>
      </c>
      <c r="AE35" s="118">
        <v>454</v>
      </c>
      <c r="AF35" s="109" t="s">
        <v>113</v>
      </c>
    </row>
    <row r="36" spans="1:32" ht="15" x14ac:dyDescent="0.2">
      <c r="A36" s="431"/>
      <c r="B36" s="434" t="s">
        <v>178</v>
      </c>
      <c r="C36" s="437">
        <v>11.337400000000001</v>
      </c>
      <c r="D36" s="438">
        <f t="shared" si="0"/>
        <v>0.113374</v>
      </c>
      <c r="E36" s="431"/>
      <c r="F36" s="434" t="s">
        <v>179</v>
      </c>
      <c r="G36" s="439">
        <v>1.0382800000000001</v>
      </c>
      <c r="I36" s="32"/>
      <c r="Y36" s="109" t="s">
        <v>68</v>
      </c>
      <c r="Z36" s="119">
        <v>45</v>
      </c>
      <c r="AA36" s="120" t="s">
        <v>111</v>
      </c>
      <c r="AB36" s="120" t="s">
        <v>180</v>
      </c>
      <c r="AC36" s="110"/>
      <c r="AD36" s="118">
        <v>293</v>
      </c>
      <c r="AE36" s="118">
        <v>308</v>
      </c>
      <c r="AF36" s="109" t="s">
        <v>113</v>
      </c>
    </row>
    <row r="37" spans="1:32" ht="15" x14ac:dyDescent="0.2">
      <c r="A37" s="431"/>
      <c r="B37" s="434" t="s">
        <v>181</v>
      </c>
      <c r="C37" s="437">
        <v>9.1829999999999998</v>
      </c>
      <c r="D37" s="438">
        <f t="shared" si="0"/>
        <v>9.1829999999999995E-2</v>
      </c>
      <c r="E37" s="431"/>
      <c r="F37" s="434" t="s">
        <v>182</v>
      </c>
      <c r="G37" s="439">
        <v>0.98985000000000001</v>
      </c>
      <c r="I37" s="32"/>
      <c r="Y37" s="109" t="s">
        <v>68</v>
      </c>
      <c r="Z37" s="119">
        <v>44</v>
      </c>
      <c r="AA37" s="120" t="s">
        <v>111</v>
      </c>
      <c r="AB37" s="120" t="s">
        <v>183</v>
      </c>
      <c r="AC37" s="110"/>
      <c r="AD37" s="118">
        <v>361</v>
      </c>
      <c r="AE37" s="118">
        <v>378</v>
      </c>
      <c r="AF37" s="109" t="s">
        <v>113</v>
      </c>
    </row>
    <row r="38" spans="1:32" ht="15" x14ac:dyDescent="0.2">
      <c r="A38" s="431"/>
      <c r="B38" s="434" t="s">
        <v>184</v>
      </c>
      <c r="C38" s="437">
        <v>7.6677</v>
      </c>
      <c r="D38" s="438">
        <f t="shared" si="0"/>
        <v>7.6676999999999995E-2</v>
      </c>
      <c r="E38" s="431"/>
      <c r="F38" s="434" t="s">
        <v>185</v>
      </c>
      <c r="G38" s="439">
        <v>1.0911200000000001</v>
      </c>
      <c r="P38" s="32"/>
      <c r="Q38" s="32"/>
      <c r="R38" s="32"/>
      <c r="Y38" s="109" t="s">
        <v>68</v>
      </c>
      <c r="Z38" s="119">
        <v>51</v>
      </c>
      <c r="AA38" s="120" t="s">
        <v>84</v>
      </c>
      <c r="AB38" s="120" t="s">
        <v>186</v>
      </c>
      <c r="AC38" s="110"/>
      <c r="AD38" s="118">
        <v>215</v>
      </c>
      <c r="AE38" s="118">
        <v>215</v>
      </c>
      <c r="AF38" s="109" t="s">
        <v>187</v>
      </c>
    </row>
    <row r="39" spans="1:32" ht="15" x14ac:dyDescent="0.2">
      <c r="A39" s="431"/>
      <c r="B39" s="434" t="s">
        <v>188</v>
      </c>
      <c r="C39" s="437">
        <v>7.8078999999999992</v>
      </c>
      <c r="D39" s="438">
        <f t="shared" si="0"/>
        <v>7.8078999999999996E-2</v>
      </c>
      <c r="E39" s="431"/>
      <c r="F39" s="434" t="s">
        <v>189</v>
      </c>
      <c r="G39" s="439">
        <v>0.99497999999999998</v>
      </c>
      <c r="Q39" s="32"/>
      <c r="R39" s="32"/>
      <c r="Y39" s="109" t="s">
        <v>68</v>
      </c>
      <c r="Z39" s="119">
        <v>59</v>
      </c>
      <c r="AA39" s="120" t="s">
        <v>115</v>
      </c>
      <c r="AB39" s="120" t="s">
        <v>190</v>
      </c>
      <c r="AC39" s="110"/>
      <c r="AD39" s="118">
        <v>68</v>
      </c>
      <c r="AE39" s="118">
        <v>72</v>
      </c>
      <c r="AF39" s="109" t="s">
        <v>78</v>
      </c>
    </row>
    <row r="40" spans="1:32" ht="15" x14ac:dyDescent="0.2">
      <c r="A40" s="431"/>
      <c r="B40" s="434" t="s">
        <v>191</v>
      </c>
      <c r="C40" s="437">
        <v>9.9063999999999997</v>
      </c>
      <c r="D40" s="438">
        <f t="shared" si="0"/>
        <v>9.9063999999999999E-2</v>
      </c>
      <c r="E40" s="431"/>
      <c r="F40" s="434" t="s">
        <v>192</v>
      </c>
      <c r="G40" s="439">
        <v>0.94159999999999999</v>
      </c>
      <c r="Q40" s="32"/>
      <c r="R40" s="32"/>
      <c r="Y40" s="109" t="s">
        <v>113</v>
      </c>
      <c r="Z40" s="119">
        <v>60</v>
      </c>
      <c r="AA40" s="120" t="s">
        <v>115</v>
      </c>
      <c r="AB40" s="120" t="s">
        <v>193</v>
      </c>
      <c r="AC40" s="110"/>
      <c r="AD40" s="118">
        <v>74</v>
      </c>
      <c r="AE40" s="118">
        <v>77</v>
      </c>
      <c r="AF40" s="109" t="s">
        <v>78</v>
      </c>
    </row>
    <row r="41" spans="1:32" ht="15" x14ac:dyDescent="0.2">
      <c r="A41" s="431"/>
      <c r="B41" s="434" t="s">
        <v>194</v>
      </c>
      <c r="C41" s="437">
        <v>8.3537499999999998</v>
      </c>
      <c r="D41" s="438">
        <f t="shared" si="0"/>
        <v>8.3537500000000001E-2</v>
      </c>
      <c r="E41" s="431"/>
      <c r="F41" s="434" t="s">
        <v>195</v>
      </c>
      <c r="G41" s="439">
        <v>0.90808</v>
      </c>
      <c r="Q41" s="32"/>
      <c r="R41" s="32"/>
      <c r="Y41" s="109" t="s">
        <v>74</v>
      </c>
      <c r="Z41" s="119">
        <v>16</v>
      </c>
      <c r="AA41" s="120" t="s">
        <v>87</v>
      </c>
      <c r="AB41" s="120" t="s">
        <v>196</v>
      </c>
      <c r="AC41" s="110"/>
      <c r="AD41" s="118">
        <v>73</v>
      </c>
      <c r="AE41" s="118">
        <v>78</v>
      </c>
      <c r="AF41" s="109" t="s">
        <v>68</v>
      </c>
    </row>
    <row r="42" spans="1:32" ht="15" x14ac:dyDescent="0.2">
      <c r="A42" s="431"/>
      <c r="B42" s="434" t="s">
        <v>160</v>
      </c>
      <c r="C42" s="437">
        <v>7.4154999999999998</v>
      </c>
      <c r="D42" s="438">
        <f t="shared" si="0"/>
        <v>7.4154999999999999E-2</v>
      </c>
      <c r="E42" s="431"/>
      <c r="F42" s="434" t="s">
        <v>197</v>
      </c>
      <c r="G42" s="439">
        <v>0.89129999999999998</v>
      </c>
      <c r="Q42" s="32"/>
      <c r="R42" s="32"/>
      <c r="Y42" s="109" t="s">
        <v>74</v>
      </c>
      <c r="Z42" s="119">
        <v>17</v>
      </c>
      <c r="AA42" s="120" t="s">
        <v>87</v>
      </c>
      <c r="AB42" s="120" t="s">
        <v>198</v>
      </c>
      <c r="AC42" s="110"/>
      <c r="AD42" s="118">
        <v>67</v>
      </c>
      <c r="AE42" s="118">
        <v>70</v>
      </c>
      <c r="AF42" s="109" t="s">
        <v>68</v>
      </c>
    </row>
    <row r="43" spans="1:32" ht="15" x14ac:dyDescent="0.2">
      <c r="A43" s="431"/>
      <c r="B43" s="434" t="s">
        <v>199</v>
      </c>
      <c r="C43" s="437">
        <v>5.0739000000000001</v>
      </c>
      <c r="D43" s="438">
        <f t="shared" si="0"/>
        <v>5.0738999999999999E-2</v>
      </c>
      <c r="E43" s="431"/>
      <c r="F43" s="434" t="s">
        <v>200</v>
      </c>
      <c r="G43" s="439">
        <v>0.87458999999999998</v>
      </c>
      <c r="Q43" s="32"/>
      <c r="R43" s="32"/>
      <c r="Y43" s="109" t="s">
        <v>113</v>
      </c>
      <c r="Z43" s="119">
        <v>5</v>
      </c>
      <c r="AA43" s="120" t="s">
        <v>80</v>
      </c>
      <c r="AB43" s="120" t="s">
        <v>201</v>
      </c>
      <c r="AC43" s="110"/>
      <c r="AD43" s="118">
        <v>49</v>
      </c>
      <c r="AE43" s="118">
        <v>50</v>
      </c>
      <c r="AF43" s="109" t="s">
        <v>82</v>
      </c>
    </row>
    <row r="44" spans="1:32" ht="15" x14ac:dyDescent="0.2">
      <c r="A44" s="431"/>
      <c r="B44" s="434" t="s">
        <v>202</v>
      </c>
      <c r="C44" s="437">
        <v>5.1728999999999994</v>
      </c>
      <c r="D44" s="438">
        <f t="shared" si="0"/>
        <v>5.1728999999999997E-2</v>
      </c>
      <c r="E44" s="431"/>
      <c r="F44" s="431"/>
      <c r="G44" s="431"/>
      <c r="Q44" s="32"/>
      <c r="R44" s="32"/>
      <c r="S44" s="32"/>
      <c r="T44" s="32"/>
      <c r="U44" s="32"/>
      <c r="V44" s="32"/>
      <c r="W44" s="32"/>
      <c r="Y44" s="109" t="s">
        <v>74</v>
      </c>
      <c r="Z44" s="119">
        <v>6</v>
      </c>
      <c r="AA44" s="120" t="s">
        <v>80</v>
      </c>
      <c r="AB44" s="120" t="s">
        <v>203</v>
      </c>
      <c r="AC44" s="110"/>
      <c r="AD44" s="118">
        <v>48</v>
      </c>
      <c r="AE44" s="118">
        <v>49</v>
      </c>
      <c r="AF44" s="109" t="s">
        <v>82</v>
      </c>
    </row>
    <row r="45" spans="1:32" ht="15" x14ac:dyDescent="0.2">
      <c r="A45" s="431"/>
      <c r="B45" s="434" t="s">
        <v>204</v>
      </c>
      <c r="C45" s="437">
        <v>5.3848000000000003</v>
      </c>
      <c r="D45" s="438">
        <f t="shared" si="0"/>
        <v>5.3848E-2</v>
      </c>
      <c r="E45" s="431"/>
      <c r="F45" s="431"/>
      <c r="G45" s="431"/>
      <c r="Q45" s="32"/>
      <c r="R45" s="32"/>
      <c r="S45" s="32"/>
      <c r="T45" s="32"/>
      <c r="U45" s="32"/>
      <c r="V45" s="32"/>
      <c r="W45" s="32"/>
      <c r="Y45" s="109" t="s">
        <v>74</v>
      </c>
      <c r="Z45" s="119">
        <v>101</v>
      </c>
      <c r="AA45" s="120" t="s">
        <v>137</v>
      </c>
      <c r="AB45" s="120" t="s">
        <v>205</v>
      </c>
      <c r="AC45" s="110"/>
      <c r="AD45" s="118">
        <v>237</v>
      </c>
      <c r="AE45" s="118">
        <v>249</v>
      </c>
      <c r="AF45" s="109" t="s">
        <v>187</v>
      </c>
    </row>
    <row r="46" spans="1:32" ht="15" x14ac:dyDescent="0.2">
      <c r="A46" s="16"/>
      <c r="B46" s="434" t="s">
        <v>206</v>
      </c>
      <c r="C46" s="437">
        <v>7.5389999999999997</v>
      </c>
      <c r="D46" s="438">
        <f t="shared" si="0"/>
        <v>7.5389999999999999E-2</v>
      </c>
      <c r="E46" s="431"/>
      <c r="F46" s="431"/>
      <c r="G46" s="431"/>
      <c r="Q46" s="32"/>
      <c r="R46" s="32"/>
      <c r="S46" s="32"/>
      <c r="T46" s="32"/>
      <c r="U46" s="32"/>
      <c r="V46" s="32"/>
      <c r="W46" s="32"/>
      <c r="Y46" s="109" t="s">
        <v>74</v>
      </c>
      <c r="Z46" s="119">
        <v>78</v>
      </c>
      <c r="AA46" s="120" t="s">
        <v>133</v>
      </c>
      <c r="AB46" s="120" t="s">
        <v>207</v>
      </c>
      <c r="AC46" s="110"/>
      <c r="AD46" s="118">
        <v>56</v>
      </c>
      <c r="AE46" s="118">
        <v>59</v>
      </c>
      <c r="AF46" s="109" t="s">
        <v>86</v>
      </c>
    </row>
    <row r="47" spans="1:32" ht="15" x14ac:dyDescent="0.2">
      <c r="A47" s="29"/>
      <c r="B47" s="434" t="s">
        <v>208</v>
      </c>
      <c r="C47" s="437">
        <v>6.2344999999999997</v>
      </c>
      <c r="D47" s="438">
        <f t="shared" si="0"/>
        <v>6.2344999999999998E-2</v>
      </c>
      <c r="E47" s="431"/>
      <c r="F47" s="431"/>
      <c r="G47" s="431"/>
      <c r="P47" s="32"/>
      <c r="Q47" s="32"/>
      <c r="R47" s="32"/>
      <c r="S47" s="32"/>
      <c r="T47" s="32"/>
      <c r="U47" s="32"/>
      <c r="V47" s="32"/>
      <c r="W47" s="32"/>
      <c r="Y47" s="109" t="s">
        <v>74</v>
      </c>
      <c r="Z47" s="119">
        <v>93</v>
      </c>
      <c r="AA47" s="120" t="s">
        <v>93</v>
      </c>
      <c r="AB47" s="120" t="s">
        <v>209</v>
      </c>
      <c r="AC47" s="119">
        <v>4</v>
      </c>
      <c r="AD47" s="150"/>
      <c r="AE47" s="150"/>
      <c r="AF47" s="109" t="s">
        <v>93</v>
      </c>
    </row>
    <row r="48" spans="1:32" x14ac:dyDescent="0.2">
      <c r="A48" s="29"/>
      <c r="B48" s="434" t="s">
        <v>210</v>
      </c>
      <c r="C48" s="437">
        <v>6.5240000000000009</v>
      </c>
      <c r="D48" s="438">
        <f t="shared" si="0"/>
        <v>6.5240000000000006E-2</v>
      </c>
      <c r="E48" s="431"/>
      <c r="F48" s="431"/>
      <c r="G48" s="431"/>
      <c r="Y48" s="109" t="s">
        <v>113</v>
      </c>
      <c r="Z48" s="119">
        <v>90</v>
      </c>
      <c r="AA48" s="120" t="s">
        <v>93</v>
      </c>
      <c r="AB48" s="120" t="s">
        <v>211</v>
      </c>
      <c r="AC48" s="119">
        <v>5</v>
      </c>
      <c r="AD48" s="118">
        <v>58</v>
      </c>
      <c r="AE48" s="118">
        <v>64</v>
      </c>
      <c r="AF48" s="109" t="s">
        <v>93</v>
      </c>
    </row>
    <row r="49" spans="1:32" ht="15" x14ac:dyDescent="0.2">
      <c r="A49" s="29"/>
      <c r="B49" s="29"/>
      <c r="C49" s="29"/>
      <c r="D49" s="431"/>
      <c r="E49" s="431"/>
      <c r="F49" s="431"/>
      <c r="G49" s="431"/>
      <c r="Y49" s="109" t="s">
        <v>113</v>
      </c>
      <c r="Z49" s="119">
        <v>91</v>
      </c>
      <c r="AA49" s="120" t="s">
        <v>93</v>
      </c>
      <c r="AB49" s="120" t="s">
        <v>212</v>
      </c>
      <c r="AC49" s="110"/>
      <c r="AD49" s="118">
        <v>55</v>
      </c>
      <c r="AE49" s="118">
        <v>62</v>
      </c>
      <c r="AF49" s="109" t="s">
        <v>93</v>
      </c>
    </row>
    <row r="50" spans="1:32" ht="15" x14ac:dyDescent="0.2">
      <c r="A50" s="431"/>
      <c r="B50" s="431"/>
      <c r="C50" s="431"/>
      <c r="D50" s="431"/>
      <c r="E50" s="431"/>
      <c r="F50" s="431"/>
      <c r="G50" s="431"/>
      <c r="Y50" s="109" t="s">
        <v>113</v>
      </c>
      <c r="Z50" s="119">
        <v>92</v>
      </c>
      <c r="AA50" s="120" t="s">
        <v>93</v>
      </c>
      <c r="AB50" s="120" t="s">
        <v>213</v>
      </c>
      <c r="AC50" s="110"/>
      <c r="AD50" s="118">
        <v>68</v>
      </c>
      <c r="AE50" s="118">
        <v>75</v>
      </c>
      <c r="AF50" s="109" t="s">
        <v>93</v>
      </c>
    </row>
    <row r="51" spans="1:32" ht="15" x14ac:dyDescent="0.2">
      <c r="A51" s="431"/>
      <c r="B51" s="431"/>
      <c r="C51" s="431"/>
      <c r="D51" s="431"/>
      <c r="E51" s="431"/>
      <c r="F51" s="431"/>
      <c r="G51" s="431"/>
      <c r="Y51" s="109" t="s">
        <v>113</v>
      </c>
      <c r="Z51" s="119">
        <v>79</v>
      </c>
      <c r="AA51" s="120" t="s">
        <v>133</v>
      </c>
      <c r="AB51" s="120" t="s">
        <v>214</v>
      </c>
      <c r="AC51" s="110"/>
      <c r="AD51" s="118">
        <v>51</v>
      </c>
      <c r="AE51" s="118">
        <v>54</v>
      </c>
      <c r="AF51" s="109" t="s">
        <v>86</v>
      </c>
    </row>
    <row r="52" spans="1:32" ht="38.25" x14ac:dyDescent="0.2">
      <c r="A52" s="426"/>
      <c r="B52" s="427" t="s">
        <v>215</v>
      </c>
      <c r="C52" s="427" t="s">
        <v>216</v>
      </c>
      <c r="D52" s="427" t="s">
        <v>217</v>
      </c>
      <c r="E52" s="427" t="s">
        <v>218</v>
      </c>
      <c r="F52" s="431"/>
      <c r="G52" s="431"/>
      <c r="Y52" s="109" t="s">
        <v>113</v>
      </c>
      <c r="Z52" s="119">
        <v>52</v>
      </c>
      <c r="AA52" s="120" t="s">
        <v>84</v>
      </c>
      <c r="AB52" s="120" t="s">
        <v>219</v>
      </c>
      <c r="AC52" s="119">
        <v>3</v>
      </c>
      <c r="AD52" s="118">
        <f>AD62</f>
        <v>60</v>
      </c>
      <c r="AE52" s="118">
        <f>AE62</f>
        <v>65</v>
      </c>
      <c r="AF52" s="109" t="s">
        <v>79</v>
      </c>
    </row>
    <row r="53" spans="1:32" x14ac:dyDescent="0.2">
      <c r="A53" s="428" t="s">
        <v>220</v>
      </c>
      <c r="B53" s="429">
        <v>6.8000000000000005E-2</v>
      </c>
      <c r="C53" s="429">
        <v>6.8000000000000005E-2</v>
      </c>
      <c r="D53" s="429">
        <v>6.8000000000000005E-2</v>
      </c>
      <c r="E53" s="429">
        <v>6.8000000000000005E-2</v>
      </c>
      <c r="F53" s="431"/>
      <c r="G53" s="431"/>
      <c r="Y53" s="109" t="s">
        <v>74</v>
      </c>
      <c r="Z53" s="119">
        <v>68</v>
      </c>
      <c r="AA53" s="120" t="s">
        <v>79</v>
      </c>
      <c r="AB53" s="120" t="s">
        <v>221</v>
      </c>
      <c r="AC53" s="119">
        <v>3</v>
      </c>
      <c r="AD53" s="118">
        <v>60</v>
      </c>
      <c r="AE53" s="118">
        <v>65</v>
      </c>
      <c r="AF53" s="109" t="s">
        <v>79</v>
      </c>
    </row>
    <row r="54" spans="1:32" x14ac:dyDescent="0.2">
      <c r="A54" s="428" t="s">
        <v>222</v>
      </c>
      <c r="B54" s="430">
        <v>0.15</v>
      </c>
      <c r="C54" s="430">
        <f>$B$3</f>
        <v>0.15</v>
      </c>
      <c r="D54" s="430">
        <f>$B$3</f>
        <v>0.15</v>
      </c>
      <c r="E54" s="430">
        <f>$B$3</f>
        <v>0.15</v>
      </c>
      <c r="F54" s="431"/>
      <c r="G54" s="431"/>
      <c r="W54" s="118" t="s">
        <v>225</v>
      </c>
      <c r="Y54" s="109" t="s">
        <v>93</v>
      </c>
      <c r="Z54" s="119">
        <v>67</v>
      </c>
      <c r="AA54" s="120" t="s">
        <v>223</v>
      </c>
      <c r="AB54" s="120" t="s">
        <v>224</v>
      </c>
      <c r="AC54" s="119">
        <v>4</v>
      </c>
      <c r="AD54" s="118" t="s">
        <v>676</v>
      </c>
      <c r="AE54" s="118" t="s">
        <v>676</v>
      </c>
      <c r="AF54" s="109" t="s">
        <v>86</v>
      </c>
    </row>
    <row r="55" spans="1:32" ht="15" x14ac:dyDescent="0.2">
      <c r="A55" s="431"/>
      <c r="B55" s="431"/>
      <c r="C55" s="431"/>
      <c r="D55" s="431"/>
      <c r="E55" s="431"/>
      <c r="F55" s="431"/>
      <c r="G55" s="431"/>
      <c r="Y55" s="109" t="s">
        <v>79</v>
      </c>
      <c r="Z55" s="119">
        <v>18</v>
      </c>
      <c r="AA55" s="120" t="s">
        <v>87</v>
      </c>
      <c r="AB55" s="120" t="s">
        <v>226</v>
      </c>
      <c r="AC55" s="110"/>
      <c r="AD55" s="118">
        <v>67</v>
      </c>
      <c r="AE55" s="118">
        <v>70</v>
      </c>
      <c r="AF55" s="109" t="s">
        <v>68</v>
      </c>
    </row>
    <row r="56" spans="1:32" ht="15" x14ac:dyDescent="0.2">
      <c r="A56" s="612" t="s">
        <v>227</v>
      </c>
      <c r="B56" s="613"/>
      <c r="C56" s="280">
        <v>1000</v>
      </c>
      <c r="D56" s="431"/>
      <c r="E56" s="431"/>
      <c r="F56" s="431"/>
      <c r="G56" s="431"/>
      <c r="Y56" s="109" t="s">
        <v>187</v>
      </c>
      <c r="Z56" s="119">
        <v>61</v>
      </c>
      <c r="AA56" s="120" t="s">
        <v>115</v>
      </c>
      <c r="AB56" s="120" t="s">
        <v>228</v>
      </c>
      <c r="AC56" s="110"/>
      <c r="AD56" s="118">
        <v>32</v>
      </c>
      <c r="AE56" s="118">
        <v>33</v>
      </c>
      <c r="AF56" s="109" t="s">
        <v>78</v>
      </c>
    </row>
    <row r="57" spans="1:32" ht="15" x14ac:dyDescent="0.2">
      <c r="A57" s="431"/>
      <c r="B57" s="431"/>
      <c r="C57" s="431"/>
      <c r="D57" s="431"/>
      <c r="E57" s="431"/>
      <c r="F57" s="431"/>
      <c r="G57" s="431"/>
      <c r="Y57" s="109" t="s">
        <v>79</v>
      </c>
      <c r="Z57" s="119">
        <v>19</v>
      </c>
      <c r="AA57" s="120" t="s">
        <v>87</v>
      </c>
      <c r="AB57" s="120" t="s">
        <v>229</v>
      </c>
      <c r="AC57" s="110"/>
      <c r="AD57" s="118">
        <v>67</v>
      </c>
      <c r="AE57" s="118">
        <v>70</v>
      </c>
      <c r="AF57" s="109" t="s">
        <v>68</v>
      </c>
    </row>
    <row r="58" spans="1:32" ht="15" x14ac:dyDescent="0.2">
      <c r="A58" s="431"/>
      <c r="B58" s="431"/>
      <c r="C58" s="431"/>
      <c r="D58" s="431"/>
      <c r="E58" s="431"/>
      <c r="F58" s="431"/>
      <c r="G58" s="431"/>
      <c r="Y58" s="109" t="s">
        <v>187</v>
      </c>
      <c r="Z58" s="119">
        <v>112</v>
      </c>
      <c r="AA58" s="120" t="s">
        <v>141</v>
      </c>
      <c r="AB58" s="120" t="s">
        <v>230</v>
      </c>
      <c r="AC58" s="110"/>
      <c r="AD58" s="118">
        <v>36</v>
      </c>
      <c r="AE58" s="118">
        <v>44</v>
      </c>
      <c r="AF58" s="109" t="s">
        <v>114</v>
      </c>
    </row>
    <row r="59" spans="1:32" ht="15" x14ac:dyDescent="0.2">
      <c r="A59" s="431"/>
      <c r="B59" s="431"/>
      <c r="C59" s="431"/>
      <c r="D59" s="431"/>
      <c r="E59" s="431"/>
      <c r="F59" s="431"/>
      <c r="G59" s="431"/>
      <c r="Y59" s="109" t="s">
        <v>79</v>
      </c>
      <c r="Z59" s="119">
        <v>69</v>
      </c>
      <c r="AA59" s="120" t="s">
        <v>79</v>
      </c>
      <c r="AB59" s="120" t="s">
        <v>231</v>
      </c>
      <c r="AC59" s="110"/>
      <c r="AD59" s="118">
        <v>63</v>
      </c>
      <c r="AE59" s="118">
        <v>66</v>
      </c>
      <c r="AF59" s="109" t="s">
        <v>79</v>
      </c>
    </row>
    <row r="60" spans="1:32" ht="15" x14ac:dyDescent="0.2">
      <c r="A60" s="431"/>
      <c r="B60" s="431"/>
      <c r="C60" s="431"/>
      <c r="D60" s="431"/>
      <c r="E60" s="431"/>
      <c r="F60" s="431"/>
      <c r="G60" s="431"/>
      <c r="Y60" s="109" t="s">
        <v>92</v>
      </c>
      <c r="Z60" s="119">
        <v>70</v>
      </c>
      <c r="AA60" s="120" t="s">
        <v>79</v>
      </c>
      <c r="AB60" s="120" t="s">
        <v>232</v>
      </c>
      <c r="AC60" s="110"/>
      <c r="AD60" s="118">
        <v>69</v>
      </c>
      <c r="AE60" s="118">
        <v>71</v>
      </c>
      <c r="AF60" s="109" t="s">
        <v>79</v>
      </c>
    </row>
    <row r="61" spans="1:32" ht="15" x14ac:dyDescent="0.2">
      <c r="Y61" s="109" t="s">
        <v>92</v>
      </c>
      <c r="Z61" s="119">
        <v>71</v>
      </c>
      <c r="AA61" s="120" t="s">
        <v>79</v>
      </c>
      <c r="AB61" s="120" t="s">
        <v>233</v>
      </c>
      <c r="AC61" s="110"/>
      <c r="AD61" s="118">
        <v>66</v>
      </c>
      <c r="AE61" s="118">
        <v>69</v>
      </c>
      <c r="AF61" s="109" t="s">
        <v>79</v>
      </c>
    </row>
    <row r="62" spans="1:32" x14ac:dyDescent="0.2">
      <c r="Y62" s="109" t="s">
        <v>79</v>
      </c>
      <c r="Z62" s="119">
        <v>72</v>
      </c>
      <c r="AA62" s="120" t="s">
        <v>79</v>
      </c>
      <c r="AB62" s="120" t="s">
        <v>234</v>
      </c>
      <c r="AC62" s="119">
        <v>3</v>
      </c>
      <c r="AD62" s="118">
        <v>60</v>
      </c>
      <c r="AE62" s="118">
        <v>65</v>
      </c>
      <c r="AF62" s="109" t="s">
        <v>79</v>
      </c>
    </row>
    <row r="63" spans="1:32" ht="15" x14ac:dyDescent="0.2">
      <c r="Y63" s="109" t="s">
        <v>78</v>
      </c>
      <c r="Z63" s="119">
        <v>73</v>
      </c>
      <c r="AA63" s="120" t="s">
        <v>79</v>
      </c>
      <c r="AB63" s="120" t="s">
        <v>235</v>
      </c>
      <c r="AC63" s="110"/>
      <c r="AD63" s="118">
        <v>66</v>
      </c>
      <c r="AE63" s="118">
        <v>68</v>
      </c>
      <c r="AF63" s="109" t="s">
        <v>79</v>
      </c>
    </row>
    <row r="64" spans="1:32" ht="15" x14ac:dyDescent="0.2">
      <c r="Y64" s="109" t="s">
        <v>78</v>
      </c>
      <c r="Z64" s="119">
        <v>9</v>
      </c>
      <c r="AA64" s="120" t="s">
        <v>80</v>
      </c>
      <c r="AB64" s="120" t="s">
        <v>236</v>
      </c>
      <c r="AC64" s="110"/>
      <c r="AD64" s="118">
        <v>49</v>
      </c>
      <c r="AE64" s="118">
        <v>51</v>
      </c>
      <c r="AF64" s="109" t="s">
        <v>82</v>
      </c>
    </row>
    <row r="65" spans="23:32" ht="25.5" x14ac:dyDescent="0.2">
      <c r="Y65" s="109" t="s">
        <v>78</v>
      </c>
      <c r="Z65" s="119">
        <v>28</v>
      </c>
      <c r="AA65" s="120" t="s">
        <v>87</v>
      </c>
      <c r="AB65" s="120" t="s">
        <v>237</v>
      </c>
      <c r="AC65" s="110"/>
      <c r="AD65" s="118">
        <v>67</v>
      </c>
      <c r="AE65" s="118">
        <v>70</v>
      </c>
      <c r="AF65" s="109" t="s">
        <v>68</v>
      </c>
    </row>
    <row r="66" spans="23:32" ht="25.5" x14ac:dyDescent="0.2">
      <c r="Y66" s="109" t="s">
        <v>78</v>
      </c>
      <c r="Z66" s="119">
        <v>30</v>
      </c>
      <c r="AA66" s="120" t="s">
        <v>87</v>
      </c>
      <c r="AB66" s="120" t="s">
        <v>238</v>
      </c>
      <c r="AC66" s="110"/>
      <c r="AD66" s="118">
        <v>55</v>
      </c>
      <c r="AE66" s="118">
        <v>59</v>
      </c>
      <c r="AF66" s="109" t="s">
        <v>68</v>
      </c>
    </row>
    <row r="67" spans="23:32" ht="15" x14ac:dyDescent="0.2">
      <c r="Y67" s="109" t="s">
        <v>78</v>
      </c>
      <c r="Z67" s="119">
        <v>31</v>
      </c>
      <c r="AA67" s="120" t="s">
        <v>87</v>
      </c>
      <c r="AB67" s="120" t="s">
        <v>239</v>
      </c>
      <c r="AC67" s="110"/>
      <c r="AD67" s="118">
        <v>73</v>
      </c>
      <c r="AE67" s="118">
        <v>78</v>
      </c>
      <c r="AF67" s="109" t="s">
        <v>68</v>
      </c>
    </row>
    <row r="68" spans="23:32" ht="15" x14ac:dyDescent="0.2">
      <c r="Y68" s="109" t="s">
        <v>78</v>
      </c>
      <c r="Z68" s="119">
        <v>32</v>
      </c>
      <c r="AA68" s="120" t="s">
        <v>87</v>
      </c>
      <c r="AB68" s="120" t="s">
        <v>240</v>
      </c>
      <c r="AC68" s="110"/>
      <c r="AD68" s="118">
        <v>50</v>
      </c>
      <c r="AE68" s="118">
        <v>52</v>
      </c>
      <c r="AF68" s="109" t="s">
        <v>68</v>
      </c>
    </row>
    <row r="69" spans="23:32" ht="25.5" x14ac:dyDescent="0.2">
      <c r="Y69" s="109" t="s">
        <v>78</v>
      </c>
      <c r="Z69" s="119">
        <v>29</v>
      </c>
      <c r="AA69" s="120" t="s">
        <v>87</v>
      </c>
      <c r="AB69" s="120" t="s">
        <v>241</v>
      </c>
      <c r="AC69" s="110"/>
      <c r="AD69" s="118">
        <v>56</v>
      </c>
      <c r="AE69" s="118">
        <v>59</v>
      </c>
      <c r="AF69" s="109" t="s">
        <v>68</v>
      </c>
    </row>
    <row r="70" spans="23:32" ht="15" x14ac:dyDescent="0.2">
      <c r="Y70" s="109" t="s">
        <v>92</v>
      </c>
      <c r="Z70" s="119">
        <v>66</v>
      </c>
      <c r="AA70" s="120" t="s">
        <v>115</v>
      </c>
      <c r="AB70" s="120" t="s">
        <v>242</v>
      </c>
      <c r="AC70" s="110"/>
      <c r="AD70" s="118">
        <v>71</v>
      </c>
      <c r="AE70" s="118">
        <v>74</v>
      </c>
      <c r="AF70" s="109" t="s">
        <v>78</v>
      </c>
    </row>
    <row r="71" spans="23:32" ht="15" x14ac:dyDescent="0.2">
      <c r="Y71" s="109" t="s">
        <v>92</v>
      </c>
      <c r="Z71" s="119">
        <v>75</v>
      </c>
      <c r="AA71" s="120" t="s">
        <v>79</v>
      </c>
      <c r="AB71" s="120" t="s">
        <v>243</v>
      </c>
      <c r="AC71" s="110"/>
      <c r="AD71" s="118">
        <v>66</v>
      </c>
      <c r="AE71" s="118">
        <v>68</v>
      </c>
      <c r="AF71" s="109" t="s">
        <v>79</v>
      </c>
    </row>
    <row r="72" spans="23:32" ht="15" x14ac:dyDescent="0.2">
      <c r="Y72" s="109" t="s">
        <v>86</v>
      </c>
      <c r="Z72" s="119">
        <v>84</v>
      </c>
      <c r="AA72" s="120" t="s">
        <v>133</v>
      </c>
      <c r="AB72" s="120" t="s">
        <v>244</v>
      </c>
      <c r="AC72" s="110"/>
      <c r="AD72" s="118">
        <v>66</v>
      </c>
      <c r="AE72" s="118">
        <v>69</v>
      </c>
      <c r="AF72" s="109" t="s">
        <v>86</v>
      </c>
    </row>
    <row r="73" spans="23:32" ht="15" x14ac:dyDescent="0.2">
      <c r="Y73" s="109" t="s">
        <v>79</v>
      </c>
      <c r="Z73" s="119">
        <v>33</v>
      </c>
      <c r="AA73" s="120" t="s">
        <v>87</v>
      </c>
      <c r="AB73" s="120" t="s">
        <v>245</v>
      </c>
      <c r="AC73" s="110"/>
      <c r="AD73" s="118">
        <v>73</v>
      </c>
      <c r="AE73" s="118">
        <v>78</v>
      </c>
      <c r="AF73" s="109" t="s">
        <v>68</v>
      </c>
    </row>
    <row r="74" spans="23:32" ht="15" x14ac:dyDescent="0.2">
      <c r="Y74" s="109" t="s">
        <v>79</v>
      </c>
      <c r="Z74" s="119">
        <v>49</v>
      </c>
      <c r="AA74" s="120" t="s">
        <v>111</v>
      </c>
      <c r="AB74" s="120" t="s">
        <v>246</v>
      </c>
      <c r="AC74" s="110"/>
      <c r="AD74" s="118">
        <v>361</v>
      </c>
      <c r="AE74" s="118">
        <v>378</v>
      </c>
      <c r="AF74" s="109" t="s">
        <v>113</v>
      </c>
    </row>
    <row r="75" spans="23:32" x14ac:dyDescent="0.2">
      <c r="W75" s="118" t="s">
        <v>225</v>
      </c>
      <c r="Y75" s="109" t="s">
        <v>79</v>
      </c>
      <c r="Z75" s="119">
        <v>99</v>
      </c>
      <c r="AA75" s="120" t="s">
        <v>93</v>
      </c>
      <c r="AB75" s="120" t="s">
        <v>247</v>
      </c>
      <c r="AC75" s="119">
        <v>4</v>
      </c>
      <c r="AD75" s="118" t="s">
        <v>676</v>
      </c>
      <c r="AE75" s="118" t="s">
        <v>676</v>
      </c>
      <c r="AF75" s="109" t="s">
        <v>93</v>
      </c>
    </row>
    <row r="76" spans="23:32" x14ac:dyDescent="0.2">
      <c r="Y76" s="109" t="s">
        <v>79</v>
      </c>
      <c r="Z76" s="119">
        <v>98</v>
      </c>
      <c r="AA76" s="120" t="s">
        <v>93</v>
      </c>
      <c r="AB76" s="120" t="s">
        <v>248</v>
      </c>
      <c r="AC76" s="119">
        <v>5</v>
      </c>
      <c r="AD76" s="118">
        <v>58</v>
      </c>
      <c r="AE76" s="118">
        <v>64</v>
      </c>
      <c r="AF76" s="109" t="s">
        <v>93</v>
      </c>
    </row>
    <row r="77" spans="23:32" ht="15" x14ac:dyDescent="0.2">
      <c r="Y77" s="109" t="s">
        <v>79</v>
      </c>
      <c r="Z77" s="119">
        <v>107</v>
      </c>
      <c r="AA77" s="120" t="s">
        <v>249</v>
      </c>
      <c r="AB77" s="120" t="s">
        <v>250</v>
      </c>
      <c r="AC77" s="110"/>
      <c r="AD77" s="118">
        <v>66</v>
      </c>
      <c r="AE77" s="118">
        <v>69</v>
      </c>
      <c r="AF77" s="109" t="s">
        <v>93</v>
      </c>
    </row>
    <row r="78" spans="23:32" ht="15" x14ac:dyDescent="0.2">
      <c r="Y78" s="109" t="s">
        <v>79</v>
      </c>
      <c r="Z78" s="119">
        <v>57</v>
      </c>
      <c r="AA78" s="120" t="s">
        <v>84</v>
      </c>
      <c r="AB78" s="120" t="s">
        <v>251</v>
      </c>
      <c r="AC78" s="110"/>
      <c r="AD78" s="118">
        <v>196</v>
      </c>
      <c r="AE78" s="118">
        <v>196</v>
      </c>
      <c r="AF78" s="109" t="s">
        <v>187</v>
      </c>
    </row>
    <row r="79" spans="23:32" ht="15" x14ac:dyDescent="0.2">
      <c r="Y79" s="109" t="s">
        <v>79</v>
      </c>
      <c r="Z79" s="119">
        <v>34</v>
      </c>
      <c r="AA79" s="120" t="s">
        <v>87</v>
      </c>
      <c r="AB79" s="120" t="s">
        <v>252</v>
      </c>
      <c r="AC79" s="110"/>
      <c r="AD79" s="118">
        <v>67</v>
      </c>
      <c r="AE79" s="118">
        <v>70</v>
      </c>
      <c r="AF79" s="109" t="s">
        <v>68</v>
      </c>
    </row>
    <row r="80" spans="23:32" ht="15" x14ac:dyDescent="0.2">
      <c r="Y80" s="109" t="s">
        <v>79</v>
      </c>
      <c r="Z80" s="119">
        <v>102</v>
      </c>
      <c r="AA80" s="120" t="s">
        <v>137</v>
      </c>
      <c r="AB80" s="120" t="s">
        <v>253</v>
      </c>
      <c r="AC80" s="110"/>
      <c r="AD80" s="118">
        <v>66</v>
      </c>
      <c r="AE80" s="118">
        <v>69</v>
      </c>
      <c r="AF80" s="109" t="s">
        <v>86</v>
      </c>
    </row>
    <row r="81" spans="25:32" ht="25.5" x14ac:dyDescent="0.2">
      <c r="Y81" s="109" t="s">
        <v>86</v>
      </c>
      <c r="Z81" s="119">
        <v>109</v>
      </c>
      <c r="AA81" s="120" t="s">
        <v>146</v>
      </c>
      <c r="AB81" s="120" t="s">
        <v>254</v>
      </c>
      <c r="AC81" s="119">
        <v>7</v>
      </c>
      <c r="AD81" s="118" t="s">
        <v>148</v>
      </c>
      <c r="AE81" s="118" t="s">
        <v>148</v>
      </c>
      <c r="AF81" s="109"/>
    </row>
    <row r="82" spans="25:32" ht="15" x14ac:dyDescent="0.2">
      <c r="Y82" s="109" t="s">
        <v>86</v>
      </c>
      <c r="Z82" s="119">
        <v>53</v>
      </c>
      <c r="AA82" s="120" t="s">
        <v>84</v>
      </c>
      <c r="AB82" s="120" t="s">
        <v>255</v>
      </c>
      <c r="AC82" s="110"/>
      <c r="AD82" s="118">
        <v>90</v>
      </c>
      <c r="AE82" s="118">
        <v>96</v>
      </c>
      <c r="AF82" s="109" t="s">
        <v>79</v>
      </c>
    </row>
    <row r="83" spans="25:32" ht="15" x14ac:dyDescent="0.2">
      <c r="Y83" s="109" t="s">
        <v>86</v>
      </c>
      <c r="Z83" s="119">
        <v>20</v>
      </c>
      <c r="AA83" s="120" t="s">
        <v>87</v>
      </c>
      <c r="AB83" s="120" t="s">
        <v>256</v>
      </c>
      <c r="AC83" s="110"/>
      <c r="AD83" s="118">
        <v>55</v>
      </c>
      <c r="AE83" s="118">
        <v>59</v>
      </c>
      <c r="AF83" s="109" t="s">
        <v>68</v>
      </c>
    </row>
    <row r="84" spans="25:32" ht="15" x14ac:dyDescent="0.2">
      <c r="Y84" s="109" t="s">
        <v>86</v>
      </c>
      <c r="Z84" s="119">
        <v>103</v>
      </c>
      <c r="AA84" s="120" t="s">
        <v>249</v>
      </c>
      <c r="AB84" s="120" t="s">
        <v>257</v>
      </c>
      <c r="AC84" s="110"/>
      <c r="AD84" s="118">
        <v>66</v>
      </c>
      <c r="AE84" s="118">
        <v>69</v>
      </c>
      <c r="AF84" s="109" t="s">
        <v>93</v>
      </c>
    </row>
    <row r="85" spans="25:32" ht="15" x14ac:dyDescent="0.2">
      <c r="Y85" s="109" t="s">
        <v>86</v>
      </c>
      <c r="Z85" s="119">
        <v>80</v>
      </c>
      <c r="AA85" s="120" t="s">
        <v>133</v>
      </c>
      <c r="AB85" s="120" t="s">
        <v>258</v>
      </c>
      <c r="AC85" s="110"/>
      <c r="AD85" s="118">
        <v>65</v>
      </c>
      <c r="AE85" s="118">
        <v>68</v>
      </c>
      <c r="AF85" s="109" t="s">
        <v>86</v>
      </c>
    </row>
    <row r="86" spans="25:32" ht="15" x14ac:dyDescent="0.2">
      <c r="Y86" s="109" t="s">
        <v>86</v>
      </c>
      <c r="Z86" s="119">
        <v>7</v>
      </c>
      <c r="AA86" s="120" t="s">
        <v>80</v>
      </c>
      <c r="AB86" s="120" t="s">
        <v>259</v>
      </c>
      <c r="AC86" s="110"/>
      <c r="AD86" s="118">
        <v>59</v>
      </c>
      <c r="AE86" s="118">
        <v>59</v>
      </c>
      <c r="AF86" s="109" t="s">
        <v>82</v>
      </c>
    </row>
    <row r="87" spans="25:32" ht="15" x14ac:dyDescent="0.2">
      <c r="Y87" s="109" t="s">
        <v>86</v>
      </c>
      <c r="Z87" s="119">
        <v>62</v>
      </c>
      <c r="AA87" s="120" t="s">
        <v>115</v>
      </c>
      <c r="AB87" s="120" t="s">
        <v>260</v>
      </c>
      <c r="AC87" s="110"/>
      <c r="AD87" s="118">
        <v>101</v>
      </c>
      <c r="AE87" s="118">
        <v>106</v>
      </c>
      <c r="AF87" s="109" t="s">
        <v>78</v>
      </c>
    </row>
    <row r="88" spans="25:32" ht="15" x14ac:dyDescent="0.2">
      <c r="Y88" s="109" t="s">
        <v>86</v>
      </c>
      <c r="Z88" s="119">
        <v>81</v>
      </c>
      <c r="AA88" s="120" t="s">
        <v>133</v>
      </c>
      <c r="AB88" s="120" t="s">
        <v>260</v>
      </c>
      <c r="AC88" s="110"/>
      <c r="AD88" s="118">
        <v>101</v>
      </c>
      <c r="AE88" s="118">
        <v>106</v>
      </c>
      <c r="AF88" s="109" t="s">
        <v>86</v>
      </c>
    </row>
    <row r="89" spans="25:32" ht="15" x14ac:dyDescent="0.2">
      <c r="Y89" s="109" t="s">
        <v>86</v>
      </c>
      <c r="Z89" s="119">
        <v>21</v>
      </c>
      <c r="AA89" s="120" t="s">
        <v>87</v>
      </c>
      <c r="AB89" s="120" t="s">
        <v>261</v>
      </c>
      <c r="AC89" s="110"/>
      <c r="AD89" s="118">
        <v>67</v>
      </c>
      <c r="AE89" s="118">
        <v>70</v>
      </c>
      <c r="AF89" s="109" t="s">
        <v>68</v>
      </c>
    </row>
    <row r="90" spans="25:32" ht="15" x14ac:dyDescent="0.2">
      <c r="Y90" s="109" t="s">
        <v>68</v>
      </c>
      <c r="Z90" s="119">
        <v>113</v>
      </c>
      <c r="AA90" s="120" t="s">
        <v>141</v>
      </c>
      <c r="AB90" s="120" t="s">
        <v>262</v>
      </c>
      <c r="AC90" s="110"/>
      <c r="AD90" s="118">
        <v>121</v>
      </c>
      <c r="AE90" s="118">
        <v>126</v>
      </c>
      <c r="AF90" s="109" t="s">
        <v>114</v>
      </c>
    </row>
    <row r="91" spans="25:32" ht="15" x14ac:dyDescent="0.2">
      <c r="Y91" s="109" t="s">
        <v>93</v>
      </c>
      <c r="Z91" s="119">
        <v>104</v>
      </c>
      <c r="AA91" s="120" t="s">
        <v>249</v>
      </c>
      <c r="AB91" s="120" t="s">
        <v>263</v>
      </c>
      <c r="AC91" s="110"/>
      <c r="AD91" s="118">
        <v>36</v>
      </c>
      <c r="AE91" s="118">
        <v>39</v>
      </c>
      <c r="AF91" s="109" t="s">
        <v>93</v>
      </c>
    </row>
    <row r="92" spans="25:32" ht="15" x14ac:dyDescent="0.2">
      <c r="Y92" s="109" t="s">
        <v>74</v>
      </c>
      <c r="Z92" s="119">
        <v>105</v>
      </c>
      <c r="AA92" s="120" t="s">
        <v>249</v>
      </c>
      <c r="AB92" s="120" t="s">
        <v>264</v>
      </c>
      <c r="AC92" s="110"/>
      <c r="AD92" s="118">
        <v>60</v>
      </c>
      <c r="AE92" s="118">
        <v>64</v>
      </c>
      <c r="AF92" s="109" t="s">
        <v>93</v>
      </c>
    </row>
    <row r="93" spans="25:32" ht="15" x14ac:dyDescent="0.2">
      <c r="Y93" s="109" t="s">
        <v>74</v>
      </c>
      <c r="Z93" s="119">
        <v>106</v>
      </c>
      <c r="AA93" s="120" t="s">
        <v>249</v>
      </c>
      <c r="AB93" s="120" t="s">
        <v>265</v>
      </c>
      <c r="AC93" s="110"/>
      <c r="AD93" s="118">
        <v>41</v>
      </c>
      <c r="AE93" s="118">
        <v>44</v>
      </c>
      <c r="AF93" s="109" t="s">
        <v>93</v>
      </c>
    </row>
    <row r="94" spans="25:32" ht="15" x14ac:dyDescent="0.2">
      <c r="Y94" s="109" t="s">
        <v>93</v>
      </c>
      <c r="Z94" s="119">
        <v>63</v>
      </c>
      <c r="AA94" s="120" t="s">
        <v>115</v>
      </c>
      <c r="AB94" s="120" t="s">
        <v>266</v>
      </c>
      <c r="AC94" s="110"/>
      <c r="AD94" s="118">
        <v>88</v>
      </c>
      <c r="AE94" s="118">
        <v>90</v>
      </c>
      <c r="AF94" s="109" t="s">
        <v>78</v>
      </c>
    </row>
    <row r="95" spans="25:32" ht="15" x14ac:dyDescent="0.2">
      <c r="Y95" s="109" t="s">
        <v>93</v>
      </c>
      <c r="Z95" s="119">
        <v>54</v>
      </c>
      <c r="AA95" s="120" t="s">
        <v>84</v>
      </c>
      <c r="AB95" s="120" t="s">
        <v>267</v>
      </c>
      <c r="AC95" s="110"/>
      <c r="AD95" s="118">
        <v>78</v>
      </c>
      <c r="AE95" s="118">
        <v>82</v>
      </c>
      <c r="AF95" s="109" t="s">
        <v>92</v>
      </c>
    </row>
    <row r="96" spans="25:32" ht="15" x14ac:dyDescent="0.2">
      <c r="Y96" s="109" t="s">
        <v>93</v>
      </c>
      <c r="Z96" s="119">
        <v>64</v>
      </c>
      <c r="AA96" s="120" t="s">
        <v>115</v>
      </c>
      <c r="AB96" s="120" t="s">
        <v>267</v>
      </c>
      <c r="AC96" s="110"/>
      <c r="AD96" s="118">
        <v>78</v>
      </c>
      <c r="AE96" s="118">
        <v>82</v>
      </c>
      <c r="AF96" s="109" t="s">
        <v>92</v>
      </c>
    </row>
    <row r="97" spans="23:32" ht="15" x14ac:dyDescent="0.2">
      <c r="Y97" s="109" t="s">
        <v>93</v>
      </c>
      <c r="Z97" s="119">
        <v>46</v>
      </c>
      <c r="AA97" s="120" t="s">
        <v>111</v>
      </c>
      <c r="AB97" s="120" t="s">
        <v>113</v>
      </c>
      <c r="AC97" s="110"/>
      <c r="AD97" s="118">
        <v>361</v>
      </c>
      <c r="AE97" s="118">
        <v>378</v>
      </c>
      <c r="AF97" s="109" t="s">
        <v>113</v>
      </c>
    </row>
    <row r="98" spans="23:32" ht="15" x14ac:dyDescent="0.2">
      <c r="Y98" s="109" t="s">
        <v>93</v>
      </c>
      <c r="Z98" s="119">
        <v>94</v>
      </c>
      <c r="AA98" s="120" t="s">
        <v>93</v>
      </c>
      <c r="AB98" s="120" t="s">
        <v>268</v>
      </c>
      <c r="AC98" s="110"/>
      <c r="AD98" s="118">
        <v>68</v>
      </c>
      <c r="AE98" s="118">
        <v>75</v>
      </c>
      <c r="AF98" s="109" t="s">
        <v>93</v>
      </c>
    </row>
    <row r="99" spans="23:32" ht="15" x14ac:dyDescent="0.2">
      <c r="Y99" s="109" t="s">
        <v>93</v>
      </c>
      <c r="Z99" s="119">
        <v>22</v>
      </c>
      <c r="AA99" s="120" t="s">
        <v>87</v>
      </c>
      <c r="AB99" s="120" t="s">
        <v>269</v>
      </c>
      <c r="AC99" s="110"/>
      <c r="AD99" s="118">
        <v>73</v>
      </c>
      <c r="AE99" s="118">
        <v>78</v>
      </c>
      <c r="AF99" s="109" t="s">
        <v>68</v>
      </c>
    </row>
    <row r="100" spans="23:32" ht="15" x14ac:dyDescent="0.2">
      <c r="Y100" s="109" t="s">
        <v>93</v>
      </c>
      <c r="Z100" s="119">
        <v>110</v>
      </c>
      <c r="AA100" s="120" t="s">
        <v>141</v>
      </c>
      <c r="AB100" s="120" t="s">
        <v>270</v>
      </c>
      <c r="AC100" s="110"/>
      <c r="AD100" s="118">
        <v>36</v>
      </c>
      <c r="AE100" s="118">
        <v>44</v>
      </c>
      <c r="AF100" s="109" t="s">
        <v>114</v>
      </c>
    </row>
    <row r="101" spans="23:32" ht="15" x14ac:dyDescent="0.2">
      <c r="Y101" s="109" t="s">
        <v>93</v>
      </c>
      <c r="Z101" s="119">
        <v>55</v>
      </c>
      <c r="AA101" s="120" t="s">
        <v>84</v>
      </c>
      <c r="AB101" s="120" t="s">
        <v>271</v>
      </c>
      <c r="AC101" s="110"/>
      <c r="AD101" s="118">
        <v>78</v>
      </c>
      <c r="AE101" s="118">
        <v>82</v>
      </c>
      <c r="AF101" s="109" t="s">
        <v>92</v>
      </c>
    </row>
    <row r="102" spans="23:32" ht="15" x14ac:dyDescent="0.2">
      <c r="Y102" s="109" t="s">
        <v>93</v>
      </c>
      <c r="Z102" s="119">
        <v>65</v>
      </c>
      <c r="AA102" s="120" t="s">
        <v>115</v>
      </c>
      <c r="AB102" s="120" t="s">
        <v>271</v>
      </c>
      <c r="AC102" s="110"/>
      <c r="AD102" s="118">
        <v>78</v>
      </c>
      <c r="AE102" s="118">
        <v>82</v>
      </c>
      <c r="AF102" s="109" t="s">
        <v>92</v>
      </c>
    </row>
    <row r="103" spans="23:32" ht="15" x14ac:dyDescent="0.2">
      <c r="Y103" s="109" t="s">
        <v>272</v>
      </c>
      <c r="Z103" s="119">
        <v>23</v>
      </c>
      <c r="AA103" s="120" t="s">
        <v>87</v>
      </c>
      <c r="AB103" s="120" t="s">
        <v>273</v>
      </c>
      <c r="AC103" s="110"/>
      <c r="AD103" s="118">
        <v>50</v>
      </c>
      <c r="AE103" s="118">
        <v>52</v>
      </c>
      <c r="AF103" s="109" t="s">
        <v>68</v>
      </c>
    </row>
    <row r="104" spans="23:32" ht="15" x14ac:dyDescent="0.2">
      <c r="Y104" s="109" t="s">
        <v>93</v>
      </c>
      <c r="Z104" s="119">
        <v>82</v>
      </c>
      <c r="AA104" s="120" t="s">
        <v>133</v>
      </c>
      <c r="AB104" s="120" t="s">
        <v>273</v>
      </c>
      <c r="AC104" s="110"/>
      <c r="AD104" s="118">
        <v>50</v>
      </c>
      <c r="AE104" s="118">
        <v>52</v>
      </c>
      <c r="AF104" s="109" t="s">
        <v>86</v>
      </c>
    </row>
    <row r="105" spans="23:32" ht="15" x14ac:dyDescent="0.2">
      <c r="Y105" s="109" t="s">
        <v>93</v>
      </c>
      <c r="Z105" s="119">
        <v>24</v>
      </c>
      <c r="AA105" s="120" t="s">
        <v>87</v>
      </c>
      <c r="AB105" s="120" t="s">
        <v>274</v>
      </c>
      <c r="AC105" s="110"/>
      <c r="AD105" s="118">
        <v>67</v>
      </c>
      <c r="AE105" s="118">
        <v>70</v>
      </c>
      <c r="AF105" s="109" t="s">
        <v>68</v>
      </c>
    </row>
    <row r="106" spans="23:32" ht="15" x14ac:dyDescent="0.2">
      <c r="Y106" s="109" t="s">
        <v>93</v>
      </c>
      <c r="Z106" s="119">
        <v>25</v>
      </c>
      <c r="AA106" s="120" t="s">
        <v>87</v>
      </c>
      <c r="AB106" s="120" t="s">
        <v>275</v>
      </c>
      <c r="AC106" s="110"/>
      <c r="AD106" s="118">
        <v>67</v>
      </c>
      <c r="AE106" s="118">
        <v>70</v>
      </c>
      <c r="AF106" s="109" t="s">
        <v>68</v>
      </c>
    </row>
    <row r="107" spans="23:32" x14ac:dyDescent="0.2">
      <c r="W107" s="118" t="s">
        <v>225</v>
      </c>
      <c r="Y107" s="109" t="s">
        <v>93</v>
      </c>
      <c r="Z107" s="119">
        <v>95</v>
      </c>
      <c r="AA107" s="120" t="s">
        <v>93</v>
      </c>
      <c r="AB107" s="120" t="s">
        <v>276</v>
      </c>
      <c r="AC107" s="119">
        <v>4</v>
      </c>
      <c r="AD107" s="118" t="s">
        <v>676</v>
      </c>
      <c r="AE107" s="118" t="s">
        <v>676</v>
      </c>
      <c r="AF107" s="109" t="s">
        <v>93</v>
      </c>
    </row>
    <row r="108" spans="23:32" ht="15" x14ac:dyDescent="0.2">
      <c r="Y108" s="109" t="s">
        <v>93</v>
      </c>
      <c r="Z108" s="119">
        <v>47</v>
      </c>
      <c r="AA108" s="120" t="s">
        <v>111</v>
      </c>
      <c r="AB108" s="120" t="s">
        <v>277</v>
      </c>
      <c r="AC108" s="110"/>
      <c r="AD108" s="118">
        <v>191</v>
      </c>
      <c r="AE108" s="118">
        <v>198</v>
      </c>
      <c r="AF108" s="109" t="s">
        <v>74</v>
      </c>
    </row>
    <row r="109" spans="23:32" ht="15" x14ac:dyDescent="0.2">
      <c r="Y109" s="109" t="s">
        <v>93</v>
      </c>
      <c r="Z109" s="119">
        <v>96</v>
      </c>
      <c r="AA109" s="120" t="s">
        <v>93</v>
      </c>
      <c r="AB109" s="120" t="s">
        <v>277</v>
      </c>
      <c r="AC109" s="110"/>
      <c r="AD109" s="118">
        <v>191</v>
      </c>
      <c r="AE109" s="118">
        <v>198</v>
      </c>
      <c r="AF109" s="109" t="s">
        <v>74</v>
      </c>
    </row>
    <row r="110" spans="23:32" ht="15" x14ac:dyDescent="0.2">
      <c r="Y110" s="109" t="s">
        <v>86</v>
      </c>
      <c r="Z110" s="119">
        <v>26</v>
      </c>
      <c r="AA110" s="120" t="s">
        <v>87</v>
      </c>
      <c r="AB110" s="120" t="s">
        <v>278</v>
      </c>
      <c r="AC110" s="110"/>
      <c r="AD110" s="118">
        <v>73</v>
      </c>
      <c r="AE110" s="118">
        <v>78</v>
      </c>
      <c r="AF110" s="109" t="s">
        <v>68</v>
      </c>
    </row>
    <row r="111" spans="23:32" ht="15" x14ac:dyDescent="0.2">
      <c r="Y111" s="109" t="s">
        <v>187</v>
      </c>
      <c r="Z111" s="119">
        <v>83</v>
      </c>
      <c r="AA111" s="120" t="s">
        <v>133</v>
      </c>
      <c r="AB111" s="120" t="s">
        <v>279</v>
      </c>
      <c r="AC111" s="110"/>
      <c r="AD111" s="118">
        <v>55</v>
      </c>
      <c r="AE111" s="118">
        <v>59</v>
      </c>
      <c r="AF111" s="109" t="s">
        <v>86</v>
      </c>
    </row>
    <row r="112" spans="23:32" ht="15" x14ac:dyDescent="0.2">
      <c r="Y112" s="109" t="s">
        <v>86</v>
      </c>
      <c r="Z112" s="119">
        <v>56</v>
      </c>
      <c r="AA112" s="120" t="s">
        <v>84</v>
      </c>
      <c r="AB112" s="120" t="s">
        <v>280</v>
      </c>
      <c r="AC112" s="110"/>
      <c r="AD112" s="118">
        <v>90</v>
      </c>
      <c r="AE112" s="118">
        <v>96</v>
      </c>
      <c r="AF112" s="109" t="s">
        <v>79</v>
      </c>
    </row>
    <row r="113" spans="25:32" ht="15" x14ac:dyDescent="0.2">
      <c r="Y113" s="109" t="s">
        <v>86</v>
      </c>
      <c r="Z113" s="119">
        <v>74</v>
      </c>
      <c r="AA113" s="120" t="s">
        <v>79</v>
      </c>
      <c r="AB113" s="120" t="s">
        <v>281</v>
      </c>
      <c r="AC113" s="110"/>
      <c r="AD113" s="118">
        <v>90</v>
      </c>
      <c r="AE113" s="118">
        <v>96</v>
      </c>
      <c r="AF113" s="109" t="s">
        <v>79</v>
      </c>
    </row>
    <row r="114" spans="25:32" ht="15" x14ac:dyDescent="0.2">
      <c r="Y114" s="109" t="s">
        <v>86</v>
      </c>
      <c r="Z114" s="119">
        <v>8</v>
      </c>
      <c r="AA114" s="120" t="s">
        <v>80</v>
      </c>
      <c r="AB114" s="120" t="s">
        <v>282</v>
      </c>
      <c r="AC114" s="110"/>
      <c r="AD114" s="118">
        <v>49</v>
      </c>
      <c r="AE114" s="118">
        <v>51</v>
      </c>
      <c r="AF114" s="109" t="s">
        <v>82</v>
      </c>
    </row>
    <row r="115" spans="25:32" ht="15" x14ac:dyDescent="0.2">
      <c r="Y115" s="109" t="s">
        <v>114</v>
      </c>
      <c r="Z115" s="119">
        <v>48</v>
      </c>
      <c r="AA115" s="120" t="s">
        <v>111</v>
      </c>
      <c r="AB115" s="120" t="s">
        <v>283</v>
      </c>
      <c r="AC115" s="110"/>
      <c r="AD115" s="118">
        <v>68</v>
      </c>
      <c r="AE115" s="118">
        <v>75</v>
      </c>
      <c r="AF115" s="109" t="s">
        <v>93</v>
      </c>
    </row>
    <row r="116" spans="25:32" ht="15" x14ac:dyDescent="0.2">
      <c r="Y116" s="109" t="s">
        <v>114</v>
      </c>
      <c r="Z116" s="119">
        <v>97</v>
      </c>
      <c r="AA116" s="120" t="s">
        <v>93</v>
      </c>
      <c r="AB116" s="120" t="s">
        <v>283</v>
      </c>
      <c r="AC116" s="110"/>
      <c r="AD116" s="118">
        <v>68</v>
      </c>
      <c r="AE116" s="118">
        <v>75</v>
      </c>
      <c r="AF116" s="109" t="s">
        <v>93</v>
      </c>
    </row>
    <row r="117" spans="25:32" ht="15" x14ac:dyDescent="0.2">
      <c r="Y117" s="109" t="s">
        <v>114</v>
      </c>
      <c r="Z117" s="119">
        <v>85</v>
      </c>
      <c r="AA117" s="120" t="s">
        <v>284</v>
      </c>
      <c r="AB117" s="120" t="s">
        <v>285</v>
      </c>
      <c r="AC117" s="110"/>
      <c r="AD117" s="118">
        <v>39</v>
      </c>
      <c r="AE117" s="118">
        <v>42</v>
      </c>
      <c r="AF117" s="109" t="s">
        <v>68</v>
      </c>
    </row>
    <row r="118" spans="25:32" ht="15" x14ac:dyDescent="0.2">
      <c r="Y118" s="109" t="s">
        <v>114</v>
      </c>
      <c r="Z118" s="119">
        <v>27</v>
      </c>
      <c r="AA118" s="120" t="s">
        <v>87</v>
      </c>
      <c r="AB118" s="120" t="s">
        <v>286</v>
      </c>
      <c r="AC118" s="110"/>
      <c r="AD118" s="118">
        <v>55</v>
      </c>
      <c r="AE118" s="118">
        <v>59</v>
      </c>
      <c r="AF118" s="109" t="s">
        <v>68</v>
      </c>
    </row>
    <row r="119" spans="25:32" ht="15" x14ac:dyDescent="0.2">
      <c r="Z119" s="151"/>
      <c r="AA119" s="152"/>
      <c r="AB119" s="152"/>
      <c r="AC119" s="153"/>
      <c r="AD119" s="154"/>
      <c r="AE119" s="154"/>
      <c r="AF119" s="109"/>
    </row>
    <row r="120" spans="25:32" x14ac:dyDescent="0.2">
      <c r="Z120" s="152" t="s">
        <v>287</v>
      </c>
      <c r="AA120" s="601" t="s">
        <v>288</v>
      </c>
      <c r="AB120" s="601"/>
      <c r="AC120" s="601"/>
      <c r="AD120" s="601"/>
      <c r="AE120" s="601"/>
      <c r="AF120" s="109"/>
    </row>
    <row r="121" spans="25:32" x14ac:dyDescent="0.2">
      <c r="Z121" s="152"/>
      <c r="AA121" s="601" t="s">
        <v>289</v>
      </c>
      <c r="AB121" s="601"/>
      <c r="AC121" s="601"/>
      <c r="AD121" s="601"/>
      <c r="AE121" s="601"/>
      <c r="AF121" s="109"/>
    </row>
    <row r="122" spans="25:32" ht="15" x14ac:dyDescent="0.2">
      <c r="Z122" s="153"/>
      <c r="AA122" s="153"/>
      <c r="AB122" s="601" t="s">
        <v>290</v>
      </c>
      <c r="AC122" s="601"/>
      <c r="AD122" s="601"/>
      <c r="AE122" s="601"/>
      <c r="AF122" s="109"/>
    </row>
    <row r="123" spans="25:32" ht="15" x14ac:dyDescent="0.2">
      <c r="Z123" s="153"/>
      <c r="AA123" s="153"/>
      <c r="AB123" s="601" t="s">
        <v>291</v>
      </c>
      <c r="AC123" s="601"/>
      <c r="AD123" s="601"/>
      <c r="AE123" s="601"/>
      <c r="AF123" s="109"/>
    </row>
    <row r="124" spans="25:32" ht="15" x14ac:dyDescent="0.2">
      <c r="Z124" s="153"/>
      <c r="AA124" s="601" t="s">
        <v>292</v>
      </c>
      <c r="AB124" s="601"/>
      <c r="AC124" s="601"/>
      <c r="AD124" s="601"/>
      <c r="AE124" s="601"/>
      <c r="AF124" s="109"/>
    </row>
    <row r="125" spans="25:32" ht="15" x14ac:dyDescent="0.2">
      <c r="Z125" s="153"/>
      <c r="AA125" s="601" t="s">
        <v>293</v>
      </c>
      <c r="AB125" s="601"/>
      <c r="AC125" s="601"/>
      <c r="AD125" s="601"/>
      <c r="AE125" s="601"/>
      <c r="AF125" s="109"/>
    </row>
    <row r="126" spans="25:32" ht="15" x14ac:dyDescent="0.2">
      <c r="Z126" s="153"/>
      <c r="AA126" s="601" t="s">
        <v>294</v>
      </c>
      <c r="AB126" s="601"/>
      <c r="AC126" s="601"/>
      <c r="AD126" s="601"/>
      <c r="AE126" s="601"/>
      <c r="AF126" s="109"/>
    </row>
    <row r="127" spans="25:32" ht="15" x14ac:dyDescent="0.2">
      <c r="Z127" s="153"/>
      <c r="AA127" s="601" t="s">
        <v>295</v>
      </c>
      <c r="AB127" s="601"/>
      <c r="AC127" s="601"/>
      <c r="AD127" s="601"/>
      <c r="AE127" s="601"/>
      <c r="AF127" s="109"/>
    </row>
    <row r="128" spans="25:32" ht="15" x14ac:dyDescent="0.2">
      <c r="Z128" s="153"/>
      <c r="AA128" s="601" t="s">
        <v>296</v>
      </c>
      <c r="AB128" s="601"/>
      <c r="AC128" s="601"/>
      <c r="AD128" s="601"/>
      <c r="AE128" s="601"/>
      <c r="AF128" s="109"/>
    </row>
  </sheetData>
  <autoFilter ref="Z5:AF118" xr:uid="{00000000-0001-0000-0600-000000000000}">
    <sortState xmlns:xlrd2="http://schemas.microsoft.com/office/spreadsheetml/2017/richdata2" ref="Z6:AF118">
      <sortCondition ref="AB5:AB118"/>
    </sortState>
  </autoFilter>
  <mergeCells count="27">
    <mergeCell ref="A16:G16"/>
    <mergeCell ref="I16:L16"/>
    <mergeCell ref="A23:G23"/>
    <mergeCell ref="I23:L23"/>
    <mergeCell ref="AA125:AE125"/>
    <mergeCell ref="A56:B56"/>
    <mergeCell ref="AA126:AE126"/>
    <mergeCell ref="AA127:AE127"/>
    <mergeCell ref="AA128:AE128"/>
    <mergeCell ref="Z1:AE1"/>
    <mergeCell ref="AA2:AB2"/>
    <mergeCell ref="Z3:Z4"/>
    <mergeCell ref="AA3:AA4"/>
    <mergeCell ref="AC3:AC4"/>
    <mergeCell ref="AD3:AD4"/>
    <mergeCell ref="AE3:AE4"/>
    <mergeCell ref="AA120:AE120"/>
    <mergeCell ref="AA121:AE121"/>
    <mergeCell ref="AB122:AE122"/>
    <mergeCell ref="AB123:AE123"/>
    <mergeCell ref="AA124:AE124"/>
    <mergeCell ref="A1:D1"/>
    <mergeCell ref="O1:W1"/>
    <mergeCell ref="O2:R2"/>
    <mergeCell ref="T2:W2"/>
    <mergeCell ref="A15:G15"/>
    <mergeCell ref="I15:L15"/>
  </mergeCells>
  <pageMargins left="0.7" right="0.7" top="0.75" bottom="0.75" header="0.3" footer="0.3"/>
  <legacyDrawing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954BC-A1C9-48E1-9454-E80C4697DA99}">
  <sheetPr codeName="Sheet3">
    <tabColor theme="0" tint="-0.14999847407452621"/>
  </sheetPr>
  <dimension ref="A1:O32"/>
  <sheetViews>
    <sheetView showGridLines="0" showRowColHeaders="0" showRuler="0" view="pageLayout" zoomScale="110" zoomScaleNormal="140" zoomScalePageLayoutView="110" workbookViewId="0">
      <selection sqref="A1:N1"/>
    </sheetView>
  </sheetViews>
  <sheetFormatPr defaultColWidth="8.7109375" defaultRowHeight="15" x14ac:dyDescent="0.25"/>
  <cols>
    <col min="1" max="13" width="8.7109375" style="543"/>
    <col min="14" max="14" width="10.7109375" style="543" customWidth="1"/>
    <col min="15" max="16384" width="8.7109375" style="543"/>
  </cols>
  <sheetData>
    <row r="1" spans="1:14" customFormat="1" ht="21" x14ac:dyDescent="0.35">
      <c r="A1" s="623" t="s">
        <v>581</v>
      </c>
      <c r="B1" s="623"/>
      <c r="C1" s="623"/>
      <c r="D1" s="623"/>
      <c r="E1" s="623"/>
      <c r="F1" s="623"/>
      <c r="G1" s="623"/>
      <c r="H1" s="623"/>
      <c r="I1" s="623"/>
      <c r="J1" s="623"/>
      <c r="K1" s="623"/>
      <c r="L1" s="623"/>
      <c r="M1" s="623"/>
      <c r="N1" s="623"/>
    </row>
    <row r="2" spans="1:14" customFormat="1" ht="12.75" x14ac:dyDescent="0.2">
      <c r="A2" s="624" t="s">
        <v>582</v>
      </c>
      <c r="B2" s="615"/>
      <c r="C2" s="615"/>
      <c r="D2" s="615"/>
      <c r="E2" s="615"/>
      <c r="F2" s="615"/>
      <c r="G2" s="615"/>
      <c r="H2" s="615"/>
      <c r="I2" s="615"/>
      <c r="J2" s="615"/>
      <c r="K2" s="615"/>
      <c r="L2" s="615"/>
      <c r="M2" s="615"/>
      <c r="N2" s="616"/>
    </row>
    <row r="3" spans="1:14" customFormat="1" ht="12.75" x14ac:dyDescent="0.2">
      <c r="A3" s="617"/>
      <c r="B3" s="618"/>
      <c r="C3" s="618"/>
      <c r="D3" s="618"/>
      <c r="E3" s="618"/>
      <c r="F3" s="618"/>
      <c r="G3" s="618"/>
      <c r="H3" s="618"/>
      <c r="I3" s="618"/>
      <c r="J3" s="618"/>
      <c r="K3" s="618"/>
      <c r="L3" s="618"/>
      <c r="M3" s="618"/>
      <c r="N3" s="619"/>
    </row>
    <row r="4" spans="1:14" customFormat="1" ht="12.75" x14ac:dyDescent="0.2">
      <c r="A4" s="617"/>
      <c r="B4" s="618"/>
      <c r="C4" s="618"/>
      <c r="D4" s="618"/>
      <c r="E4" s="618"/>
      <c r="F4" s="618"/>
      <c r="G4" s="618"/>
      <c r="H4" s="618"/>
      <c r="I4" s="618"/>
      <c r="J4" s="618"/>
      <c r="K4" s="618"/>
      <c r="L4" s="618"/>
      <c r="M4" s="618"/>
      <c r="N4" s="619"/>
    </row>
    <row r="5" spans="1:14" customFormat="1" ht="20.100000000000001" customHeight="1" x14ac:dyDescent="0.2">
      <c r="A5" s="620"/>
      <c r="B5" s="621"/>
      <c r="C5" s="621"/>
      <c r="D5" s="621"/>
      <c r="E5" s="621"/>
      <c r="F5" s="621"/>
      <c r="G5" s="621"/>
      <c r="H5" s="621"/>
      <c r="I5" s="621"/>
      <c r="J5" s="621"/>
      <c r="K5" s="621"/>
      <c r="L5" s="621"/>
      <c r="M5" s="621"/>
      <c r="N5" s="622"/>
    </row>
    <row r="6" spans="1:14" customFormat="1" ht="12.75" x14ac:dyDescent="0.2">
      <c r="A6" s="624" t="s">
        <v>583</v>
      </c>
      <c r="B6" s="615"/>
      <c r="C6" s="615"/>
      <c r="D6" s="615"/>
      <c r="E6" s="615"/>
      <c r="F6" s="615"/>
      <c r="G6" s="615"/>
      <c r="H6" s="615"/>
      <c r="I6" s="615"/>
      <c r="J6" s="615"/>
      <c r="K6" s="615"/>
      <c r="L6" s="615"/>
      <c r="M6" s="615"/>
      <c r="N6" s="616"/>
    </row>
    <row r="7" spans="1:14" customFormat="1" ht="12.75" x14ac:dyDescent="0.2">
      <c r="A7" s="617"/>
      <c r="B7" s="618"/>
      <c r="C7" s="618"/>
      <c r="D7" s="618"/>
      <c r="E7" s="618"/>
      <c r="F7" s="618"/>
      <c r="G7" s="618"/>
      <c r="H7" s="618"/>
      <c r="I7" s="618"/>
      <c r="J7" s="618"/>
      <c r="K7" s="618"/>
      <c r="L7" s="618"/>
      <c r="M7" s="618"/>
      <c r="N7" s="619"/>
    </row>
    <row r="8" spans="1:14" customFormat="1" ht="12.75" x14ac:dyDescent="0.2">
      <c r="A8" s="617"/>
      <c r="B8" s="618"/>
      <c r="C8" s="618"/>
      <c r="D8" s="618"/>
      <c r="E8" s="618"/>
      <c r="F8" s="618"/>
      <c r="G8" s="618"/>
      <c r="H8" s="618"/>
      <c r="I8" s="618"/>
      <c r="J8" s="618"/>
      <c r="K8" s="618"/>
      <c r="L8" s="618"/>
      <c r="M8" s="618"/>
      <c r="N8" s="619"/>
    </row>
    <row r="9" spans="1:14" customFormat="1" ht="12.75" x14ac:dyDescent="0.2">
      <c r="A9" s="617"/>
      <c r="B9" s="618"/>
      <c r="C9" s="618"/>
      <c r="D9" s="618"/>
      <c r="E9" s="618"/>
      <c r="F9" s="618"/>
      <c r="G9" s="618"/>
      <c r="H9" s="618"/>
      <c r="I9" s="618"/>
      <c r="J9" s="618"/>
      <c r="K9" s="618"/>
      <c r="L9" s="618"/>
      <c r="M9" s="618"/>
      <c r="N9" s="619"/>
    </row>
    <row r="10" spans="1:14" customFormat="1" ht="12.75" x14ac:dyDescent="0.2">
      <c r="A10" s="617"/>
      <c r="B10" s="618"/>
      <c r="C10" s="618"/>
      <c r="D10" s="618"/>
      <c r="E10" s="618"/>
      <c r="F10" s="618"/>
      <c r="G10" s="618"/>
      <c r="H10" s="618"/>
      <c r="I10" s="618"/>
      <c r="J10" s="618"/>
      <c r="K10" s="618"/>
      <c r="L10" s="618"/>
      <c r="M10" s="618"/>
      <c r="N10" s="619"/>
    </row>
    <row r="11" spans="1:14" customFormat="1" ht="20.100000000000001" customHeight="1" x14ac:dyDescent="0.2">
      <c r="A11" s="620"/>
      <c r="B11" s="621"/>
      <c r="C11" s="621"/>
      <c r="D11" s="621"/>
      <c r="E11" s="621"/>
      <c r="F11" s="621"/>
      <c r="G11" s="621"/>
      <c r="H11" s="621"/>
      <c r="I11" s="621"/>
      <c r="J11" s="621"/>
      <c r="K11" s="621"/>
      <c r="L11" s="621"/>
      <c r="M11" s="621"/>
      <c r="N11" s="622"/>
    </row>
    <row r="12" spans="1:14" customFormat="1" ht="12.75" x14ac:dyDescent="0.2">
      <c r="A12" s="624" t="s">
        <v>584</v>
      </c>
      <c r="B12" s="615"/>
      <c r="C12" s="615"/>
      <c r="D12" s="615"/>
      <c r="E12" s="615"/>
      <c r="F12" s="615"/>
      <c r="G12" s="615"/>
      <c r="H12" s="615"/>
      <c r="I12" s="615"/>
      <c r="J12" s="615"/>
      <c r="K12" s="615"/>
      <c r="L12" s="615"/>
      <c r="M12" s="615"/>
      <c r="N12" s="616"/>
    </row>
    <row r="13" spans="1:14" customFormat="1" ht="12.75" x14ac:dyDescent="0.2">
      <c r="A13" s="617"/>
      <c r="B13" s="618"/>
      <c r="C13" s="618"/>
      <c r="D13" s="618"/>
      <c r="E13" s="618"/>
      <c r="F13" s="618"/>
      <c r="G13" s="618"/>
      <c r="H13" s="618"/>
      <c r="I13" s="618"/>
      <c r="J13" s="618"/>
      <c r="K13" s="618"/>
      <c r="L13" s="618"/>
      <c r="M13" s="618"/>
      <c r="N13" s="619"/>
    </row>
    <row r="14" spans="1:14" customFormat="1" ht="12.75" x14ac:dyDescent="0.2">
      <c r="A14" s="617"/>
      <c r="B14" s="618"/>
      <c r="C14" s="618"/>
      <c r="D14" s="618"/>
      <c r="E14" s="618"/>
      <c r="F14" s="618"/>
      <c r="G14" s="618"/>
      <c r="H14" s="618"/>
      <c r="I14" s="618"/>
      <c r="J14" s="618"/>
      <c r="K14" s="618"/>
      <c r="L14" s="618"/>
      <c r="M14" s="618"/>
      <c r="N14" s="619"/>
    </row>
    <row r="15" spans="1:14" customFormat="1" ht="12.75" x14ac:dyDescent="0.2">
      <c r="A15" s="617"/>
      <c r="B15" s="618"/>
      <c r="C15" s="618"/>
      <c r="D15" s="618"/>
      <c r="E15" s="618"/>
      <c r="F15" s="618"/>
      <c r="G15" s="618"/>
      <c r="H15" s="618"/>
      <c r="I15" s="618"/>
      <c r="J15" s="618"/>
      <c r="K15" s="618"/>
      <c r="L15" s="618"/>
      <c r="M15" s="618"/>
      <c r="N15" s="619"/>
    </row>
    <row r="16" spans="1:14" customFormat="1" ht="20.100000000000001" customHeight="1" x14ac:dyDescent="0.2">
      <c r="A16" s="620"/>
      <c r="B16" s="621"/>
      <c r="C16" s="621"/>
      <c r="D16" s="621"/>
      <c r="E16" s="621"/>
      <c r="F16" s="621"/>
      <c r="G16" s="621"/>
      <c r="H16" s="621"/>
      <c r="I16" s="621"/>
      <c r="J16" s="621"/>
      <c r="K16" s="621"/>
      <c r="L16" s="621"/>
      <c r="M16" s="621"/>
      <c r="N16" s="622"/>
    </row>
    <row r="17" spans="1:15" customFormat="1" ht="12.75" x14ac:dyDescent="0.2">
      <c r="A17" s="624" t="s">
        <v>591</v>
      </c>
      <c r="B17" s="615"/>
      <c r="C17" s="615"/>
      <c r="D17" s="615"/>
      <c r="E17" s="615"/>
      <c r="F17" s="615"/>
      <c r="G17" s="615"/>
      <c r="H17" s="615"/>
      <c r="I17" s="615"/>
      <c r="J17" s="615"/>
      <c r="K17" s="615"/>
      <c r="L17" s="615"/>
      <c r="M17" s="615"/>
      <c r="N17" s="616"/>
    </row>
    <row r="18" spans="1:15" customFormat="1" ht="12.75" x14ac:dyDescent="0.2">
      <c r="A18" s="617"/>
      <c r="B18" s="618"/>
      <c r="C18" s="618"/>
      <c r="D18" s="618"/>
      <c r="E18" s="618"/>
      <c r="F18" s="618"/>
      <c r="G18" s="618"/>
      <c r="H18" s="618"/>
      <c r="I18" s="618"/>
      <c r="J18" s="618"/>
      <c r="K18" s="618"/>
      <c r="L18" s="618"/>
      <c r="M18" s="618"/>
      <c r="N18" s="619"/>
    </row>
    <row r="19" spans="1:15" customFormat="1" ht="12.75" x14ac:dyDescent="0.2">
      <c r="A19" s="617"/>
      <c r="B19" s="618"/>
      <c r="C19" s="618"/>
      <c r="D19" s="618"/>
      <c r="E19" s="618"/>
      <c r="F19" s="618"/>
      <c r="G19" s="618"/>
      <c r="H19" s="618"/>
      <c r="I19" s="618"/>
      <c r="J19" s="618"/>
      <c r="K19" s="618"/>
      <c r="L19" s="618"/>
      <c r="M19" s="618"/>
      <c r="N19" s="619"/>
    </row>
    <row r="20" spans="1:15" customFormat="1" ht="12.75" x14ac:dyDescent="0.2">
      <c r="A20" s="617"/>
      <c r="B20" s="618"/>
      <c r="C20" s="618"/>
      <c r="D20" s="618"/>
      <c r="E20" s="618"/>
      <c r="F20" s="618"/>
      <c r="G20" s="618"/>
      <c r="H20" s="618"/>
      <c r="I20" s="618"/>
      <c r="J20" s="618"/>
      <c r="K20" s="618"/>
      <c r="L20" s="618"/>
      <c r="M20" s="618"/>
      <c r="N20" s="619"/>
    </row>
    <row r="21" spans="1:15" customFormat="1" x14ac:dyDescent="0.25">
      <c r="A21" s="617"/>
      <c r="B21" s="618"/>
      <c r="C21" s="618"/>
      <c r="D21" s="618"/>
      <c r="E21" s="618"/>
      <c r="F21" s="618"/>
      <c r="G21" s="618"/>
      <c r="H21" s="618"/>
      <c r="I21" s="618"/>
      <c r="J21" s="618"/>
      <c r="K21" s="618"/>
      <c r="L21" s="618"/>
      <c r="M21" s="618"/>
      <c r="N21" s="619"/>
      <c r="O21" s="544"/>
    </row>
    <row r="22" spans="1:15" customFormat="1" ht="12.75" x14ac:dyDescent="0.2">
      <c r="A22" s="617"/>
      <c r="B22" s="618"/>
      <c r="C22" s="618"/>
      <c r="D22" s="618"/>
      <c r="E22" s="618"/>
      <c r="F22" s="618"/>
      <c r="G22" s="618"/>
      <c r="H22" s="618"/>
      <c r="I22" s="618"/>
      <c r="J22" s="618"/>
      <c r="K22" s="618"/>
      <c r="L22" s="618"/>
      <c r="M22" s="618"/>
      <c r="N22" s="619"/>
    </row>
    <row r="23" spans="1:15" customFormat="1" ht="22.5" customHeight="1" x14ac:dyDescent="0.2">
      <c r="A23" s="620"/>
      <c r="B23" s="621"/>
      <c r="C23" s="621"/>
      <c r="D23" s="621"/>
      <c r="E23" s="621"/>
      <c r="F23" s="621"/>
      <c r="G23" s="621"/>
      <c r="H23" s="621"/>
      <c r="I23" s="621"/>
      <c r="J23" s="621"/>
      <c r="K23" s="621"/>
      <c r="L23" s="621"/>
      <c r="M23" s="621"/>
      <c r="N23" s="622"/>
    </row>
    <row r="24" spans="1:15" customFormat="1" ht="12.75" x14ac:dyDescent="0.2">
      <c r="A24" s="624" t="s">
        <v>590</v>
      </c>
      <c r="B24" s="615"/>
      <c r="C24" s="615"/>
      <c r="D24" s="615"/>
      <c r="E24" s="615"/>
      <c r="F24" s="615"/>
      <c r="G24" s="615"/>
      <c r="H24" s="615"/>
      <c r="I24" s="615"/>
      <c r="J24" s="615"/>
      <c r="K24" s="615"/>
      <c r="L24" s="615"/>
      <c r="M24" s="615"/>
      <c r="N24" s="616"/>
    </row>
    <row r="25" spans="1:15" customFormat="1" ht="12.75" x14ac:dyDescent="0.2">
      <c r="A25" s="617"/>
      <c r="B25" s="618"/>
      <c r="C25" s="618"/>
      <c r="D25" s="618"/>
      <c r="E25" s="618"/>
      <c r="F25" s="618"/>
      <c r="G25" s="618"/>
      <c r="H25" s="618"/>
      <c r="I25" s="618"/>
      <c r="J25" s="618"/>
      <c r="K25" s="618"/>
      <c r="L25" s="618"/>
      <c r="M25" s="618"/>
      <c r="N25" s="619"/>
    </row>
    <row r="26" spans="1:15" customFormat="1" ht="12.75" x14ac:dyDescent="0.2">
      <c r="A26" s="617"/>
      <c r="B26" s="618"/>
      <c r="C26" s="618"/>
      <c r="D26" s="618"/>
      <c r="E26" s="618"/>
      <c r="F26" s="618"/>
      <c r="G26" s="618"/>
      <c r="H26" s="618"/>
      <c r="I26" s="618"/>
      <c r="J26" s="618"/>
      <c r="K26" s="618"/>
      <c r="L26" s="618"/>
      <c r="M26" s="618"/>
      <c r="N26" s="619"/>
    </row>
    <row r="27" spans="1:15" customFormat="1" ht="12.75" x14ac:dyDescent="0.2">
      <c r="A27" s="617"/>
      <c r="B27" s="618"/>
      <c r="C27" s="618"/>
      <c r="D27" s="618"/>
      <c r="E27" s="618"/>
      <c r="F27" s="618"/>
      <c r="G27" s="618"/>
      <c r="H27" s="618"/>
      <c r="I27" s="618"/>
      <c r="J27" s="618"/>
      <c r="K27" s="618"/>
      <c r="L27" s="618"/>
      <c r="M27" s="618"/>
      <c r="N27" s="619"/>
    </row>
    <row r="28" spans="1:15" customFormat="1" ht="63" customHeight="1" x14ac:dyDescent="0.2">
      <c r="A28" s="620"/>
      <c r="B28" s="621"/>
      <c r="C28" s="621"/>
      <c r="D28" s="621"/>
      <c r="E28" s="621"/>
      <c r="F28" s="621"/>
      <c r="G28" s="621"/>
      <c r="H28" s="621"/>
      <c r="I28" s="621"/>
      <c r="J28" s="621"/>
      <c r="K28" s="621"/>
      <c r="L28" s="621"/>
      <c r="M28" s="621"/>
      <c r="N28" s="622"/>
    </row>
    <row r="29" spans="1:15" customFormat="1" ht="12.75" x14ac:dyDescent="0.2">
      <c r="A29" s="614" t="s">
        <v>585</v>
      </c>
      <c r="B29" s="615"/>
      <c r="C29" s="615"/>
      <c r="D29" s="615"/>
      <c r="E29" s="615"/>
      <c r="F29" s="615"/>
      <c r="G29" s="615"/>
      <c r="H29" s="615"/>
      <c r="I29" s="615"/>
      <c r="J29" s="615"/>
      <c r="K29" s="615"/>
      <c r="L29" s="615"/>
      <c r="M29" s="615"/>
      <c r="N29" s="616"/>
    </row>
    <row r="30" spans="1:15" customFormat="1" ht="12.75" x14ac:dyDescent="0.2">
      <c r="A30" s="617"/>
      <c r="B30" s="618"/>
      <c r="C30" s="618"/>
      <c r="D30" s="618"/>
      <c r="E30" s="618"/>
      <c r="F30" s="618"/>
      <c r="G30" s="618"/>
      <c r="H30" s="618"/>
      <c r="I30" s="618"/>
      <c r="J30" s="618"/>
      <c r="K30" s="618"/>
      <c r="L30" s="618"/>
      <c r="M30" s="618"/>
      <c r="N30" s="619"/>
    </row>
    <row r="31" spans="1:15" customFormat="1" ht="12.75" x14ac:dyDescent="0.2">
      <c r="A31" s="617"/>
      <c r="B31" s="618"/>
      <c r="C31" s="618"/>
      <c r="D31" s="618"/>
      <c r="E31" s="618"/>
      <c r="F31" s="618"/>
      <c r="G31" s="618"/>
      <c r="H31" s="618"/>
      <c r="I31" s="618"/>
      <c r="J31" s="618"/>
      <c r="K31" s="618"/>
      <c r="L31" s="618"/>
      <c r="M31" s="618"/>
      <c r="N31" s="619"/>
    </row>
    <row r="32" spans="1:15" customFormat="1" ht="20.100000000000001" customHeight="1" x14ac:dyDescent="0.2">
      <c r="A32" s="620"/>
      <c r="B32" s="621"/>
      <c r="C32" s="621"/>
      <c r="D32" s="621"/>
      <c r="E32" s="621"/>
      <c r="F32" s="621"/>
      <c r="G32" s="621"/>
      <c r="H32" s="621"/>
      <c r="I32" s="621"/>
      <c r="J32" s="621"/>
      <c r="K32" s="621"/>
      <c r="L32" s="621"/>
      <c r="M32" s="621"/>
      <c r="N32" s="622"/>
    </row>
  </sheetData>
  <mergeCells count="7">
    <mergeCell ref="A29:N32"/>
    <mergeCell ref="A1:N1"/>
    <mergeCell ref="A2:N5"/>
    <mergeCell ref="A6:N11"/>
    <mergeCell ref="A12:N16"/>
    <mergeCell ref="A17:N23"/>
    <mergeCell ref="A24:N28"/>
  </mergeCells>
  <pageMargins left="0.7" right="0.7" top="0.75" bottom="0.75" header="0.3" footer="0.3"/>
  <pageSetup orientation="landscape" r:id="rId1"/>
  <headerFooter>
    <oddHeader xml:space="preserve">&amp;C </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07EC4-356C-497E-BA5B-35D0E9A9387D}">
  <sheetPr codeName="Sheet8">
    <tabColor theme="0" tint="-0.14999847407452621"/>
  </sheetPr>
  <dimension ref="A1:AA38"/>
  <sheetViews>
    <sheetView showGridLines="0" tabSelected="1" zoomScaleNormal="100" workbookViewId="0">
      <selection sqref="A1:M1"/>
    </sheetView>
  </sheetViews>
  <sheetFormatPr defaultColWidth="9.140625" defaultRowHeight="15" x14ac:dyDescent="0.25"/>
  <cols>
    <col min="1" max="12" width="9.140625" style="560"/>
    <col min="13" max="13" width="18.5703125" style="560" customWidth="1"/>
    <col min="14" max="14" width="3.5703125" style="560" customWidth="1"/>
    <col min="15" max="26" width="9.140625" style="560"/>
    <col min="27" max="27" width="16.42578125" style="560" customWidth="1"/>
    <col min="28" max="16384" width="9.140625" style="560"/>
  </cols>
  <sheetData>
    <row r="1" spans="1:27" ht="23.25" x14ac:dyDescent="0.35">
      <c r="A1" s="634" t="s">
        <v>620</v>
      </c>
      <c r="B1" s="634"/>
      <c r="C1" s="634"/>
      <c r="D1" s="634"/>
      <c r="E1" s="634"/>
      <c r="F1" s="634"/>
      <c r="G1" s="634"/>
      <c r="H1" s="634"/>
      <c r="I1" s="634"/>
      <c r="J1" s="634"/>
      <c r="K1" s="634"/>
      <c r="L1" s="634"/>
      <c r="M1" s="634"/>
      <c r="O1" s="635" t="s">
        <v>592</v>
      </c>
      <c r="P1" s="635"/>
      <c r="Q1" s="635"/>
      <c r="R1" s="635"/>
      <c r="S1" s="635"/>
      <c r="T1" s="635"/>
      <c r="U1" s="635"/>
      <c r="V1" s="635"/>
      <c r="W1" s="635"/>
      <c r="X1" s="635"/>
      <c r="Y1" s="635"/>
      <c r="Z1" s="635"/>
      <c r="AA1" s="635"/>
    </row>
    <row r="2" spans="1:27" ht="18.75" x14ac:dyDescent="0.3">
      <c r="A2" s="631" t="s">
        <v>653</v>
      </c>
      <c r="B2" s="631"/>
      <c r="C2" s="631"/>
      <c r="D2" s="631"/>
      <c r="E2" s="631"/>
      <c r="F2" s="631"/>
      <c r="G2" s="631"/>
      <c r="H2" s="631"/>
      <c r="I2" s="631"/>
      <c r="J2" s="631"/>
      <c r="K2" s="631"/>
      <c r="L2" s="631"/>
      <c r="M2" s="631"/>
      <c r="O2" s="629" t="s">
        <v>656</v>
      </c>
      <c r="P2" s="629"/>
      <c r="Q2" s="629"/>
      <c r="R2" s="629"/>
      <c r="S2" s="629"/>
      <c r="T2" s="629"/>
      <c r="U2" s="629"/>
      <c r="V2" s="629"/>
      <c r="W2" s="629"/>
      <c r="X2" s="629"/>
      <c r="Y2" s="629"/>
      <c r="Z2" s="629"/>
      <c r="AA2" s="629"/>
    </row>
    <row r="3" spans="1:27" x14ac:dyDescent="0.25">
      <c r="A3" s="628" t="s">
        <v>593</v>
      </c>
      <c r="B3" s="628"/>
      <c r="C3" s="628"/>
      <c r="D3" s="628"/>
      <c r="E3" s="628"/>
      <c r="F3" s="628"/>
      <c r="G3" s="628"/>
      <c r="H3" s="628"/>
      <c r="I3" s="628"/>
      <c r="J3" s="628"/>
      <c r="K3" s="628"/>
      <c r="L3" s="628"/>
      <c r="M3" s="628"/>
      <c r="O3" s="636" t="s">
        <v>626</v>
      </c>
      <c r="P3" s="636"/>
      <c r="Q3" s="636"/>
      <c r="R3" s="636"/>
      <c r="S3" s="636"/>
      <c r="T3" s="636"/>
      <c r="U3" s="636"/>
      <c r="V3" s="636"/>
      <c r="W3" s="636"/>
      <c r="X3" s="636"/>
      <c r="Y3" s="636"/>
      <c r="Z3" s="636"/>
      <c r="AA3" s="636"/>
    </row>
    <row r="4" spans="1:27" x14ac:dyDescent="0.25">
      <c r="A4" s="632" t="s">
        <v>619</v>
      </c>
      <c r="B4" s="632"/>
      <c r="C4" s="632"/>
      <c r="D4" s="632"/>
      <c r="E4" s="632"/>
      <c r="F4" s="632"/>
      <c r="G4" s="632"/>
      <c r="H4" s="632"/>
      <c r="I4" s="632"/>
      <c r="J4" s="632"/>
      <c r="K4" s="632"/>
      <c r="L4" s="632"/>
      <c r="M4" s="632"/>
      <c r="O4" s="563" t="s">
        <v>633</v>
      </c>
      <c r="P4" s="563"/>
      <c r="Q4" s="563"/>
      <c r="R4" s="563"/>
      <c r="S4" s="563"/>
      <c r="T4" s="563"/>
      <c r="U4" s="563"/>
      <c r="V4" s="563"/>
      <c r="W4" s="563"/>
      <c r="X4" s="563"/>
      <c r="Y4" s="563"/>
      <c r="Z4" s="563"/>
      <c r="AA4" s="563"/>
    </row>
    <row r="5" spans="1:27" x14ac:dyDescent="0.25">
      <c r="A5" s="632" t="s">
        <v>621</v>
      </c>
      <c r="B5" s="632"/>
      <c r="C5" s="632"/>
      <c r="D5" s="632"/>
      <c r="E5" s="632"/>
      <c r="F5" s="632"/>
      <c r="G5" s="632"/>
      <c r="H5" s="632"/>
      <c r="I5" s="632"/>
      <c r="J5" s="632"/>
      <c r="K5" s="632"/>
      <c r="L5" s="632"/>
      <c r="M5" s="632"/>
      <c r="O5" s="563"/>
      <c r="P5" s="563"/>
      <c r="Q5" s="563"/>
      <c r="R5" s="563"/>
      <c r="S5" s="563"/>
      <c r="T5" s="563"/>
      <c r="U5" s="563"/>
      <c r="V5" s="563"/>
      <c r="W5" s="563"/>
      <c r="X5" s="563"/>
      <c r="Y5" s="563"/>
      <c r="Z5" s="563"/>
      <c r="AA5" s="563"/>
    </row>
    <row r="6" spans="1:27" ht="18.75" x14ac:dyDescent="0.3">
      <c r="A6" s="632" t="s">
        <v>661</v>
      </c>
      <c r="B6" s="632"/>
      <c r="C6" s="632"/>
      <c r="D6" s="632"/>
      <c r="E6" s="632"/>
      <c r="F6" s="632"/>
      <c r="G6" s="632"/>
      <c r="H6" s="632"/>
      <c r="I6" s="632"/>
      <c r="J6" s="632"/>
      <c r="K6" s="632"/>
      <c r="L6" s="632"/>
      <c r="M6" s="632"/>
      <c r="O6" s="629" t="s">
        <v>655</v>
      </c>
      <c r="P6" s="629"/>
      <c r="Q6" s="629"/>
      <c r="R6" s="629"/>
      <c r="S6" s="629"/>
      <c r="T6" s="629"/>
      <c r="U6" s="629"/>
      <c r="V6" s="629"/>
      <c r="W6" s="629"/>
      <c r="X6" s="629"/>
      <c r="Y6" s="629"/>
      <c r="Z6" s="629"/>
      <c r="AA6" s="629"/>
    </row>
    <row r="7" spans="1:27" x14ac:dyDescent="0.25">
      <c r="A7" s="632" t="s">
        <v>594</v>
      </c>
      <c r="B7" s="632"/>
      <c r="C7" s="632"/>
      <c r="D7" s="632"/>
      <c r="E7" s="632"/>
      <c r="F7" s="632"/>
      <c r="G7" s="632"/>
      <c r="H7" s="632"/>
      <c r="I7" s="632"/>
      <c r="J7" s="632"/>
      <c r="K7" s="632"/>
      <c r="L7" s="632"/>
      <c r="M7" s="632"/>
      <c r="O7" s="563" t="s">
        <v>606</v>
      </c>
      <c r="P7" s="563"/>
      <c r="Q7" s="563"/>
      <c r="R7" s="563"/>
      <c r="S7" s="563"/>
      <c r="T7" s="563"/>
      <c r="U7" s="563"/>
      <c r="V7" s="563"/>
      <c r="W7" s="563"/>
      <c r="X7" s="563"/>
      <c r="Y7" s="563"/>
      <c r="Z7" s="563"/>
      <c r="AA7" s="563"/>
    </row>
    <row r="8" spans="1:27" x14ac:dyDescent="0.25">
      <c r="A8" s="628" t="s">
        <v>624</v>
      </c>
      <c r="B8" s="628"/>
      <c r="C8" s="628"/>
      <c r="D8" s="628"/>
      <c r="E8" s="628"/>
      <c r="F8" s="628"/>
      <c r="G8" s="628"/>
      <c r="H8" s="628"/>
      <c r="I8" s="628"/>
      <c r="J8" s="628"/>
      <c r="K8" s="628"/>
      <c r="L8" s="628"/>
      <c r="M8" s="628"/>
      <c r="O8" s="563" t="s">
        <v>607</v>
      </c>
      <c r="P8" s="563"/>
      <c r="Q8" s="563"/>
      <c r="R8" s="563"/>
      <c r="S8" s="563"/>
      <c r="T8" s="563"/>
      <c r="U8" s="563"/>
      <c r="V8" s="563"/>
      <c r="W8" s="563"/>
      <c r="X8" s="563"/>
      <c r="Y8" s="563"/>
      <c r="Z8" s="563"/>
      <c r="AA8" s="563"/>
    </row>
    <row r="9" spans="1:27" x14ac:dyDescent="0.25">
      <c r="A9" s="628"/>
      <c r="B9" s="628"/>
      <c r="C9" s="628"/>
      <c r="D9" s="628"/>
      <c r="E9" s="628"/>
      <c r="F9" s="628"/>
      <c r="G9" s="628"/>
      <c r="H9" s="628"/>
      <c r="I9" s="628"/>
      <c r="J9" s="628"/>
      <c r="K9" s="628"/>
      <c r="L9" s="628"/>
      <c r="M9" s="628"/>
      <c r="O9" s="630" t="s">
        <v>608</v>
      </c>
      <c r="P9" s="630"/>
      <c r="Q9" s="630"/>
      <c r="R9" s="630"/>
      <c r="S9" s="630"/>
      <c r="T9" s="630"/>
      <c r="U9" s="630"/>
      <c r="V9" s="630"/>
      <c r="W9" s="630"/>
      <c r="X9" s="630"/>
      <c r="Y9" s="630"/>
      <c r="Z9" s="630"/>
      <c r="AA9" s="630"/>
    </row>
    <row r="10" spans="1:27" ht="18.75" x14ac:dyDescent="0.3">
      <c r="A10" s="631" t="s">
        <v>654</v>
      </c>
      <c r="B10" s="631"/>
      <c r="C10" s="631"/>
      <c r="D10" s="631"/>
      <c r="E10" s="631"/>
      <c r="F10" s="631"/>
      <c r="G10" s="631"/>
      <c r="H10" s="631"/>
      <c r="I10" s="631"/>
      <c r="J10" s="631"/>
      <c r="K10" s="631"/>
      <c r="L10" s="631"/>
      <c r="M10" s="631"/>
      <c r="O10" s="572"/>
      <c r="P10" s="572"/>
      <c r="Q10" s="572"/>
      <c r="R10" s="572"/>
      <c r="S10" s="572"/>
      <c r="T10" s="572"/>
      <c r="U10" s="572"/>
      <c r="V10" s="572"/>
      <c r="W10" s="572"/>
      <c r="X10" s="572"/>
      <c r="Y10" s="572"/>
      <c r="Z10" s="572"/>
      <c r="AA10" s="572"/>
    </row>
    <row r="11" spans="1:27" ht="15.75" x14ac:dyDescent="0.25">
      <c r="A11" s="564" t="s">
        <v>595</v>
      </c>
      <c r="B11" s="562"/>
      <c r="C11" s="562"/>
      <c r="D11" s="562"/>
      <c r="E11" s="562"/>
      <c r="F11" s="562"/>
      <c r="G11" s="562"/>
      <c r="H11" s="562"/>
      <c r="I11" s="562"/>
      <c r="J11" s="562"/>
      <c r="K11" s="562"/>
      <c r="L11" s="562"/>
      <c r="M11" s="562"/>
      <c r="O11" s="630"/>
      <c r="P11" s="630"/>
      <c r="Q11" s="630"/>
      <c r="R11" s="630"/>
      <c r="S11" s="630"/>
      <c r="T11" s="630"/>
      <c r="U11" s="630"/>
      <c r="V11" s="630"/>
      <c r="W11" s="630"/>
      <c r="X11" s="630"/>
      <c r="Y11" s="630"/>
      <c r="Z11" s="630"/>
      <c r="AA11" s="630"/>
    </row>
    <row r="12" spans="1:27" ht="18.75" x14ac:dyDescent="0.3">
      <c r="A12" s="562" t="s">
        <v>599</v>
      </c>
      <c r="B12" s="562"/>
      <c r="C12" s="562"/>
      <c r="D12" s="562"/>
      <c r="E12" s="562"/>
      <c r="F12" s="562"/>
      <c r="G12" s="562"/>
      <c r="H12" s="562"/>
      <c r="I12" s="562"/>
      <c r="J12" s="562"/>
      <c r="K12" s="562"/>
      <c r="L12" s="562"/>
      <c r="M12" s="562"/>
      <c r="O12" s="629" t="s">
        <v>609</v>
      </c>
      <c r="P12" s="629"/>
      <c r="Q12" s="629"/>
      <c r="R12" s="629"/>
      <c r="S12" s="629"/>
      <c r="T12" s="629"/>
      <c r="U12" s="629"/>
      <c r="V12" s="629"/>
      <c r="W12" s="629"/>
      <c r="X12" s="629"/>
      <c r="Y12" s="629"/>
      <c r="Z12" s="629"/>
      <c r="AA12" s="629"/>
    </row>
    <row r="13" spans="1:27" x14ac:dyDescent="0.25">
      <c r="A13" s="627" t="s">
        <v>600</v>
      </c>
      <c r="B13" s="627"/>
      <c r="C13" s="627"/>
      <c r="D13" s="627"/>
      <c r="E13" s="627"/>
      <c r="F13" s="627"/>
      <c r="G13" s="627"/>
      <c r="H13" s="627"/>
      <c r="I13" s="627"/>
      <c r="J13" s="627"/>
      <c r="K13" s="627"/>
      <c r="L13" s="627"/>
      <c r="M13" s="627"/>
      <c r="O13" s="630" t="s">
        <v>625</v>
      </c>
      <c r="P13" s="630"/>
      <c r="Q13" s="630"/>
      <c r="R13" s="630"/>
      <c r="S13" s="630"/>
      <c r="T13" s="630"/>
      <c r="U13" s="630"/>
      <c r="V13" s="630"/>
      <c r="W13" s="630"/>
      <c r="X13" s="630"/>
      <c r="Y13" s="630"/>
      <c r="Z13" s="630"/>
      <c r="AA13" s="630"/>
    </row>
    <row r="14" spans="1:27" x14ac:dyDescent="0.25">
      <c r="A14" s="638" t="s">
        <v>622</v>
      </c>
      <c r="B14" s="638"/>
      <c r="C14" s="638"/>
      <c r="D14" s="638"/>
      <c r="E14" s="638"/>
      <c r="F14" s="638"/>
      <c r="G14" s="638"/>
      <c r="H14" s="638"/>
      <c r="I14" s="638"/>
      <c r="J14" s="638"/>
      <c r="K14" s="638"/>
      <c r="L14" s="638"/>
      <c r="M14" s="638"/>
      <c r="O14" s="636" t="s">
        <v>627</v>
      </c>
      <c r="P14" s="636"/>
      <c r="Q14" s="636"/>
      <c r="R14" s="636"/>
      <c r="S14" s="636"/>
      <c r="T14" s="636"/>
      <c r="U14" s="636"/>
      <c r="V14" s="636"/>
      <c r="W14" s="636"/>
      <c r="X14" s="636"/>
      <c r="Y14" s="636"/>
      <c r="Z14" s="636"/>
      <c r="AA14" s="636"/>
    </row>
    <row r="15" spans="1:27" x14ac:dyDescent="0.25">
      <c r="A15" s="639"/>
      <c r="B15" s="639"/>
      <c r="C15" s="639"/>
      <c r="D15" s="639"/>
      <c r="E15" s="639"/>
      <c r="F15" s="639"/>
      <c r="G15" s="639"/>
      <c r="H15" s="639"/>
      <c r="I15" s="639"/>
      <c r="J15" s="639"/>
      <c r="K15" s="639"/>
      <c r="L15" s="639"/>
      <c r="M15" s="639"/>
      <c r="O15" s="630" t="s">
        <v>659</v>
      </c>
      <c r="P15" s="630"/>
      <c r="Q15" s="630"/>
      <c r="R15" s="630"/>
      <c r="S15" s="630"/>
      <c r="T15" s="630"/>
      <c r="U15" s="630"/>
      <c r="V15" s="630"/>
      <c r="W15" s="630"/>
      <c r="X15" s="630"/>
      <c r="Y15" s="630"/>
      <c r="Z15" s="630"/>
      <c r="AA15" s="630"/>
    </row>
    <row r="16" spans="1:27" x14ac:dyDescent="0.25">
      <c r="A16" s="562"/>
      <c r="B16" s="562"/>
      <c r="C16" s="562"/>
      <c r="D16" s="562"/>
      <c r="E16" s="562"/>
      <c r="F16" s="562"/>
      <c r="G16" s="562"/>
      <c r="H16" s="562"/>
      <c r="I16" s="562"/>
      <c r="J16" s="562"/>
      <c r="K16" s="562"/>
      <c r="L16" s="562"/>
      <c r="M16" s="562"/>
      <c r="O16" s="630" t="s">
        <v>634</v>
      </c>
      <c r="P16" s="630"/>
      <c r="Q16" s="630"/>
      <c r="R16" s="630"/>
      <c r="S16" s="630"/>
      <c r="T16" s="630"/>
      <c r="U16" s="630"/>
      <c r="V16" s="630"/>
      <c r="W16" s="630"/>
      <c r="X16" s="630"/>
      <c r="Y16" s="630"/>
      <c r="Z16" s="630"/>
      <c r="AA16" s="630"/>
    </row>
    <row r="17" spans="1:27" ht="18.75" x14ac:dyDescent="0.3">
      <c r="A17" s="631" t="s">
        <v>623</v>
      </c>
      <c r="B17" s="631"/>
      <c r="C17" s="631"/>
      <c r="D17" s="631"/>
      <c r="E17" s="631"/>
      <c r="F17" s="631"/>
      <c r="G17" s="631"/>
      <c r="H17" s="631"/>
      <c r="I17" s="631"/>
      <c r="J17" s="631"/>
      <c r="K17" s="631"/>
      <c r="L17" s="631"/>
      <c r="M17" s="631"/>
      <c r="O17" s="561"/>
      <c r="P17" s="561"/>
      <c r="Q17" s="561"/>
      <c r="R17" s="561"/>
      <c r="S17" s="561"/>
      <c r="T17" s="561"/>
      <c r="U17" s="561"/>
      <c r="V17" s="561"/>
      <c r="W17" s="561"/>
      <c r="X17" s="561"/>
      <c r="Y17" s="561"/>
      <c r="Z17" s="561"/>
      <c r="AA17" s="561"/>
    </row>
    <row r="18" spans="1:27" ht="18.75" x14ac:dyDescent="0.3">
      <c r="A18" s="564" t="s">
        <v>657</v>
      </c>
      <c r="B18" s="562"/>
      <c r="C18" s="562"/>
      <c r="D18" s="562"/>
      <c r="E18" s="562"/>
      <c r="F18" s="562"/>
      <c r="G18" s="562"/>
      <c r="H18" s="562"/>
      <c r="I18" s="562"/>
      <c r="J18" s="562"/>
      <c r="K18" s="562"/>
      <c r="L18" s="562"/>
      <c r="M18" s="562"/>
      <c r="O18" s="629" t="s">
        <v>652</v>
      </c>
      <c r="P18" s="629"/>
      <c r="Q18" s="629"/>
      <c r="R18" s="629"/>
      <c r="S18" s="629"/>
      <c r="T18" s="629"/>
      <c r="U18" s="629"/>
      <c r="V18" s="629"/>
      <c r="W18" s="629"/>
      <c r="X18" s="629"/>
      <c r="Y18" s="629"/>
      <c r="Z18" s="629"/>
      <c r="AA18" s="629"/>
    </row>
    <row r="19" spans="1:27" x14ac:dyDescent="0.25">
      <c r="A19" s="627" t="s">
        <v>658</v>
      </c>
      <c r="B19" s="627"/>
      <c r="C19" s="627"/>
      <c r="D19" s="627"/>
      <c r="E19" s="627"/>
      <c r="F19" s="627"/>
      <c r="G19" s="627"/>
      <c r="H19" s="627"/>
      <c r="I19" s="627"/>
      <c r="J19" s="627"/>
      <c r="K19" s="627"/>
      <c r="L19" s="627"/>
      <c r="M19" s="627"/>
      <c r="O19" s="563" t="s">
        <v>612</v>
      </c>
      <c r="P19" s="563"/>
      <c r="Q19" s="563"/>
      <c r="R19" s="563"/>
      <c r="S19" s="563"/>
      <c r="T19" s="563"/>
      <c r="U19" s="563"/>
      <c r="V19" s="563"/>
      <c r="W19" s="563"/>
      <c r="X19" s="563"/>
      <c r="Y19" s="563"/>
      <c r="Z19" s="563"/>
      <c r="AA19" s="563"/>
    </row>
    <row r="20" spans="1:27" x14ac:dyDescent="0.25">
      <c r="A20" s="628"/>
      <c r="B20" s="628"/>
      <c r="C20" s="628"/>
      <c r="D20" s="628"/>
      <c r="E20" s="628"/>
      <c r="F20" s="628"/>
      <c r="G20" s="628"/>
      <c r="H20" s="628"/>
      <c r="I20" s="628"/>
      <c r="J20" s="628"/>
      <c r="K20" s="628"/>
      <c r="L20" s="628"/>
      <c r="M20" s="628"/>
      <c r="O20" s="563" t="s">
        <v>610</v>
      </c>
      <c r="P20" s="563"/>
      <c r="Q20" s="563"/>
      <c r="R20" s="563"/>
      <c r="S20" s="563"/>
      <c r="T20" s="563"/>
      <c r="U20" s="563"/>
      <c r="V20" s="563"/>
      <c r="W20" s="563"/>
      <c r="X20" s="563"/>
      <c r="Y20" s="563"/>
      <c r="Z20" s="563"/>
      <c r="AA20" s="563"/>
    </row>
    <row r="21" spans="1:27" ht="18.75" x14ac:dyDescent="0.3">
      <c r="A21" s="631" t="s">
        <v>649</v>
      </c>
      <c r="B21" s="631"/>
      <c r="C21" s="631"/>
      <c r="D21" s="631"/>
      <c r="E21" s="631"/>
      <c r="F21" s="631"/>
      <c r="G21" s="631"/>
      <c r="H21" s="631"/>
      <c r="I21" s="631"/>
      <c r="J21" s="631"/>
      <c r="K21" s="631"/>
      <c r="L21" s="631"/>
      <c r="M21" s="631"/>
      <c r="O21" s="563" t="s">
        <v>611</v>
      </c>
      <c r="P21" s="563"/>
      <c r="Q21" s="563"/>
      <c r="R21" s="563"/>
      <c r="S21" s="563"/>
      <c r="T21" s="563"/>
      <c r="U21" s="563"/>
      <c r="V21" s="563"/>
      <c r="W21" s="563"/>
      <c r="X21" s="563"/>
      <c r="Y21" s="563"/>
      <c r="Z21" s="563"/>
      <c r="AA21" s="563"/>
    </row>
    <row r="22" spans="1:27" ht="15.75" x14ac:dyDescent="0.25">
      <c r="A22" s="564" t="s">
        <v>595</v>
      </c>
      <c r="B22" s="562"/>
      <c r="C22" s="562"/>
      <c r="D22" s="562"/>
      <c r="E22" s="562"/>
      <c r="F22" s="562"/>
      <c r="G22" s="562"/>
      <c r="H22" s="562"/>
      <c r="I22" s="562"/>
      <c r="J22" s="562"/>
      <c r="K22" s="562"/>
      <c r="L22" s="562"/>
      <c r="M22" s="562"/>
      <c r="O22" s="563" t="s">
        <v>596</v>
      </c>
      <c r="P22" s="563"/>
      <c r="Q22" s="563"/>
      <c r="R22" s="563"/>
      <c r="S22" s="563"/>
      <c r="T22" s="563"/>
      <c r="U22" s="563"/>
      <c r="V22" s="563"/>
      <c r="W22" s="563"/>
      <c r="X22" s="563"/>
      <c r="Y22" s="563"/>
      <c r="Z22" s="563"/>
      <c r="AA22" s="563"/>
    </row>
    <row r="23" spans="1:27" x14ac:dyDescent="0.25">
      <c r="A23" s="633" t="s">
        <v>669</v>
      </c>
      <c r="B23" s="628"/>
      <c r="C23" s="628"/>
      <c r="D23" s="628"/>
      <c r="E23" s="628"/>
      <c r="F23" s="628"/>
      <c r="G23" s="628"/>
      <c r="H23" s="628"/>
      <c r="I23" s="628"/>
      <c r="J23" s="628"/>
      <c r="K23" s="628"/>
      <c r="L23" s="628"/>
      <c r="M23" s="628"/>
      <c r="O23" s="563" t="s">
        <v>613</v>
      </c>
      <c r="P23" s="563"/>
      <c r="Q23" s="563"/>
      <c r="R23" s="563"/>
      <c r="S23" s="563"/>
      <c r="T23" s="563"/>
      <c r="U23" s="563"/>
      <c r="V23" s="563"/>
      <c r="W23" s="563"/>
      <c r="X23" s="563"/>
      <c r="Y23" s="563"/>
      <c r="Z23" s="563"/>
      <c r="AA23" s="563"/>
    </row>
    <row r="24" spans="1:27" x14ac:dyDescent="0.25">
      <c r="A24" s="632" t="s">
        <v>630</v>
      </c>
      <c r="B24" s="632"/>
      <c r="C24" s="632"/>
      <c r="D24" s="632"/>
      <c r="E24" s="632"/>
      <c r="F24" s="632"/>
      <c r="G24" s="632"/>
      <c r="H24" s="632"/>
      <c r="I24" s="632"/>
      <c r="J24" s="632"/>
      <c r="K24" s="632"/>
      <c r="L24" s="632"/>
      <c r="M24" s="632"/>
      <c r="O24" s="563"/>
      <c r="P24" s="563"/>
      <c r="Q24" s="563"/>
      <c r="R24" s="563"/>
      <c r="S24" s="563"/>
      <c r="T24" s="563"/>
      <c r="U24" s="563"/>
      <c r="V24" s="563"/>
      <c r="W24" s="563"/>
      <c r="X24" s="563"/>
      <c r="Y24" s="563"/>
      <c r="Z24" s="563"/>
      <c r="AA24" s="563"/>
    </row>
    <row r="25" spans="1:27" ht="18.75" x14ac:dyDescent="0.3">
      <c r="A25" s="632" t="s">
        <v>602</v>
      </c>
      <c r="B25" s="632"/>
      <c r="C25" s="632"/>
      <c r="D25" s="632"/>
      <c r="E25" s="632"/>
      <c r="F25" s="632"/>
      <c r="G25" s="632"/>
      <c r="H25" s="632"/>
      <c r="I25" s="632"/>
      <c r="J25" s="632"/>
      <c r="K25" s="632"/>
      <c r="L25" s="632"/>
      <c r="M25" s="632"/>
      <c r="O25" s="629" t="s">
        <v>651</v>
      </c>
      <c r="P25" s="629"/>
      <c r="Q25" s="629"/>
      <c r="R25" s="629"/>
      <c r="S25" s="629"/>
      <c r="T25" s="629"/>
      <c r="U25" s="629"/>
      <c r="V25" s="629"/>
      <c r="W25" s="629"/>
      <c r="X25" s="629"/>
      <c r="Y25" s="629"/>
      <c r="Z25" s="629"/>
      <c r="AA25" s="629"/>
    </row>
    <row r="26" spans="1:27" x14ac:dyDescent="0.25">
      <c r="A26" s="637"/>
      <c r="B26" s="637"/>
      <c r="C26" s="637"/>
      <c r="D26" s="637"/>
      <c r="E26" s="637"/>
      <c r="F26" s="637"/>
      <c r="G26" s="637"/>
      <c r="H26" s="637"/>
      <c r="I26" s="637"/>
      <c r="J26" s="637"/>
      <c r="K26" s="637"/>
      <c r="L26" s="637"/>
      <c r="M26" s="637"/>
      <c r="O26" s="563" t="s">
        <v>614</v>
      </c>
      <c r="P26" s="563"/>
      <c r="Q26" s="563"/>
      <c r="R26" s="563"/>
      <c r="S26" s="563"/>
      <c r="T26" s="563"/>
      <c r="U26" s="563"/>
      <c r="V26" s="563"/>
      <c r="W26" s="563"/>
      <c r="X26" s="563"/>
      <c r="Y26" s="563"/>
      <c r="Z26" s="563"/>
      <c r="AA26" s="563"/>
    </row>
    <row r="27" spans="1:27" ht="18.75" x14ac:dyDescent="0.3">
      <c r="A27" s="631" t="s">
        <v>650</v>
      </c>
      <c r="B27" s="631"/>
      <c r="C27" s="631"/>
      <c r="D27" s="631"/>
      <c r="E27" s="631"/>
      <c r="F27" s="631"/>
      <c r="G27" s="631"/>
      <c r="H27" s="631"/>
      <c r="I27" s="631"/>
      <c r="J27" s="631"/>
      <c r="K27" s="631"/>
      <c r="L27" s="631"/>
      <c r="M27" s="631"/>
      <c r="O27" s="626" t="s">
        <v>597</v>
      </c>
      <c r="P27" s="626"/>
      <c r="Q27" s="626"/>
      <c r="R27" s="626"/>
      <c r="S27" s="626"/>
      <c r="T27" s="626"/>
      <c r="U27" s="626"/>
      <c r="V27" s="626"/>
      <c r="W27" s="626"/>
      <c r="X27" s="626"/>
      <c r="Y27" s="626"/>
      <c r="Z27" s="626"/>
      <c r="AA27" s="626"/>
    </row>
    <row r="28" spans="1:27" x14ac:dyDescent="0.25">
      <c r="A28" s="628" t="s">
        <v>615</v>
      </c>
      <c r="B28" s="628"/>
      <c r="C28" s="628"/>
      <c r="D28" s="628"/>
      <c r="E28" s="628"/>
      <c r="F28" s="628"/>
      <c r="G28" s="628"/>
      <c r="H28" s="628"/>
      <c r="I28" s="628"/>
      <c r="J28" s="628"/>
      <c r="K28" s="628"/>
      <c r="L28" s="628"/>
      <c r="M28" s="628"/>
      <c r="O28" s="563" t="s">
        <v>629</v>
      </c>
      <c r="P28" s="563"/>
      <c r="Q28" s="563"/>
      <c r="R28" s="563"/>
      <c r="S28" s="563"/>
      <c r="T28" s="563"/>
      <c r="U28" s="563"/>
      <c r="V28" s="563"/>
      <c r="W28" s="563"/>
      <c r="X28" s="563"/>
      <c r="Y28" s="563"/>
      <c r="Z28" s="563"/>
      <c r="AA28" s="563"/>
    </row>
    <row r="29" spans="1:27" x14ac:dyDescent="0.25">
      <c r="A29" s="632" t="s">
        <v>598</v>
      </c>
      <c r="B29" s="632"/>
      <c r="C29" s="632"/>
      <c r="D29" s="632"/>
      <c r="E29" s="632"/>
      <c r="F29" s="632"/>
      <c r="G29" s="632"/>
      <c r="H29" s="632"/>
      <c r="I29" s="632"/>
      <c r="J29" s="632"/>
      <c r="K29" s="632"/>
      <c r="L29" s="632"/>
      <c r="M29" s="632"/>
      <c r="O29" s="563" t="s">
        <v>616</v>
      </c>
      <c r="P29" s="563"/>
      <c r="Q29" s="563"/>
      <c r="R29" s="563"/>
      <c r="S29" s="563"/>
      <c r="T29" s="563"/>
      <c r="U29" s="563"/>
      <c r="V29" s="563"/>
      <c r="W29" s="563"/>
      <c r="X29" s="563"/>
      <c r="Y29" s="563"/>
      <c r="Z29" s="563"/>
      <c r="AA29" s="563"/>
    </row>
    <row r="30" spans="1:27" x14ac:dyDescent="0.25">
      <c r="A30" s="632" t="s">
        <v>601</v>
      </c>
      <c r="B30" s="632"/>
      <c r="C30" s="632"/>
      <c r="D30" s="632"/>
      <c r="E30" s="632"/>
      <c r="F30" s="632"/>
      <c r="G30" s="632"/>
      <c r="H30" s="632"/>
      <c r="I30" s="632"/>
      <c r="J30" s="632"/>
      <c r="K30" s="632"/>
      <c r="L30" s="632"/>
      <c r="M30" s="632"/>
      <c r="O30" s="563" t="s">
        <v>617</v>
      </c>
      <c r="P30" s="563"/>
      <c r="Q30" s="563"/>
      <c r="R30" s="563"/>
      <c r="S30" s="563"/>
      <c r="T30" s="563"/>
      <c r="U30" s="563"/>
      <c r="V30" s="563"/>
      <c r="W30" s="563"/>
      <c r="X30" s="563"/>
      <c r="Y30" s="563"/>
      <c r="Z30" s="563"/>
      <c r="AA30" s="563"/>
    </row>
    <row r="31" spans="1:27" x14ac:dyDescent="0.25">
      <c r="A31" s="627" t="s">
        <v>628</v>
      </c>
      <c r="B31" s="627"/>
      <c r="C31" s="627"/>
      <c r="D31" s="627"/>
      <c r="E31" s="627"/>
      <c r="F31" s="627"/>
      <c r="G31" s="627"/>
      <c r="H31" s="627"/>
      <c r="I31" s="627"/>
      <c r="J31" s="627"/>
      <c r="K31" s="627"/>
      <c r="L31" s="627"/>
      <c r="M31" s="627"/>
      <c r="O31" s="563" t="s">
        <v>618</v>
      </c>
      <c r="P31" s="563"/>
      <c r="Q31" s="563"/>
      <c r="R31" s="563"/>
      <c r="S31" s="563"/>
      <c r="T31" s="563"/>
      <c r="U31" s="563"/>
      <c r="V31" s="563"/>
      <c r="W31" s="563"/>
      <c r="X31" s="563"/>
      <c r="Y31" s="563"/>
      <c r="Z31" s="563"/>
      <c r="AA31" s="563"/>
    </row>
    <row r="32" spans="1:27" x14ac:dyDescent="0.25">
      <c r="A32" s="562" t="s">
        <v>605</v>
      </c>
      <c r="B32" s="562"/>
      <c r="C32" s="562"/>
      <c r="D32" s="562"/>
      <c r="E32" s="562"/>
      <c r="F32" s="562"/>
      <c r="G32" s="562"/>
      <c r="H32" s="562"/>
      <c r="I32" s="562"/>
      <c r="J32" s="562"/>
      <c r="K32" s="562"/>
      <c r="L32" s="562"/>
      <c r="M32" s="562"/>
      <c r="N32" s="566"/>
      <c r="O32" s="565"/>
      <c r="P32" s="565"/>
      <c r="Q32" s="565"/>
      <c r="R32" s="565"/>
      <c r="S32" s="565"/>
      <c r="T32" s="565"/>
      <c r="U32" s="565"/>
      <c r="V32" s="565"/>
      <c r="W32" s="565"/>
      <c r="X32" s="565"/>
      <c r="Y32" s="565"/>
      <c r="Z32" s="565"/>
      <c r="AA32" s="565"/>
    </row>
    <row r="33" spans="1:27" x14ac:dyDescent="0.25">
      <c r="A33" s="562" t="s">
        <v>603</v>
      </c>
      <c r="B33" s="562"/>
      <c r="C33" s="562"/>
      <c r="D33" s="562"/>
      <c r="E33" s="562"/>
      <c r="F33" s="562"/>
      <c r="G33" s="562"/>
      <c r="H33" s="562"/>
      <c r="I33" s="562"/>
      <c r="J33" s="562"/>
      <c r="K33" s="562"/>
      <c r="L33" s="562"/>
      <c r="M33" s="562"/>
      <c r="N33"/>
      <c r="O33" s="588" t="s">
        <v>662</v>
      </c>
      <c r="P33"/>
      <c r="Q33"/>
    </row>
    <row r="34" spans="1:27" x14ac:dyDescent="0.25">
      <c r="A34" s="628" t="s">
        <v>604</v>
      </c>
      <c r="B34" s="628"/>
      <c r="C34" s="628"/>
      <c r="D34" s="628"/>
      <c r="E34" s="628"/>
      <c r="F34" s="628"/>
      <c r="G34" s="628"/>
      <c r="H34" s="628"/>
      <c r="I34" s="628"/>
      <c r="J34" s="628"/>
      <c r="K34" s="628"/>
      <c r="L34" s="628"/>
      <c r="M34" s="628"/>
      <c r="O34" s="589" t="s">
        <v>663</v>
      </c>
      <c r="P34" s="566"/>
      <c r="Q34" s="566"/>
    </row>
    <row r="35" spans="1:27" x14ac:dyDescent="0.25">
      <c r="O35" s="625" t="s">
        <v>664</v>
      </c>
      <c r="P35" s="625"/>
      <c r="Q35" s="625"/>
      <c r="R35" s="625"/>
      <c r="S35" s="625"/>
      <c r="T35" s="625"/>
      <c r="U35" s="625"/>
      <c r="V35" s="625"/>
      <c r="W35" s="625"/>
      <c r="X35" s="625"/>
      <c r="Y35" s="625"/>
      <c r="Z35" s="625"/>
      <c r="AA35" s="625"/>
    </row>
    <row r="38" spans="1:27" x14ac:dyDescent="0.25">
      <c r="B38" s="566"/>
      <c r="C38" s="566"/>
      <c r="D38" s="566"/>
      <c r="E38" s="566"/>
      <c r="F38" s="566"/>
      <c r="G38" s="566"/>
      <c r="H38" s="566"/>
      <c r="I38" s="566"/>
      <c r="J38" s="566"/>
      <c r="K38" s="566"/>
      <c r="L38" s="566"/>
      <c r="M38" s="566"/>
    </row>
  </sheetData>
  <mergeCells count="42">
    <mergeCell ref="A5:M5"/>
    <mergeCell ref="A8:M8"/>
    <mergeCell ref="A14:M14"/>
    <mergeCell ref="A15:M15"/>
    <mergeCell ref="A9:M9"/>
    <mergeCell ref="A10:M10"/>
    <mergeCell ref="A24:M24"/>
    <mergeCell ref="A26:M26"/>
    <mergeCell ref="A27:M27"/>
    <mergeCell ref="A25:M25"/>
    <mergeCell ref="O6:AA6"/>
    <mergeCell ref="O12:AA12"/>
    <mergeCell ref="O18:AA18"/>
    <mergeCell ref="A6:M6"/>
    <mergeCell ref="A7:M7"/>
    <mergeCell ref="O13:AA13"/>
    <mergeCell ref="O14:AA14"/>
    <mergeCell ref="O9:AA9"/>
    <mergeCell ref="O11:AA11"/>
    <mergeCell ref="A1:M1"/>
    <mergeCell ref="O1:AA1"/>
    <mergeCell ref="A3:M3"/>
    <mergeCell ref="O3:AA3"/>
    <mergeCell ref="A4:M4"/>
    <mergeCell ref="A2:M2"/>
    <mergeCell ref="O2:AA2"/>
    <mergeCell ref="O35:AA35"/>
    <mergeCell ref="O27:AA27"/>
    <mergeCell ref="A13:M13"/>
    <mergeCell ref="A19:M19"/>
    <mergeCell ref="A31:M31"/>
    <mergeCell ref="A34:M34"/>
    <mergeCell ref="A20:M20"/>
    <mergeCell ref="O25:AA25"/>
    <mergeCell ref="O15:AA15"/>
    <mergeCell ref="O16:AA16"/>
    <mergeCell ref="A17:M17"/>
    <mergeCell ref="A21:M21"/>
    <mergeCell ref="A28:M28"/>
    <mergeCell ref="A29:M29"/>
    <mergeCell ref="A30:M30"/>
    <mergeCell ref="A23:M23"/>
  </mergeCells>
  <hyperlinks>
    <hyperlink ref="A6:M6" location="'Pre-screen+Assessment'!A1" display="4. Schedule Scope Review meeting with PSE to go over the project and determine the most likely incentive pathway (Holly.Lloyd@pse.com)" xr:uid="{B41F2FD8-0C3A-4E03-A8E2-7CF8BB29EA33}"/>
    <hyperlink ref="A24:M24" location="SOW!A17:L34" display="2. Facility Guide document (contains elements of Final Cx Report)" xr:uid="{DA59BD6F-7762-4F1A-823A-04ED9D220E31}"/>
    <hyperlink ref="O3:AA3" location="'Pre-screen+Assessment'!A1" display="1. Conduct Scope Review meeting with the contractor and review the submitted &quot;Pre-screen+Assessment&quot; page if one has been submitted." xr:uid="{B2235426-AB8C-488D-8509-D1D6DC85E07A}"/>
    <hyperlink ref="O14:AA14" location="IncentiveEst!A1" display="2. Email the customer and contractor the Implementation + Performance incentive estimates from the &quot;IncentiveEst&quot; tab." xr:uid="{B559AFFE-4103-49C4-933B-08FA4260C75E}"/>
    <hyperlink ref="A4:M4" r:id="rId1" display="2. Ensure that you are using the most recent version of the Worksheet by downloading it from the PSE webpage." xr:uid="{D9220C19-D511-4258-B5D9-4213EA0ED869}"/>
    <hyperlink ref="A7:M7" r:id="rId2" display="5. If moving forward, submit a PSE Grant Application." xr:uid="{6E4B0134-09CD-4A69-B981-361FECFABCB3}"/>
    <hyperlink ref="A29:M29" location="Performance_Changes!A1" display="2. Notify PSE of any changes to the building you are aware of (occupancy, space use type, major equipment changes, etc)." xr:uid="{35FF679F-8DB0-4A99-9749-7AF1E7248BCC}"/>
    <hyperlink ref="A5:M5" location="'Pre-screen+Assessment'!B5" display="3. Fill out the &quot;Pre-Screen+Assessment&quot; tab, inputting information into all yellow cells. " xr:uid="{4865563A-046D-4A25-9ED7-512F14FA587C}"/>
    <hyperlink ref="A19" location="IncentiveEst!B5" display="3. Fill out the Worksheet tab, inputting information into all yellow cells. " xr:uid="{D6AD671A-C3ED-487A-93F5-0B1F853476DB}"/>
    <hyperlink ref="A30:M30" location="Persistence_Checks!A1" display="3. Customer to provide PSE with completed Persistence Check forms/reports" xr:uid="{02833F55-531F-4DA7-88D5-AB39273F51C2}"/>
    <hyperlink ref="O27" location="Performance_Changes!B5" display="2. When one year since the project was fully commissioned has passed, determine any building changes that occurred." xr:uid="{9F02627D-8269-4781-BDFA-BC84FFB1A722}"/>
    <hyperlink ref="O35" r:id="rId3" display="- https://www.pse.com/en/business-incentives/commissioning-programs" xr:uid="{785E3791-D27C-4D1E-91DD-111099874BD1}"/>
    <hyperlink ref="A13" location="SOW!A3:L14" display="2. Assessment Report" xr:uid="{8E81F10A-C69B-48CC-B042-C23919396E0D}"/>
    <hyperlink ref="A25:M25" location="SOW!N3:Y24" display="3. (MBCx) MBCx Plan" xr:uid="{3DED74C0-E25D-45BB-8462-F2980A48CC7F}"/>
    <hyperlink ref="A31" location="SOW!N25:Y31" display="4. (MBCx) Contractor to provide PSE with compilation of the Performance year Quarterly Reports" xr:uid="{D6752FE1-CF69-478D-BB97-DCE8B37CA360}"/>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A1018-7B19-473B-B771-FBC6A2F456CE}">
  <sheetPr codeName="Sheet9">
    <tabColor theme="0" tint="-0.14999847407452621"/>
  </sheetPr>
  <dimension ref="B1:AE53"/>
  <sheetViews>
    <sheetView showGridLines="0" workbookViewId="0">
      <selection activeCell="B4" sqref="B4:M14"/>
    </sheetView>
  </sheetViews>
  <sheetFormatPr defaultColWidth="9.140625" defaultRowHeight="12.75" x14ac:dyDescent="0.2"/>
  <cols>
    <col min="1" max="1" width="3.5703125" style="456" customWidth="1"/>
    <col min="2" max="13" width="9.140625" style="456"/>
    <col min="14" max="14" width="3.5703125" style="456" customWidth="1"/>
    <col min="15" max="16384" width="9.140625" style="456"/>
  </cols>
  <sheetData>
    <row r="1" spans="2:31" ht="21" x14ac:dyDescent="0.35">
      <c r="B1" s="571" t="s">
        <v>648</v>
      </c>
      <c r="C1" s="567"/>
      <c r="D1" s="567"/>
      <c r="E1" s="567"/>
      <c r="F1" s="567"/>
      <c r="G1" s="567"/>
      <c r="H1" s="567"/>
      <c r="I1" s="567"/>
      <c r="J1" s="567"/>
      <c r="K1" s="567"/>
      <c r="L1" s="567"/>
      <c r="M1" s="567"/>
      <c r="N1" s="567"/>
      <c r="O1" s="571" t="s">
        <v>635</v>
      </c>
      <c r="P1" s="567"/>
      <c r="Q1" s="567"/>
      <c r="R1" s="567"/>
      <c r="S1" s="567"/>
      <c r="T1" s="567"/>
      <c r="U1" s="567"/>
      <c r="V1" s="567"/>
      <c r="W1" s="567"/>
      <c r="X1" s="567"/>
      <c r="Y1" s="567"/>
      <c r="Z1" s="567"/>
      <c r="AA1" s="567"/>
      <c r="AB1" s="567"/>
      <c r="AC1" s="567"/>
      <c r="AD1" s="567"/>
      <c r="AE1" s="567"/>
    </row>
    <row r="2" spans="2:31" ht="7.5" customHeight="1" x14ac:dyDescent="0.25">
      <c r="B2" s="567"/>
      <c r="C2" s="567"/>
      <c r="D2" s="567"/>
      <c r="E2" s="567"/>
      <c r="F2" s="567"/>
      <c r="G2" s="567"/>
      <c r="H2" s="567"/>
      <c r="I2" s="567"/>
      <c r="J2" s="567"/>
      <c r="K2" s="567"/>
      <c r="L2" s="567"/>
      <c r="M2" s="567"/>
      <c r="N2" s="567"/>
      <c r="O2" s="567"/>
      <c r="P2" s="567"/>
      <c r="Q2" s="567"/>
      <c r="R2" s="567"/>
      <c r="S2" s="567"/>
      <c r="T2" s="567"/>
      <c r="U2" s="567"/>
      <c r="V2" s="567"/>
      <c r="W2" s="567"/>
      <c r="X2" s="567"/>
      <c r="Y2" s="567"/>
      <c r="Z2" s="567"/>
      <c r="AA2" s="567"/>
      <c r="AB2" s="567"/>
      <c r="AC2" s="567"/>
      <c r="AD2" s="567"/>
      <c r="AE2" s="567"/>
    </row>
    <row r="3" spans="2:31" ht="15.75" x14ac:dyDescent="0.25">
      <c r="B3" s="568" t="s">
        <v>639</v>
      </c>
      <c r="C3" s="567"/>
      <c r="D3" s="567"/>
      <c r="E3" s="567"/>
      <c r="F3" s="567"/>
      <c r="G3" s="567"/>
      <c r="H3" s="567"/>
      <c r="I3" s="567"/>
      <c r="J3" s="567"/>
      <c r="K3" s="567"/>
      <c r="L3" s="567"/>
      <c r="M3" s="567"/>
      <c r="N3" s="567"/>
      <c r="O3" s="568" t="s">
        <v>640</v>
      </c>
      <c r="P3" s="567"/>
      <c r="Q3" s="567"/>
      <c r="R3" s="567"/>
      <c r="S3" s="567"/>
      <c r="T3" s="567"/>
      <c r="U3" s="567"/>
      <c r="V3" s="567"/>
      <c r="W3" s="567"/>
      <c r="X3" s="567"/>
      <c r="Y3" s="567"/>
      <c r="Z3" s="567"/>
      <c r="AA3" s="567"/>
      <c r="AB3" s="567"/>
      <c r="AC3" s="567"/>
      <c r="AD3" s="567"/>
      <c r="AE3" s="567"/>
    </row>
    <row r="4" spans="2:31" ht="12.75" customHeight="1" x14ac:dyDescent="0.25">
      <c r="B4" s="640" t="s">
        <v>641</v>
      </c>
      <c r="C4" s="640"/>
      <c r="D4" s="640"/>
      <c r="E4" s="640"/>
      <c r="F4" s="640"/>
      <c r="G4" s="640"/>
      <c r="H4" s="640"/>
      <c r="I4" s="640"/>
      <c r="J4" s="640"/>
      <c r="K4" s="640"/>
      <c r="L4" s="640"/>
      <c r="M4" s="640"/>
      <c r="N4" s="567"/>
      <c r="O4" s="640" t="s">
        <v>672</v>
      </c>
      <c r="P4" s="640"/>
      <c r="Q4" s="640"/>
      <c r="R4" s="640"/>
      <c r="S4" s="640"/>
      <c r="T4" s="640"/>
      <c r="U4" s="640"/>
      <c r="V4" s="640"/>
      <c r="W4" s="640"/>
      <c r="X4" s="640"/>
      <c r="Y4" s="640"/>
      <c r="Z4" s="640"/>
      <c r="AA4" s="640"/>
      <c r="AB4" s="569"/>
      <c r="AC4" s="569"/>
      <c r="AD4" s="569"/>
      <c r="AE4" s="569"/>
    </row>
    <row r="5" spans="2:31" ht="15" customHeight="1" x14ac:dyDescent="0.25">
      <c r="B5" s="640"/>
      <c r="C5" s="640"/>
      <c r="D5" s="640"/>
      <c r="E5" s="640"/>
      <c r="F5" s="640"/>
      <c r="G5" s="640"/>
      <c r="H5" s="640"/>
      <c r="I5" s="640"/>
      <c r="J5" s="640"/>
      <c r="K5" s="640"/>
      <c r="L5" s="640"/>
      <c r="M5" s="640"/>
      <c r="N5" s="567"/>
      <c r="O5" s="640"/>
      <c r="P5" s="640"/>
      <c r="Q5" s="640"/>
      <c r="R5" s="640"/>
      <c r="S5" s="640"/>
      <c r="T5" s="640"/>
      <c r="U5" s="640"/>
      <c r="V5" s="640"/>
      <c r="W5" s="640"/>
      <c r="X5" s="640"/>
      <c r="Y5" s="640"/>
      <c r="Z5" s="640"/>
      <c r="AA5" s="640"/>
      <c r="AB5" s="569"/>
      <c r="AC5" s="569"/>
      <c r="AD5" s="569"/>
      <c r="AE5" s="569"/>
    </row>
    <row r="6" spans="2:31" ht="15" customHeight="1" x14ac:dyDescent="0.25">
      <c r="B6" s="640"/>
      <c r="C6" s="640"/>
      <c r="D6" s="640"/>
      <c r="E6" s="640"/>
      <c r="F6" s="640"/>
      <c r="G6" s="640"/>
      <c r="H6" s="640"/>
      <c r="I6" s="640"/>
      <c r="J6" s="640"/>
      <c r="K6" s="640"/>
      <c r="L6" s="640"/>
      <c r="M6" s="640"/>
      <c r="N6" s="567"/>
      <c r="O6" s="640"/>
      <c r="P6" s="640"/>
      <c r="Q6" s="640"/>
      <c r="R6" s="640"/>
      <c r="S6" s="640"/>
      <c r="T6" s="640"/>
      <c r="U6" s="640"/>
      <c r="V6" s="640"/>
      <c r="W6" s="640"/>
      <c r="X6" s="640"/>
      <c r="Y6" s="640"/>
      <c r="Z6" s="640"/>
      <c r="AA6" s="640"/>
      <c r="AB6" s="569"/>
      <c r="AC6" s="569"/>
      <c r="AD6" s="569"/>
      <c r="AE6" s="569"/>
    </row>
    <row r="7" spans="2:31" ht="15.75" x14ac:dyDescent="0.25">
      <c r="B7" s="640"/>
      <c r="C7" s="640"/>
      <c r="D7" s="640"/>
      <c r="E7" s="640"/>
      <c r="F7" s="640"/>
      <c r="G7" s="640"/>
      <c r="H7" s="640"/>
      <c r="I7" s="640"/>
      <c r="J7" s="640"/>
      <c r="K7" s="640"/>
      <c r="L7" s="640"/>
      <c r="M7" s="640"/>
      <c r="N7" s="567"/>
      <c r="O7" s="640"/>
      <c r="P7" s="640"/>
      <c r="Q7" s="640"/>
      <c r="R7" s="640"/>
      <c r="S7" s="640"/>
      <c r="T7" s="640"/>
      <c r="U7" s="640"/>
      <c r="V7" s="640"/>
      <c r="W7" s="640"/>
      <c r="X7" s="640"/>
      <c r="Y7" s="640"/>
      <c r="Z7" s="640"/>
      <c r="AA7" s="640"/>
      <c r="AB7" s="569"/>
      <c r="AC7" s="569"/>
      <c r="AD7" s="569"/>
      <c r="AE7" s="569"/>
    </row>
    <row r="8" spans="2:31" ht="15" customHeight="1" x14ac:dyDescent="0.25">
      <c r="B8" s="640"/>
      <c r="C8" s="640"/>
      <c r="D8" s="640"/>
      <c r="E8" s="640"/>
      <c r="F8" s="640"/>
      <c r="G8" s="640"/>
      <c r="H8" s="640"/>
      <c r="I8" s="640"/>
      <c r="J8" s="640"/>
      <c r="K8" s="640"/>
      <c r="L8" s="640"/>
      <c r="M8" s="640"/>
      <c r="N8" s="567"/>
      <c r="O8" s="640"/>
      <c r="P8" s="640"/>
      <c r="Q8" s="640"/>
      <c r="R8" s="640"/>
      <c r="S8" s="640"/>
      <c r="T8" s="640"/>
      <c r="U8" s="640"/>
      <c r="V8" s="640"/>
      <c r="W8" s="640"/>
      <c r="X8" s="640"/>
      <c r="Y8" s="640"/>
      <c r="Z8" s="640"/>
      <c r="AA8" s="640"/>
      <c r="AB8" s="569"/>
      <c r="AC8" s="569"/>
      <c r="AD8" s="569"/>
      <c r="AE8" s="569"/>
    </row>
    <row r="9" spans="2:31" ht="15" customHeight="1" x14ac:dyDescent="0.25">
      <c r="B9" s="640"/>
      <c r="C9" s="640"/>
      <c r="D9" s="640"/>
      <c r="E9" s="640"/>
      <c r="F9" s="640"/>
      <c r="G9" s="640"/>
      <c r="H9" s="640"/>
      <c r="I9" s="640"/>
      <c r="J9" s="640"/>
      <c r="K9" s="640"/>
      <c r="L9" s="640"/>
      <c r="M9" s="640"/>
      <c r="N9" s="567"/>
      <c r="O9" s="640"/>
      <c r="P9" s="640"/>
      <c r="Q9" s="640"/>
      <c r="R9" s="640"/>
      <c r="S9" s="640"/>
      <c r="T9" s="640"/>
      <c r="U9" s="640"/>
      <c r="V9" s="640"/>
      <c r="W9" s="640"/>
      <c r="X9" s="640"/>
      <c r="Y9" s="640"/>
      <c r="Z9" s="640"/>
      <c r="AA9" s="640"/>
      <c r="AB9" s="569"/>
      <c r="AC9" s="569"/>
      <c r="AD9" s="569"/>
      <c r="AE9" s="569"/>
    </row>
    <row r="10" spans="2:31" ht="15" customHeight="1" x14ac:dyDescent="0.25">
      <c r="B10" s="640"/>
      <c r="C10" s="640"/>
      <c r="D10" s="640"/>
      <c r="E10" s="640"/>
      <c r="F10" s="640"/>
      <c r="G10" s="640"/>
      <c r="H10" s="640"/>
      <c r="I10" s="640"/>
      <c r="J10" s="640"/>
      <c r="K10" s="640"/>
      <c r="L10" s="640"/>
      <c r="M10" s="640"/>
      <c r="N10" s="567"/>
      <c r="O10" s="640"/>
      <c r="P10" s="640"/>
      <c r="Q10" s="640"/>
      <c r="R10" s="640"/>
      <c r="S10" s="640"/>
      <c r="T10" s="640"/>
      <c r="U10" s="640"/>
      <c r="V10" s="640"/>
      <c r="W10" s="640"/>
      <c r="X10" s="640"/>
      <c r="Y10" s="640"/>
      <c r="Z10" s="640"/>
      <c r="AA10" s="640"/>
      <c r="AB10" s="569"/>
      <c r="AC10" s="569"/>
      <c r="AD10" s="569"/>
      <c r="AE10" s="569"/>
    </row>
    <row r="11" spans="2:31" ht="15" customHeight="1" x14ac:dyDescent="0.25">
      <c r="B11" s="640"/>
      <c r="C11" s="640"/>
      <c r="D11" s="640"/>
      <c r="E11" s="640"/>
      <c r="F11" s="640"/>
      <c r="G11" s="640"/>
      <c r="H11" s="640"/>
      <c r="I11" s="640"/>
      <c r="J11" s="640"/>
      <c r="K11" s="640"/>
      <c r="L11" s="640"/>
      <c r="M11" s="640"/>
      <c r="N11" s="567"/>
      <c r="O11" s="640"/>
      <c r="P11" s="640"/>
      <c r="Q11" s="640"/>
      <c r="R11" s="640"/>
      <c r="S11" s="640"/>
      <c r="T11" s="640"/>
      <c r="U11" s="640"/>
      <c r="V11" s="640"/>
      <c r="W11" s="640"/>
      <c r="X11" s="640"/>
      <c r="Y11" s="640"/>
      <c r="Z11" s="640"/>
      <c r="AA11" s="640"/>
      <c r="AB11" s="569"/>
      <c r="AC11" s="569"/>
      <c r="AD11" s="569"/>
      <c r="AE11" s="569"/>
    </row>
    <row r="12" spans="2:31" ht="15" customHeight="1" x14ac:dyDescent="0.25">
      <c r="B12" s="640"/>
      <c r="C12" s="640"/>
      <c r="D12" s="640"/>
      <c r="E12" s="640"/>
      <c r="F12" s="640"/>
      <c r="G12" s="640"/>
      <c r="H12" s="640"/>
      <c r="I12" s="640"/>
      <c r="J12" s="640"/>
      <c r="K12" s="640"/>
      <c r="L12" s="640"/>
      <c r="M12" s="640"/>
      <c r="N12" s="567"/>
      <c r="O12" s="640"/>
      <c r="P12" s="640"/>
      <c r="Q12" s="640"/>
      <c r="R12" s="640"/>
      <c r="S12" s="640"/>
      <c r="T12" s="640"/>
      <c r="U12" s="640"/>
      <c r="V12" s="640"/>
      <c r="W12" s="640"/>
      <c r="X12" s="640"/>
      <c r="Y12" s="640"/>
      <c r="Z12" s="640"/>
      <c r="AA12" s="640"/>
      <c r="AB12" s="569"/>
      <c r="AC12" s="569"/>
      <c r="AD12" s="569"/>
      <c r="AE12" s="569"/>
    </row>
    <row r="13" spans="2:31" ht="15" customHeight="1" x14ac:dyDescent="0.25">
      <c r="B13" s="640"/>
      <c r="C13" s="640"/>
      <c r="D13" s="640"/>
      <c r="E13" s="640"/>
      <c r="F13" s="640"/>
      <c r="G13" s="640"/>
      <c r="H13" s="640"/>
      <c r="I13" s="640"/>
      <c r="J13" s="640"/>
      <c r="K13" s="640"/>
      <c r="L13" s="640"/>
      <c r="M13" s="640"/>
      <c r="N13" s="567"/>
      <c r="O13" s="640"/>
      <c r="P13" s="640"/>
      <c r="Q13" s="640"/>
      <c r="R13" s="640"/>
      <c r="S13" s="640"/>
      <c r="T13" s="640"/>
      <c r="U13" s="640"/>
      <c r="V13" s="640"/>
      <c r="W13" s="640"/>
      <c r="X13" s="640"/>
      <c r="Y13" s="640"/>
      <c r="Z13" s="640"/>
      <c r="AA13" s="640"/>
      <c r="AB13" s="569"/>
      <c r="AC13" s="569"/>
      <c r="AD13" s="569"/>
      <c r="AE13" s="569"/>
    </row>
    <row r="14" spans="2:31" ht="15" customHeight="1" x14ac:dyDescent="0.25">
      <c r="B14" s="640"/>
      <c r="C14" s="640"/>
      <c r="D14" s="640"/>
      <c r="E14" s="640"/>
      <c r="F14" s="640"/>
      <c r="G14" s="640"/>
      <c r="H14" s="640"/>
      <c r="I14" s="640"/>
      <c r="J14" s="640"/>
      <c r="K14" s="640"/>
      <c r="L14" s="640"/>
      <c r="M14" s="640"/>
      <c r="N14" s="567"/>
      <c r="O14" s="640"/>
      <c r="P14" s="640"/>
      <c r="Q14" s="640"/>
      <c r="R14" s="640"/>
      <c r="S14" s="640"/>
      <c r="T14" s="640"/>
      <c r="U14" s="640"/>
      <c r="V14" s="640"/>
      <c r="W14" s="640"/>
      <c r="X14" s="640"/>
      <c r="Y14" s="640"/>
      <c r="Z14" s="640"/>
      <c r="AA14" s="640"/>
      <c r="AB14" s="569"/>
      <c r="AC14" s="569"/>
      <c r="AD14" s="569"/>
      <c r="AE14" s="569"/>
    </row>
    <row r="15" spans="2:31" ht="15" customHeight="1" x14ac:dyDescent="0.25">
      <c r="B15" s="567"/>
      <c r="C15" s="567"/>
      <c r="D15" s="567"/>
      <c r="E15" s="567"/>
      <c r="F15" s="567"/>
      <c r="G15" s="567"/>
      <c r="H15" s="567"/>
      <c r="I15" s="567"/>
      <c r="J15" s="567"/>
      <c r="K15" s="567"/>
      <c r="L15" s="567"/>
      <c r="M15" s="567"/>
      <c r="N15" s="567"/>
      <c r="O15" s="640"/>
      <c r="P15" s="640"/>
      <c r="Q15" s="640"/>
      <c r="R15" s="640"/>
      <c r="S15" s="640"/>
      <c r="T15" s="640"/>
      <c r="U15" s="640"/>
      <c r="V15" s="640"/>
      <c r="W15" s="640"/>
      <c r="X15" s="640"/>
      <c r="Y15" s="640"/>
      <c r="Z15" s="640"/>
      <c r="AA15" s="640"/>
      <c r="AB15" s="569"/>
      <c r="AC15" s="569"/>
      <c r="AD15" s="569"/>
      <c r="AE15" s="569"/>
    </row>
    <row r="16" spans="2:31" ht="15" customHeight="1" x14ac:dyDescent="0.25">
      <c r="B16" s="567"/>
      <c r="C16" s="567"/>
      <c r="D16" s="567"/>
      <c r="E16" s="567"/>
      <c r="F16" s="567"/>
      <c r="G16" s="567"/>
      <c r="H16" s="567"/>
      <c r="I16" s="567"/>
      <c r="J16" s="567"/>
      <c r="K16" s="567"/>
      <c r="L16" s="567"/>
      <c r="M16" s="567"/>
      <c r="N16" s="567"/>
      <c r="O16" s="640"/>
      <c r="P16" s="640"/>
      <c r="Q16" s="640"/>
      <c r="R16" s="640"/>
      <c r="S16" s="640"/>
      <c r="T16" s="640"/>
      <c r="U16" s="640"/>
      <c r="V16" s="640"/>
      <c r="W16" s="640"/>
      <c r="X16" s="640"/>
      <c r="Y16" s="640"/>
      <c r="Z16" s="640"/>
      <c r="AA16" s="640"/>
      <c r="AB16" s="569"/>
      <c r="AC16" s="569"/>
      <c r="AD16" s="569"/>
      <c r="AE16" s="569"/>
    </row>
    <row r="17" spans="2:31" ht="15" customHeight="1" x14ac:dyDescent="0.25">
      <c r="B17" s="568" t="s">
        <v>638</v>
      </c>
      <c r="C17" s="567"/>
      <c r="D17" s="567"/>
      <c r="E17" s="567"/>
      <c r="F17" s="567"/>
      <c r="G17" s="567"/>
      <c r="H17" s="567"/>
      <c r="I17" s="567"/>
      <c r="J17" s="567"/>
      <c r="K17" s="567"/>
      <c r="L17" s="567"/>
      <c r="M17" s="567"/>
      <c r="N17" s="567"/>
      <c r="O17" s="640"/>
      <c r="P17" s="640"/>
      <c r="Q17" s="640"/>
      <c r="R17" s="640"/>
      <c r="S17" s="640"/>
      <c r="T17" s="640"/>
      <c r="U17" s="640"/>
      <c r="V17" s="640"/>
      <c r="W17" s="640"/>
      <c r="X17" s="640"/>
      <c r="Y17" s="640"/>
      <c r="Z17" s="640"/>
      <c r="AA17" s="640"/>
      <c r="AB17" s="569"/>
      <c r="AC17" s="569"/>
      <c r="AD17" s="569"/>
      <c r="AE17" s="569"/>
    </row>
    <row r="18" spans="2:31" ht="15" customHeight="1" x14ac:dyDescent="0.25">
      <c r="B18" s="640" t="s">
        <v>642</v>
      </c>
      <c r="C18" s="640"/>
      <c r="D18" s="640"/>
      <c r="E18" s="640"/>
      <c r="F18" s="640"/>
      <c r="G18" s="640"/>
      <c r="H18" s="640"/>
      <c r="I18" s="640"/>
      <c r="J18" s="640"/>
      <c r="K18" s="640"/>
      <c r="L18" s="640"/>
      <c r="M18" s="640"/>
      <c r="N18" s="567"/>
      <c r="O18" s="640"/>
      <c r="P18" s="640"/>
      <c r="Q18" s="640"/>
      <c r="R18" s="640"/>
      <c r="S18" s="640"/>
      <c r="T18" s="640"/>
      <c r="U18" s="640"/>
      <c r="V18" s="640"/>
      <c r="W18" s="640"/>
      <c r="X18" s="640"/>
      <c r="Y18" s="640"/>
      <c r="Z18" s="640"/>
      <c r="AA18" s="640"/>
      <c r="AB18" s="569"/>
      <c r="AC18" s="569"/>
      <c r="AD18" s="569"/>
      <c r="AE18" s="569"/>
    </row>
    <row r="19" spans="2:31" ht="15" customHeight="1" x14ac:dyDescent="0.25">
      <c r="B19" s="640"/>
      <c r="C19" s="640"/>
      <c r="D19" s="640"/>
      <c r="E19" s="640"/>
      <c r="F19" s="640"/>
      <c r="G19" s="640"/>
      <c r="H19" s="640"/>
      <c r="I19" s="640"/>
      <c r="J19" s="640"/>
      <c r="K19" s="640"/>
      <c r="L19" s="640"/>
      <c r="M19" s="640"/>
      <c r="N19" s="567"/>
      <c r="O19" s="640"/>
      <c r="P19" s="640"/>
      <c r="Q19" s="640"/>
      <c r="R19" s="640"/>
      <c r="S19" s="640"/>
      <c r="T19" s="640"/>
      <c r="U19" s="640"/>
      <c r="V19" s="640"/>
      <c r="W19" s="640"/>
      <c r="X19" s="640"/>
      <c r="Y19" s="640"/>
      <c r="Z19" s="640"/>
      <c r="AA19" s="640"/>
      <c r="AB19" s="569"/>
      <c r="AC19" s="569"/>
      <c r="AD19" s="569"/>
      <c r="AE19" s="569"/>
    </row>
    <row r="20" spans="2:31" ht="15" customHeight="1" x14ac:dyDescent="0.25">
      <c r="B20" s="640"/>
      <c r="C20" s="640"/>
      <c r="D20" s="640"/>
      <c r="E20" s="640"/>
      <c r="F20" s="640"/>
      <c r="G20" s="640"/>
      <c r="H20" s="640"/>
      <c r="I20" s="640"/>
      <c r="J20" s="640"/>
      <c r="K20" s="640"/>
      <c r="L20" s="640"/>
      <c r="M20" s="640"/>
      <c r="N20" s="567"/>
      <c r="O20" s="640"/>
      <c r="P20" s="640"/>
      <c r="Q20" s="640"/>
      <c r="R20" s="640"/>
      <c r="S20" s="640"/>
      <c r="T20" s="640"/>
      <c r="U20" s="640"/>
      <c r="V20" s="640"/>
      <c r="W20" s="640"/>
      <c r="X20" s="640"/>
      <c r="Y20" s="640"/>
      <c r="Z20" s="640"/>
      <c r="AA20" s="640"/>
      <c r="AB20" s="569"/>
      <c r="AC20" s="569"/>
      <c r="AD20" s="569"/>
      <c r="AE20" s="569"/>
    </row>
    <row r="21" spans="2:31" ht="15" customHeight="1" x14ac:dyDescent="0.25">
      <c r="B21" s="640"/>
      <c r="C21" s="640"/>
      <c r="D21" s="640"/>
      <c r="E21" s="640"/>
      <c r="F21" s="640"/>
      <c r="G21" s="640"/>
      <c r="H21" s="640"/>
      <c r="I21" s="640"/>
      <c r="J21" s="640"/>
      <c r="K21" s="640"/>
      <c r="L21" s="640"/>
      <c r="M21" s="640"/>
      <c r="N21" s="567"/>
      <c r="O21" s="640"/>
      <c r="P21" s="640"/>
      <c r="Q21" s="640"/>
      <c r="R21" s="640"/>
      <c r="S21" s="640"/>
      <c r="T21" s="640"/>
      <c r="U21" s="640"/>
      <c r="V21" s="640"/>
      <c r="W21" s="640"/>
      <c r="X21" s="640"/>
      <c r="Y21" s="640"/>
      <c r="Z21" s="640"/>
      <c r="AA21" s="640"/>
      <c r="AB21" s="569"/>
      <c r="AC21" s="569"/>
      <c r="AD21" s="569"/>
      <c r="AE21" s="569"/>
    </row>
    <row r="22" spans="2:31" ht="15" customHeight="1" x14ac:dyDescent="0.25">
      <c r="B22" s="640"/>
      <c r="C22" s="640"/>
      <c r="D22" s="640"/>
      <c r="E22" s="640"/>
      <c r="F22" s="640"/>
      <c r="G22" s="640"/>
      <c r="H22" s="640"/>
      <c r="I22" s="640"/>
      <c r="J22" s="640"/>
      <c r="K22" s="640"/>
      <c r="L22" s="640"/>
      <c r="M22" s="640"/>
      <c r="N22" s="567"/>
      <c r="O22" s="640"/>
      <c r="P22" s="640"/>
      <c r="Q22" s="640"/>
      <c r="R22" s="640"/>
      <c r="S22" s="640"/>
      <c r="T22" s="640"/>
      <c r="U22" s="640"/>
      <c r="V22" s="640"/>
      <c r="W22" s="640"/>
      <c r="X22" s="640"/>
      <c r="Y22" s="640"/>
      <c r="Z22" s="640"/>
      <c r="AA22" s="640"/>
      <c r="AB22" s="569"/>
      <c r="AC22" s="569"/>
      <c r="AD22" s="569"/>
      <c r="AE22" s="569"/>
    </row>
    <row r="23" spans="2:31" ht="15" customHeight="1" x14ac:dyDescent="0.25">
      <c r="B23" s="640"/>
      <c r="C23" s="640"/>
      <c r="D23" s="640"/>
      <c r="E23" s="640"/>
      <c r="F23" s="640"/>
      <c r="G23" s="640"/>
      <c r="H23" s="640"/>
      <c r="I23" s="640"/>
      <c r="J23" s="640"/>
      <c r="K23" s="640"/>
      <c r="L23" s="640"/>
      <c r="M23" s="640"/>
      <c r="N23" s="567"/>
      <c r="O23" s="640"/>
      <c r="P23" s="640"/>
      <c r="Q23" s="640"/>
      <c r="R23" s="640"/>
      <c r="S23" s="640"/>
      <c r="T23" s="640"/>
      <c r="U23" s="640"/>
      <c r="V23" s="640"/>
      <c r="W23" s="640"/>
      <c r="X23" s="640"/>
      <c r="Y23" s="640"/>
      <c r="Z23" s="640"/>
      <c r="AA23" s="640"/>
      <c r="AB23" s="569"/>
      <c r="AC23" s="569"/>
      <c r="AD23" s="569"/>
      <c r="AE23" s="569"/>
    </row>
    <row r="24" spans="2:31" ht="15" customHeight="1" x14ac:dyDescent="0.25">
      <c r="B24" s="640"/>
      <c r="C24" s="640"/>
      <c r="D24" s="640"/>
      <c r="E24" s="640"/>
      <c r="F24" s="640"/>
      <c r="G24" s="640"/>
      <c r="H24" s="640"/>
      <c r="I24" s="640"/>
      <c r="J24" s="640"/>
      <c r="K24" s="640"/>
      <c r="L24" s="640"/>
      <c r="M24" s="640"/>
      <c r="N24" s="567"/>
      <c r="O24" s="640"/>
      <c r="P24" s="640"/>
      <c r="Q24" s="640"/>
      <c r="R24" s="640"/>
      <c r="S24" s="640"/>
      <c r="T24" s="640"/>
      <c r="U24" s="640"/>
      <c r="V24" s="640"/>
      <c r="W24" s="640"/>
      <c r="X24" s="640"/>
      <c r="Y24" s="640"/>
      <c r="Z24" s="640"/>
      <c r="AA24" s="640"/>
      <c r="AB24" s="569"/>
      <c r="AC24" s="569"/>
      <c r="AD24" s="569"/>
      <c r="AE24" s="569"/>
    </row>
    <row r="25" spans="2:31" ht="15" customHeight="1" x14ac:dyDescent="0.25">
      <c r="B25" s="640"/>
      <c r="C25" s="640"/>
      <c r="D25" s="640"/>
      <c r="E25" s="640"/>
      <c r="F25" s="640"/>
      <c r="G25" s="640"/>
      <c r="H25" s="640"/>
      <c r="I25" s="640"/>
      <c r="J25" s="640"/>
      <c r="K25" s="640"/>
      <c r="L25" s="640"/>
      <c r="M25" s="640"/>
      <c r="N25" s="567"/>
      <c r="O25" s="568" t="s">
        <v>636</v>
      </c>
      <c r="P25" s="567"/>
      <c r="Q25" s="567"/>
      <c r="R25" s="567"/>
      <c r="S25" s="567"/>
      <c r="T25" s="567"/>
      <c r="U25" s="567"/>
      <c r="V25" s="567"/>
      <c r="W25" s="567"/>
      <c r="X25" s="567"/>
      <c r="Y25" s="567"/>
      <c r="Z25" s="567"/>
      <c r="AA25" s="567"/>
      <c r="AB25" s="567"/>
      <c r="AC25" s="567"/>
      <c r="AD25" s="567"/>
      <c r="AE25" s="567"/>
    </row>
    <row r="26" spans="2:31" ht="15" customHeight="1" x14ac:dyDescent="0.25">
      <c r="B26" s="640"/>
      <c r="C26" s="640"/>
      <c r="D26" s="640"/>
      <c r="E26" s="640"/>
      <c r="F26" s="640"/>
      <c r="G26" s="640"/>
      <c r="H26" s="640"/>
      <c r="I26" s="640"/>
      <c r="J26" s="640"/>
      <c r="K26" s="640"/>
      <c r="L26" s="640"/>
      <c r="M26" s="640"/>
      <c r="N26" s="567"/>
      <c r="O26" s="640" t="s">
        <v>637</v>
      </c>
      <c r="P26" s="640"/>
      <c r="Q26" s="640"/>
      <c r="R26" s="640"/>
      <c r="S26" s="640"/>
      <c r="T26" s="640"/>
      <c r="U26" s="640"/>
      <c r="V26" s="640"/>
      <c r="W26" s="640"/>
      <c r="X26" s="640"/>
      <c r="Y26" s="640"/>
      <c r="Z26" s="640"/>
      <c r="AA26" s="640"/>
      <c r="AB26" s="569"/>
      <c r="AC26" s="569"/>
      <c r="AD26" s="569"/>
      <c r="AE26" s="569"/>
    </row>
    <row r="27" spans="2:31" ht="15" customHeight="1" x14ac:dyDescent="0.25">
      <c r="B27" s="640"/>
      <c r="C27" s="640"/>
      <c r="D27" s="640"/>
      <c r="E27" s="640"/>
      <c r="F27" s="640"/>
      <c r="G27" s="640"/>
      <c r="H27" s="640"/>
      <c r="I27" s="640"/>
      <c r="J27" s="640"/>
      <c r="K27" s="640"/>
      <c r="L27" s="640"/>
      <c r="M27" s="640"/>
      <c r="N27" s="567"/>
      <c r="O27" s="640"/>
      <c r="P27" s="640"/>
      <c r="Q27" s="640"/>
      <c r="R27" s="640"/>
      <c r="S27" s="640"/>
      <c r="T27" s="640"/>
      <c r="U27" s="640"/>
      <c r="V27" s="640"/>
      <c r="W27" s="640"/>
      <c r="X27" s="640"/>
      <c r="Y27" s="640"/>
      <c r="Z27" s="640"/>
      <c r="AA27" s="640"/>
      <c r="AB27" s="569"/>
      <c r="AC27" s="569"/>
      <c r="AD27" s="569"/>
      <c r="AE27" s="569"/>
    </row>
    <row r="28" spans="2:31" ht="15" customHeight="1" x14ac:dyDescent="0.25">
      <c r="B28" s="640"/>
      <c r="C28" s="640"/>
      <c r="D28" s="640"/>
      <c r="E28" s="640"/>
      <c r="F28" s="640"/>
      <c r="G28" s="640"/>
      <c r="H28" s="640"/>
      <c r="I28" s="640"/>
      <c r="J28" s="640"/>
      <c r="K28" s="640"/>
      <c r="L28" s="640"/>
      <c r="M28" s="640"/>
      <c r="N28" s="567"/>
      <c r="O28" s="640"/>
      <c r="P28" s="640"/>
      <c r="Q28" s="640"/>
      <c r="R28" s="640"/>
      <c r="S28" s="640"/>
      <c r="T28" s="640"/>
      <c r="U28" s="640"/>
      <c r="V28" s="640"/>
      <c r="W28" s="640"/>
      <c r="X28" s="640"/>
      <c r="Y28" s="640"/>
      <c r="Z28" s="640"/>
      <c r="AA28" s="640"/>
      <c r="AB28" s="569"/>
      <c r="AC28" s="569"/>
      <c r="AD28" s="569"/>
      <c r="AE28" s="569"/>
    </row>
    <row r="29" spans="2:31" ht="15" customHeight="1" x14ac:dyDescent="0.25">
      <c r="B29" s="640"/>
      <c r="C29" s="640"/>
      <c r="D29" s="640"/>
      <c r="E29" s="640"/>
      <c r="F29" s="640"/>
      <c r="G29" s="640"/>
      <c r="H29" s="640"/>
      <c r="I29" s="640"/>
      <c r="J29" s="640"/>
      <c r="K29" s="640"/>
      <c r="L29" s="640"/>
      <c r="M29" s="640"/>
      <c r="N29" s="567"/>
      <c r="O29" s="640"/>
      <c r="P29" s="640"/>
      <c r="Q29" s="640"/>
      <c r="R29" s="640"/>
      <c r="S29" s="640"/>
      <c r="T29" s="640"/>
      <c r="U29" s="640"/>
      <c r="V29" s="640"/>
      <c r="W29" s="640"/>
      <c r="X29" s="640"/>
      <c r="Y29" s="640"/>
      <c r="Z29" s="640"/>
      <c r="AA29" s="640"/>
      <c r="AB29" s="569"/>
      <c r="AC29" s="569"/>
      <c r="AD29" s="569"/>
      <c r="AE29" s="569"/>
    </row>
    <row r="30" spans="2:31" ht="15" customHeight="1" x14ac:dyDescent="0.25">
      <c r="B30" s="640"/>
      <c r="C30" s="640"/>
      <c r="D30" s="640"/>
      <c r="E30" s="640"/>
      <c r="F30" s="640"/>
      <c r="G30" s="640"/>
      <c r="H30" s="640"/>
      <c r="I30" s="640"/>
      <c r="J30" s="640"/>
      <c r="K30" s="640"/>
      <c r="L30" s="640"/>
      <c r="M30" s="640"/>
      <c r="N30" s="567"/>
      <c r="O30" s="640"/>
      <c r="P30" s="640"/>
      <c r="Q30" s="640"/>
      <c r="R30" s="640"/>
      <c r="S30" s="640"/>
      <c r="T30" s="640"/>
      <c r="U30" s="640"/>
      <c r="V30" s="640"/>
      <c r="W30" s="640"/>
      <c r="X30" s="640"/>
      <c r="Y30" s="640"/>
      <c r="Z30" s="640"/>
      <c r="AA30" s="640"/>
      <c r="AB30" s="569"/>
      <c r="AC30" s="569"/>
      <c r="AD30" s="569"/>
      <c r="AE30" s="569"/>
    </row>
    <row r="31" spans="2:31" ht="15" customHeight="1" x14ac:dyDescent="0.25">
      <c r="B31" s="640"/>
      <c r="C31" s="640"/>
      <c r="D31" s="640"/>
      <c r="E31" s="640"/>
      <c r="F31" s="640"/>
      <c r="G31" s="640"/>
      <c r="H31" s="640"/>
      <c r="I31" s="640"/>
      <c r="J31" s="640"/>
      <c r="K31" s="640"/>
      <c r="L31" s="640"/>
      <c r="M31" s="640"/>
      <c r="N31" s="567"/>
      <c r="O31" s="640"/>
      <c r="P31" s="640"/>
      <c r="Q31" s="640"/>
      <c r="R31" s="640"/>
      <c r="S31" s="640"/>
      <c r="T31" s="640"/>
      <c r="U31" s="640"/>
      <c r="V31" s="640"/>
      <c r="W31" s="640"/>
      <c r="X31" s="640"/>
      <c r="Y31" s="640"/>
      <c r="Z31" s="640"/>
      <c r="AA31" s="640"/>
      <c r="AB31" s="569"/>
      <c r="AC31" s="569"/>
      <c r="AD31" s="569"/>
      <c r="AE31" s="569"/>
    </row>
    <row r="32" spans="2:31" ht="15" customHeight="1" x14ac:dyDescent="0.25">
      <c r="B32" s="640"/>
      <c r="C32" s="640"/>
      <c r="D32" s="640"/>
      <c r="E32" s="640"/>
      <c r="F32" s="640"/>
      <c r="G32" s="640"/>
      <c r="H32" s="640"/>
      <c r="I32" s="640"/>
      <c r="J32" s="640"/>
      <c r="K32" s="640"/>
      <c r="L32" s="640"/>
      <c r="M32" s="640"/>
      <c r="N32" s="567"/>
      <c r="O32" s="568" t="s">
        <v>666</v>
      </c>
      <c r="P32" s="567"/>
      <c r="Q32" s="567"/>
      <c r="R32" s="567"/>
      <c r="S32" s="567"/>
      <c r="T32" s="567"/>
      <c r="U32" s="567"/>
      <c r="V32" s="567"/>
      <c r="W32" s="567"/>
      <c r="X32" s="567"/>
      <c r="Y32" s="567"/>
      <c r="Z32" s="567"/>
      <c r="AA32" s="567"/>
      <c r="AB32" s="567"/>
      <c r="AC32" s="567"/>
      <c r="AD32" s="567"/>
      <c r="AE32" s="567"/>
    </row>
    <row r="33" spans="2:31" ht="15.75" x14ac:dyDescent="0.25">
      <c r="B33" s="640"/>
      <c r="C33" s="640"/>
      <c r="D33" s="640"/>
      <c r="E33" s="640"/>
      <c r="F33" s="640"/>
      <c r="G33" s="640"/>
      <c r="H33" s="640"/>
      <c r="I33" s="640"/>
      <c r="J33" s="640"/>
      <c r="K33" s="640"/>
      <c r="L33" s="640"/>
      <c r="M33" s="640"/>
      <c r="N33" s="567"/>
      <c r="O33" s="640" t="s">
        <v>667</v>
      </c>
      <c r="P33" s="640"/>
      <c r="Q33" s="640"/>
      <c r="R33" s="640"/>
      <c r="S33" s="640"/>
      <c r="T33" s="640"/>
      <c r="U33" s="640"/>
      <c r="V33" s="640"/>
      <c r="W33" s="640"/>
      <c r="X33" s="640"/>
      <c r="Y33" s="640"/>
      <c r="Z33" s="640"/>
      <c r="AA33" s="640"/>
      <c r="AB33" s="569"/>
      <c r="AC33" s="569"/>
      <c r="AD33" s="569"/>
      <c r="AE33" s="569"/>
    </row>
    <row r="34" spans="2:31" ht="12.75" customHeight="1" x14ac:dyDescent="0.25">
      <c r="B34" s="640"/>
      <c r="C34" s="640"/>
      <c r="D34" s="640"/>
      <c r="E34" s="640"/>
      <c r="F34" s="640"/>
      <c r="G34" s="640"/>
      <c r="H34" s="640"/>
      <c r="I34" s="640"/>
      <c r="J34" s="640"/>
      <c r="K34" s="640"/>
      <c r="L34" s="640"/>
      <c r="M34" s="640"/>
      <c r="N34" s="567"/>
      <c r="O34" s="640"/>
      <c r="P34" s="640"/>
      <c r="Q34" s="640"/>
      <c r="R34" s="640"/>
      <c r="S34" s="640"/>
      <c r="T34" s="640"/>
      <c r="U34" s="640"/>
      <c r="V34" s="640"/>
      <c r="W34" s="640"/>
      <c r="X34" s="640"/>
      <c r="Y34" s="640"/>
      <c r="Z34" s="640"/>
      <c r="AA34" s="640"/>
      <c r="AB34" s="569"/>
      <c r="AC34" s="569"/>
      <c r="AD34" s="569"/>
      <c r="AE34" s="569"/>
    </row>
    <row r="35" spans="2:31" ht="15.75" x14ac:dyDescent="0.25">
      <c r="B35" s="567"/>
      <c r="C35" s="567"/>
      <c r="D35" s="567"/>
      <c r="E35" s="567"/>
      <c r="F35" s="567"/>
      <c r="G35" s="567"/>
      <c r="H35" s="567"/>
      <c r="I35" s="567"/>
      <c r="J35" s="567"/>
      <c r="K35" s="567"/>
      <c r="L35" s="567"/>
      <c r="M35" s="567"/>
      <c r="N35" s="567"/>
      <c r="O35" s="640"/>
      <c r="P35" s="640"/>
      <c r="Q35" s="640"/>
      <c r="R35" s="640"/>
      <c r="S35" s="640"/>
      <c r="T35" s="640"/>
      <c r="U35" s="640"/>
      <c r="V35" s="640"/>
      <c r="W35" s="640"/>
      <c r="X35" s="640"/>
      <c r="Y35" s="640"/>
      <c r="Z35" s="640"/>
      <c r="AA35" s="640"/>
      <c r="AB35" s="569"/>
      <c r="AC35" s="569"/>
      <c r="AD35" s="569"/>
      <c r="AE35" s="569"/>
    </row>
    <row r="36" spans="2:31" ht="15.75" x14ac:dyDescent="0.25">
      <c r="B36" s="567"/>
      <c r="C36" s="567"/>
      <c r="D36" s="567"/>
      <c r="E36" s="567"/>
      <c r="F36" s="567"/>
      <c r="G36" s="567"/>
      <c r="H36" s="567"/>
      <c r="I36" s="567"/>
      <c r="J36" s="567"/>
      <c r="K36" s="567"/>
      <c r="L36" s="567"/>
      <c r="M36" s="567"/>
      <c r="N36" s="567"/>
      <c r="O36" s="640"/>
      <c r="P36" s="640"/>
      <c r="Q36" s="640"/>
      <c r="R36" s="640"/>
      <c r="S36" s="640"/>
      <c r="T36" s="640"/>
      <c r="U36" s="640"/>
      <c r="V36" s="640"/>
      <c r="W36" s="640"/>
      <c r="X36" s="640"/>
      <c r="Y36" s="640"/>
      <c r="Z36" s="640"/>
      <c r="AA36" s="640"/>
      <c r="AB36" s="569"/>
      <c r="AC36" s="569"/>
      <c r="AD36" s="569"/>
      <c r="AE36" s="569"/>
    </row>
    <row r="37" spans="2:31" ht="15.75" x14ac:dyDescent="0.25">
      <c r="B37" s="567"/>
      <c r="C37" s="567"/>
      <c r="D37" s="567"/>
      <c r="E37" s="567"/>
      <c r="F37" s="567"/>
      <c r="G37" s="567"/>
      <c r="H37" s="567"/>
      <c r="I37" s="567"/>
      <c r="J37" s="567"/>
      <c r="K37" s="567"/>
      <c r="L37" s="567"/>
      <c r="M37" s="567"/>
      <c r="N37" s="567"/>
      <c r="O37" s="640"/>
      <c r="P37" s="640"/>
      <c r="Q37" s="640"/>
      <c r="R37" s="640"/>
      <c r="S37" s="640"/>
      <c r="T37" s="640"/>
      <c r="U37" s="640"/>
      <c r="V37" s="640"/>
      <c r="W37" s="640"/>
      <c r="X37" s="640"/>
      <c r="Y37" s="640"/>
      <c r="Z37" s="640"/>
      <c r="AA37" s="640"/>
      <c r="AB37" s="569"/>
      <c r="AC37" s="569"/>
      <c r="AD37" s="569"/>
      <c r="AE37" s="569"/>
    </row>
    <row r="38" spans="2:31" ht="15.75" x14ac:dyDescent="0.25">
      <c r="B38" s="567"/>
      <c r="C38" s="567"/>
      <c r="D38" s="567"/>
      <c r="E38" s="567"/>
      <c r="F38" s="567"/>
      <c r="G38" s="567"/>
      <c r="H38" s="567"/>
      <c r="I38" s="567"/>
      <c r="J38" s="567"/>
      <c r="K38" s="567"/>
      <c r="L38" s="567"/>
      <c r="M38" s="567"/>
      <c r="N38" s="567"/>
      <c r="O38" s="640"/>
      <c r="P38" s="640"/>
      <c r="Q38" s="640"/>
      <c r="R38" s="640"/>
      <c r="S38" s="640"/>
      <c r="T38" s="640"/>
      <c r="U38" s="640"/>
      <c r="V38" s="640"/>
      <c r="W38" s="640"/>
      <c r="X38" s="640"/>
      <c r="Y38" s="640"/>
      <c r="Z38" s="640"/>
      <c r="AA38" s="640"/>
      <c r="AB38" s="569"/>
      <c r="AC38" s="569"/>
      <c r="AD38" s="569"/>
      <c r="AE38" s="569"/>
    </row>
    <row r="39" spans="2:31" ht="15.75" x14ac:dyDescent="0.25">
      <c r="M39" s="567"/>
      <c r="N39" s="567"/>
      <c r="O39" s="640"/>
      <c r="P39" s="640"/>
      <c r="Q39" s="640"/>
      <c r="R39" s="640"/>
      <c r="S39" s="640"/>
      <c r="T39" s="640"/>
      <c r="U39" s="640"/>
      <c r="V39" s="640"/>
      <c r="W39" s="640"/>
      <c r="X39" s="640"/>
      <c r="Y39" s="640"/>
      <c r="Z39" s="640"/>
      <c r="AA39" s="640"/>
      <c r="AB39" s="569"/>
      <c r="AC39" s="569"/>
      <c r="AD39" s="569"/>
      <c r="AE39" s="569"/>
    </row>
    <row r="40" spans="2:31" ht="15.75" x14ac:dyDescent="0.25">
      <c r="B40" s="567" t="s">
        <v>665</v>
      </c>
      <c r="M40" s="567"/>
      <c r="N40" s="567"/>
      <c r="O40" s="640"/>
      <c r="P40" s="640"/>
      <c r="Q40" s="640"/>
      <c r="R40" s="640"/>
      <c r="S40" s="640"/>
      <c r="T40" s="640"/>
      <c r="U40" s="640"/>
      <c r="V40" s="640"/>
      <c r="W40" s="640"/>
      <c r="X40" s="640"/>
      <c r="Y40" s="640"/>
      <c r="Z40" s="640"/>
      <c r="AA40" s="640"/>
      <c r="AB40" s="569"/>
      <c r="AC40" s="569"/>
      <c r="AD40" s="569"/>
      <c r="AE40" s="569"/>
    </row>
    <row r="41" spans="2:31" ht="15.75" customHeight="1" x14ac:dyDescent="0.25">
      <c r="M41" s="567"/>
      <c r="N41" s="567"/>
      <c r="O41" s="640"/>
      <c r="P41" s="640"/>
      <c r="Q41" s="640"/>
      <c r="R41" s="640"/>
      <c r="S41" s="640"/>
      <c r="T41" s="640"/>
      <c r="U41" s="640"/>
      <c r="V41" s="640"/>
      <c r="W41" s="640"/>
      <c r="X41" s="640"/>
      <c r="Y41" s="640"/>
      <c r="Z41" s="640"/>
      <c r="AA41" s="640"/>
      <c r="AB41" s="569"/>
      <c r="AC41" s="569"/>
      <c r="AD41" s="569"/>
      <c r="AE41" s="569"/>
    </row>
    <row r="42" spans="2:31" ht="12.75" customHeight="1" x14ac:dyDescent="0.2">
      <c r="O42" s="640"/>
      <c r="P42" s="640"/>
      <c r="Q42" s="640"/>
      <c r="R42" s="640"/>
      <c r="S42" s="640"/>
      <c r="T42" s="640"/>
      <c r="U42" s="640"/>
      <c r="V42" s="640"/>
      <c r="W42" s="640"/>
      <c r="X42" s="640"/>
      <c r="Y42" s="640"/>
      <c r="Z42" s="640"/>
      <c r="AA42" s="640"/>
      <c r="AB42" s="569"/>
      <c r="AC42" s="569"/>
      <c r="AD42" s="569"/>
      <c r="AE42" s="569"/>
    </row>
    <row r="43" spans="2:31" ht="12.75" customHeight="1" x14ac:dyDescent="0.2"/>
    <row r="53" spans="2:12" ht="15.75" x14ac:dyDescent="0.2">
      <c r="B53" s="569"/>
      <c r="C53" s="569"/>
      <c r="D53" s="569"/>
      <c r="E53" s="569"/>
      <c r="F53" s="569"/>
      <c r="G53" s="569"/>
      <c r="H53" s="569"/>
      <c r="I53" s="569"/>
      <c r="J53" s="569"/>
      <c r="K53" s="569"/>
      <c r="L53" s="569"/>
    </row>
  </sheetData>
  <sheetProtection sheet="1" objects="1" scenarios="1"/>
  <mergeCells count="5">
    <mergeCell ref="O26:AA31"/>
    <mergeCell ref="O4:AA24"/>
    <mergeCell ref="B4:M14"/>
    <mergeCell ref="B18:M34"/>
    <mergeCell ref="O33:AA42"/>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6671"/>
  </sheetPr>
  <dimension ref="A1:O113"/>
  <sheetViews>
    <sheetView showGridLines="0" showRuler="0" view="pageLayout" zoomScaleNormal="100" zoomScaleSheetLayoutView="80" workbookViewId="0">
      <selection activeCell="F4" sqref="F4:H4"/>
    </sheetView>
  </sheetViews>
  <sheetFormatPr defaultColWidth="7.85546875" defaultRowHeight="14.25" customHeight="1" x14ac:dyDescent="0.2"/>
  <cols>
    <col min="1" max="1" width="2.5703125" style="16" customWidth="1"/>
    <col min="2" max="2" width="1" style="16" customWidth="1"/>
    <col min="3" max="3" width="2.5703125" style="16" customWidth="1"/>
    <col min="4" max="4" width="1" style="16" customWidth="1"/>
    <col min="5" max="5" width="9.5703125" style="16" customWidth="1"/>
    <col min="6" max="6" width="11.5703125" style="16" customWidth="1"/>
    <col min="7" max="7" width="6.28515625" style="16" customWidth="1"/>
    <col min="8" max="8" width="11.5703125" style="16" customWidth="1"/>
    <col min="9" max="9" width="14.7109375" style="16" bestFit="1" customWidth="1"/>
    <col min="10" max="10" width="6.28515625" style="16" customWidth="1"/>
    <col min="11" max="11" width="11.5703125" style="16" customWidth="1"/>
    <col min="12" max="12" width="6.28515625" style="16" customWidth="1"/>
    <col min="13" max="13" width="11.5703125" style="16" customWidth="1"/>
    <col min="14" max="14" width="4.7109375" style="16" customWidth="1"/>
    <col min="15" max="15" width="2.5703125" style="16" customWidth="1"/>
    <col min="16" max="16384" width="7.85546875" style="16"/>
  </cols>
  <sheetData>
    <row r="1" spans="1:15" ht="14.25" customHeight="1" x14ac:dyDescent="0.2">
      <c r="A1" s="658" t="s">
        <v>297</v>
      </c>
      <c r="B1" s="658"/>
      <c r="C1" s="658"/>
      <c r="D1" s="658"/>
      <c r="E1" s="658"/>
      <c r="F1" s="658"/>
      <c r="G1" s="658"/>
      <c r="H1" s="658"/>
      <c r="I1" s="658"/>
      <c r="J1" s="658"/>
      <c r="K1" s="658"/>
      <c r="L1" s="658"/>
      <c r="M1" s="658"/>
      <c r="N1" s="658"/>
      <c r="O1" s="658"/>
    </row>
    <row r="2" spans="1:15" ht="16.5" customHeight="1" x14ac:dyDescent="0.25">
      <c r="B2" s="642" t="s">
        <v>54</v>
      </c>
      <c r="C2" s="642"/>
      <c r="D2" s="642"/>
      <c r="E2" s="642"/>
      <c r="F2" s="642"/>
      <c r="G2" s="642"/>
      <c r="H2" s="642"/>
      <c r="I2" s="642"/>
      <c r="J2" s="642"/>
      <c r="K2" s="642"/>
      <c r="L2" s="642"/>
      <c r="M2" s="642"/>
      <c r="N2" s="642"/>
    </row>
    <row r="3" spans="1:15" ht="5.0999999999999996" customHeight="1" x14ac:dyDescent="0.25">
      <c r="A3" s="333"/>
      <c r="B3" s="333"/>
      <c r="C3" s="333"/>
      <c r="D3" s="333"/>
      <c r="E3" s="333"/>
      <c r="F3" s="333"/>
      <c r="G3" s="333"/>
      <c r="H3" s="333"/>
      <c r="I3" s="333"/>
      <c r="J3" s="333"/>
      <c r="K3" s="333"/>
      <c r="L3" s="333"/>
      <c r="M3" s="333"/>
      <c r="N3" s="333"/>
    </row>
    <row r="4" spans="1:15" s="36" customFormat="1" ht="16.5" customHeight="1" x14ac:dyDescent="0.2">
      <c r="A4" s="662" t="s">
        <v>298</v>
      </c>
      <c r="B4" s="662"/>
      <c r="C4" s="662"/>
      <c r="D4" s="662"/>
      <c r="E4" s="662"/>
      <c r="F4" s="643"/>
      <c r="G4" s="643"/>
      <c r="H4" s="643"/>
      <c r="I4" s="522"/>
      <c r="L4" s="420" t="s">
        <v>299</v>
      </c>
      <c r="M4" s="523"/>
    </row>
    <row r="5" spans="1:15" s="36" customFormat="1" ht="16.5" customHeight="1" x14ac:dyDescent="0.2">
      <c r="A5" s="667" t="s">
        <v>300</v>
      </c>
      <c r="B5" s="667"/>
      <c r="C5" s="667"/>
      <c r="D5" s="667"/>
      <c r="E5" s="667"/>
      <c r="F5" s="643"/>
      <c r="G5" s="643"/>
      <c r="H5" s="643"/>
      <c r="I5" s="522"/>
    </row>
    <row r="6" spans="1:15" s="36" customFormat="1" ht="16.5" customHeight="1" x14ac:dyDescent="0.2">
      <c r="A6" s="667" t="s">
        <v>301</v>
      </c>
      <c r="B6" s="667"/>
      <c r="C6" s="667"/>
      <c r="D6" s="667"/>
      <c r="E6" s="667"/>
      <c r="F6" s="643"/>
      <c r="G6" s="643"/>
      <c r="H6" s="643"/>
      <c r="I6" s="522"/>
      <c r="J6" s="420" t="s">
        <v>302</v>
      </c>
      <c r="K6" s="643"/>
      <c r="L6" s="643"/>
      <c r="M6" s="643"/>
      <c r="N6" s="28"/>
    </row>
    <row r="7" spans="1:15" ht="16.5" customHeight="1" x14ac:dyDescent="0.2">
      <c r="A7" s="24"/>
      <c r="B7" s="24"/>
      <c r="C7" s="24"/>
      <c r="D7" s="24"/>
      <c r="E7" s="24"/>
      <c r="F7" s="519"/>
      <c r="G7" s="519"/>
      <c r="H7" s="519"/>
      <c r="I7" s="24"/>
      <c r="J7" s="19"/>
      <c r="K7" s="519"/>
      <c r="L7" s="519"/>
      <c r="M7" s="519"/>
      <c r="N7" s="29"/>
    </row>
    <row r="8" spans="1:15" ht="12.75" x14ac:dyDescent="0.2">
      <c r="A8" s="644" t="s">
        <v>303</v>
      </c>
      <c r="B8" s="644"/>
      <c r="C8" s="644"/>
      <c r="D8" s="644"/>
      <c r="E8" s="644"/>
      <c r="F8" s="644"/>
    </row>
    <row r="9" spans="1:15" s="36" customFormat="1" ht="16.5" customHeight="1" x14ac:dyDescent="0.2">
      <c r="E9" s="420" t="s">
        <v>304</v>
      </c>
      <c r="F9" s="648" t="s">
        <v>79</v>
      </c>
      <c r="G9" s="648"/>
      <c r="H9" s="420" t="s">
        <v>305</v>
      </c>
      <c r="I9" s="520">
        <v>200000</v>
      </c>
      <c r="K9" s="420" t="s">
        <v>306</v>
      </c>
      <c r="L9" s="645">
        <v>1537118</v>
      </c>
      <c r="M9" s="645"/>
      <c r="N9" s="521" t="s">
        <v>106</v>
      </c>
    </row>
    <row r="10" spans="1:15" s="36" customFormat="1" ht="16.5" customHeight="1" x14ac:dyDescent="0.2">
      <c r="E10" s="420" t="s">
        <v>307</v>
      </c>
      <c r="F10" s="643" t="s">
        <v>221</v>
      </c>
      <c r="G10" s="643"/>
      <c r="H10" s="643"/>
      <c r="I10" s="643"/>
      <c r="K10" s="28"/>
      <c r="L10" s="645">
        <v>75852</v>
      </c>
      <c r="M10" s="645"/>
      <c r="N10" s="521" t="s">
        <v>308</v>
      </c>
    </row>
    <row r="11" spans="1:15" ht="12.75" x14ac:dyDescent="0.2">
      <c r="K11" s="27"/>
      <c r="L11" s="26"/>
      <c r="M11" s="26"/>
      <c r="N11" s="25"/>
    </row>
    <row r="12" spans="1:15" ht="12.75" customHeight="1" x14ac:dyDescent="0.2">
      <c r="A12" s="647" t="s">
        <v>309</v>
      </c>
      <c r="B12" s="647"/>
      <c r="C12" s="647"/>
      <c r="D12" s="647"/>
      <c r="E12" s="647"/>
      <c r="F12" s="647"/>
      <c r="G12" s="647"/>
      <c r="H12" s="647"/>
      <c r="I12" s="647"/>
      <c r="J12" s="647"/>
      <c r="K12" s="647"/>
      <c r="L12" s="647"/>
      <c r="M12" s="647"/>
      <c r="N12" s="647"/>
    </row>
    <row r="13" spans="1:15" ht="12.75" x14ac:dyDescent="0.2">
      <c r="A13" s="647"/>
      <c r="B13" s="647"/>
      <c r="C13" s="647"/>
      <c r="D13" s="647"/>
      <c r="E13" s="647"/>
      <c r="F13" s="647"/>
      <c r="G13" s="647"/>
      <c r="H13" s="647"/>
      <c r="I13" s="647"/>
      <c r="J13" s="647"/>
      <c r="K13" s="647"/>
      <c r="L13" s="647"/>
      <c r="M13" s="647"/>
      <c r="N13" s="647"/>
    </row>
    <row r="14" spans="1:15" ht="12.75" x14ac:dyDescent="0.2">
      <c r="A14" s="647"/>
      <c r="B14" s="647"/>
      <c r="C14" s="647"/>
      <c r="D14" s="647"/>
      <c r="E14" s="647"/>
      <c r="F14" s="647"/>
      <c r="G14" s="647"/>
      <c r="H14" s="647"/>
      <c r="I14" s="647"/>
      <c r="J14" s="647"/>
      <c r="K14" s="647"/>
      <c r="L14" s="647"/>
      <c r="M14" s="647"/>
      <c r="N14" s="647"/>
    </row>
    <row r="15" spans="1:15" ht="12.75" x14ac:dyDescent="0.2">
      <c r="A15" s="92"/>
      <c r="B15" s="92"/>
      <c r="C15" s="92"/>
      <c r="D15" s="92"/>
      <c r="E15" s="92"/>
      <c r="F15" s="92"/>
      <c r="G15" s="92"/>
      <c r="H15" s="92"/>
      <c r="I15" s="92"/>
      <c r="J15" s="92"/>
      <c r="K15" s="92"/>
      <c r="L15" s="92"/>
      <c r="M15" s="92"/>
      <c r="N15" s="92"/>
    </row>
    <row r="16" spans="1:15" ht="12.75" x14ac:dyDescent="0.2">
      <c r="A16" s="644" t="s">
        <v>310</v>
      </c>
      <c r="B16" s="644"/>
      <c r="C16" s="644"/>
      <c r="D16" s="644"/>
      <c r="E16" s="644"/>
      <c r="F16" s="644"/>
      <c r="G16" s="23" t="b">
        <v>0</v>
      </c>
      <c r="I16" s="23" t="b">
        <v>0</v>
      </c>
    </row>
    <row r="17" spans="2:14" ht="14.25" customHeight="1" x14ac:dyDescent="0.2">
      <c r="C17" s="16" t="s">
        <v>311</v>
      </c>
      <c r="G17" s="16" t="s">
        <v>109</v>
      </c>
      <c r="I17" s="16" t="s">
        <v>100</v>
      </c>
    </row>
    <row r="18" spans="2:14" ht="14.25" customHeight="1" x14ac:dyDescent="0.2">
      <c r="E18" s="646" t="s">
        <v>312</v>
      </c>
      <c r="F18" s="646"/>
      <c r="G18" s="646"/>
      <c r="H18" s="646"/>
      <c r="I18" s="646"/>
      <c r="J18" s="646"/>
      <c r="K18" s="646"/>
      <c r="L18" s="646"/>
      <c r="M18" s="646"/>
      <c r="N18" s="646"/>
    </row>
    <row r="19" spans="2:14" ht="14.25" customHeight="1" x14ac:dyDescent="0.2">
      <c r="E19" s="646"/>
      <c r="F19" s="646"/>
      <c r="G19" s="646"/>
      <c r="H19" s="646"/>
      <c r="I19" s="646"/>
      <c r="J19" s="646"/>
      <c r="K19" s="646"/>
      <c r="L19" s="646"/>
      <c r="M19" s="646"/>
      <c r="N19" s="646"/>
    </row>
    <row r="20" spans="2:14" ht="14.25" customHeight="1" x14ac:dyDescent="0.2">
      <c r="C20" s="646" t="s">
        <v>586</v>
      </c>
      <c r="D20" s="646"/>
      <c r="E20" s="646"/>
      <c r="F20" s="646"/>
      <c r="G20" s="646"/>
      <c r="H20" s="646"/>
      <c r="I20" s="646"/>
      <c r="J20" s="646"/>
      <c r="K20" s="646"/>
      <c r="L20" s="646"/>
      <c r="M20" s="646"/>
      <c r="N20" s="646"/>
    </row>
    <row r="21" spans="2:14" ht="14.25" customHeight="1" x14ac:dyDescent="0.2">
      <c r="C21" s="16" t="s">
        <v>643</v>
      </c>
    </row>
    <row r="22" spans="2:14" ht="14.25" customHeight="1" x14ac:dyDescent="0.2">
      <c r="C22" s="16" t="s">
        <v>644</v>
      </c>
      <c r="I22" s="19" t="s">
        <v>338</v>
      </c>
      <c r="J22" s="641"/>
      <c r="K22" s="641"/>
    </row>
    <row r="23" spans="2:14" ht="14.25" customHeight="1" x14ac:dyDescent="0.2">
      <c r="D23" s="461"/>
      <c r="E23" s="570" t="s">
        <v>313</v>
      </c>
      <c r="F23" s="461"/>
      <c r="G23" s="461"/>
      <c r="H23" s="461"/>
      <c r="I23" s="461"/>
      <c r="J23" s="461"/>
      <c r="K23" s="461"/>
      <c r="L23" s="461"/>
      <c r="M23" s="461"/>
      <c r="N23" s="461"/>
    </row>
    <row r="24" spans="2:14" ht="14.25" customHeight="1" x14ac:dyDescent="0.2">
      <c r="C24" s="16" t="s">
        <v>314</v>
      </c>
    </row>
    <row r="25" spans="2:14" ht="14.25" customHeight="1" x14ac:dyDescent="0.2">
      <c r="C25" s="662" t="s">
        <v>317</v>
      </c>
      <c r="D25" s="662"/>
      <c r="E25" s="662"/>
      <c r="F25" s="662"/>
      <c r="G25" s="662"/>
      <c r="H25" s="662"/>
      <c r="I25" s="662"/>
      <c r="J25" s="662"/>
      <c r="K25" s="662"/>
      <c r="L25" s="662"/>
      <c r="M25" s="662"/>
      <c r="N25" s="662"/>
    </row>
    <row r="26" spans="2:14" ht="14.25" customHeight="1" x14ac:dyDescent="0.2">
      <c r="C26" s="662"/>
      <c r="D26" s="662"/>
      <c r="E26" s="662"/>
      <c r="F26" s="662"/>
      <c r="G26" s="662"/>
      <c r="H26" s="662"/>
      <c r="I26" s="662"/>
      <c r="J26" s="662"/>
      <c r="K26" s="662"/>
      <c r="L26" s="662"/>
      <c r="M26" s="662"/>
      <c r="N26" s="662"/>
    </row>
    <row r="27" spans="2:14" ht="14.25" customHeight="1" x14ac:dyDescent="0.2">
      <c r="B27" s="35"/>
      <c r="C27" s="17" t="s">
        <v>315</v>
      </c>
      <c r="D27" s="35"/>
      <c r="E27" s="35"/>
      <c r="F27" s="35"/>
      <c r="G27" s="35"/>
      <c r="H27" s="35"/>
    </row>
    <row r="28" spans="2:14" ht="14.25" customHeight="1" x14ac:dyDescent="0.2">
      <c r="C28" s="16" t="s">
        <v>316</v>
      </c>
    </row>
    <row r="29" spans="2:14" ht="12.75" x14ac:dyDescent="0.2"/>
    <row r="30" spans="2:14" ht="12.75" x14ac:dyDescent="0.2">
      <c r="C30" s="92"/>
      <c r="D30" s="92"/>
      <c r="E30" s="92"/>
      <c r="F30" s="92"/>
      <c r="G30" s="92"/>
      <c r="H30" s="92"/>
      <c r="I30" s="92"/>
      <c r="J30" s="92"/>
      <c r="K30" s="92"/>
      <c r="L30" s="92"/>
      <c r="M30" s="92"/>
      <c r="N30" s="92"/>
    </row>
    <row r="31" spans="2:14" ht="14.25" customHeight="1" x14ac:dyDescent="0.2">
      <c r="C31" s="16" t="s">
        <v>318</v>
      </c>
      <c r="G31" s="524">
        <f>J31*3.412+L31*100</f>
        <v>64.149233080000002</v>
      </c>
      <c r="H31" s="16" t="s">
        <v>319</v>
      </c>
      <c r="J31" s="22">
        <f>L9/I9</f>
        <v>7.6855900000000004</v>
      </c>
      <c r="K31" s="16" t="s">
        <v>320</v>
      </c>
      <c r="L31" s="22">
        <f>L10/I9</f>
        <v>0.37925999999999999</v>
      </c>
      <c r="M31" s="16" t="s">
        <v>321</v>
      </c>
    </row>
    <row r="32" spans="2:14" ht="12.75" x14ac:dyDescent="0.2">
      <c r="C32" s="21" t="s">
        <v>645</v>
      </c>
      <c r="F32" s="20"/>
      <c r="G32" s="21">
        <f>VLOOKUP(F10,Hidden!AB6:AD118,3,FALSE)</f>
        <v>60</v>
      </c>
      <c r="H32" s="20" t="s">
        <v>319</v>
      </c>
      <c r="I32" s="20"/>
      <c r="J32" s="21">
        <f>VLOOKUP(F9,Table3[],2,FALSE)</f>
        <v>11.843875468960499</v>
      </c>
      <c r="K32" s="20" t="s">
        <v>646</v>
      </c>
      <c r="L32" s="21">
        <f>VLOOKUP($F$9,Table4[],2,FALSE)</f>
        <v>0.16486466038011999</v>
      </c>
      <c r="M32" s="20" t="s">
        <v>647</v>
      </c>
    </row>
    <row r="33" spans="1:14" ht="12.75" customHeight="1" x14ac:dyDescent="0.2">
      <c r="C33" s="21"/>
      <c r="F33" s="20"/>
      <c r="G33" s="21"/>
      <c r="H33" s="20"/>
      <c r="I33" s="20"/>
      <c r="J33" s="20" t="str">
        <f>"*PSE average '"&amp;F9&amp;"' building"</f>
        <v>*PSE average 'Office' building</v>
      </c>
      <c r="K33" s="20"/>
      <c r="L33" s="21"/>
      <c r="M33" s="20"/>
    </row>
    <row r="34" spans="1:14" ht="12.75" x14ac:dyDescent="0.2"/>
    <row r="35" spans="1:14" ht="12.75" x14ac:dyDescent="0.2">
      <c r="A35" s="644" t="s">
        <v>588</v>
      </c>
      <c r="B35" s="661"/>
      <c r="C35" s="661"/>
      <c r="D35" s="661"/>
      <c r="E35" s="661"/>
      <c r="F35" s="661"/>
      <c r="G35" s="661"/>
      <c r="H35" s="661"/>
      <c r="I35" s="20"/>
      <c r="J35" s="20"/>
      <c r="K35" s="20"/>
      <c r="L35" s="21"/>
      <c r="M35" s="20"/>
    </row>
    <row r="36" spans="1:14" ht="12.75" x14ac:dyDescent="0.2">
      <c r="C36" s="21"/>
      <c r="F36" s="20"/>
      <c r="G36" s="21"/>
      <c r="H36" s="20"/>
      <c r="I36" s="20"/>
      <c r="J36" s="20"/>
      <c r="K36" s="20"/>
      <c r="L36" s="21"/>
      <c r="M36" s="20"/>
    </row>
    <row r="37" spans="1:14" ht="12.75" customHeight="1" x14ac:dyDescent="0.2">
      <c r="B37" t="s">
        <v>587</v>
      </c>
      <c r="C37"/>
      <c r="D37"/>
      <c r="E37"/>
      <c r="F37"/>
      <c r="G37"/>
      <c r="H37"/>
      <c r="I37"/>
      <c r="J37"/>
      <c r="K37" s="20"/>
      <c r="L37" s="21"/>
      <c r="M37" s="20"/>
    </row>
    <row r="38" spans="1:14" ht="12.75" x14ac:dyDescent="0.2">
      <c r="B38" s="649"/>
      <c r="C38" s="650"/>
      <c r="D38" s="650"/>
      <c r="E38" s="650"/>
      <c r="F38" s="650"/>
      <c r="G38" s="650"/>
      <c r="H38" s="650"/>
      <c r="I38" s="650"/>
      <c r="J38" s="650"/>
      <c r="K38" s="650"/>
      <c r="L38" s="650"/>
      <c r="M38" s="650"/>
      <c r="N38" s="651"/>
    </row>
    <row r="39" spans="1:14" ht="12.75" x14ac:dyDescent="0.2">
      <c r="B39" s="652"/>
      <c r="C39" s="653"/>
      <c r="D39" s="653"/>
      <c r="E39" s="653"/>
      <c r="F39" s="653"/>
      <c r="G39" s="653"/>
      <c r="H39" s="653"/>
      <c r="I39" s="653"/>
      <c r="J39" s="653"/>
      <c r="K39" s="653"/>
      <c r="L39" s="653"/>
      <c r="M39" s="653"/>
      <c r="N39" s="654"/>
    </row>
    <row r="40" spans="1:14" ht="12.75" x14ac:dyDescent="0.2">
      <c r="B40" s="655"/>
      <c r="C40" s="656"/>
      <c r="D40" s="656"/>
      <c r="E40" s="656"/>
      <c r="F40" s="656"/>
      <c r="G40" s="656"/>
      <c r="H40" s="656"/>
      <c r="I40" s="656"/>
      <c r="J40" s="656"/>
      <c r="K40" s="656"/>
      <c r="L40" s="656"/>
      <c r="M40" s="656"/>
      <c r="N40" s="657"/>
    </row>
    <row r="41" spans="1:14" ht="12.75" customHeight="1" x14ac:dyDescent="0.2">
      <c r="B41"/>
      <c r="C41"/>
      <c r="D41"/>
      <c r="E41"/>
      <c r="F41"/>
      <c r="G41"/>
      <c r="H41"/>
      <c r="I41"/>
      <c r="J41"/>
      <c r="K41" s="20"/>
      <c r="L41" s="21"/>
      <c r="M41" s="20"/>
    </row>
    <row r="42" spans="1:14" ht="12.75" x14ac:dyDescent="0.2">
      <c r="B42" s="84" t="s">
        <v>632</v>
      </c>
      <c r="C42"/>
      <c r="D42"/>
      <c r="E42"/>
      <c r="F42"/>
      <c r="G42"/>
      <c r="H42"/>
      <c r="I42"/>
      <c r="J42"/>
      <c r="K42" s="20"/>
      <c r="L42" s="21"/>
      <c r="M42" s="20"/>
    </row>
    <row r="43" spans="1:14" ht="12.75" x14ac:dyDescent="0.2">
      <c r="B43" s="649"/>
      <c r="C43" s="650"/>
      <c r="D43" s="650"/>
      <c r="E43" s="650"/>
      <c r="F43" s="650"/>
      <c r="G43" s="650"/>
      <c r="H43" s="650"/>
      <c r="I43" s="650"/>
      <c r="J43" s="650"/>
      <c r="K43" s="650"/>
      <c r="L43" s="650"/>
      <c r="M43" s="650"/>
      <c r="N43" s="651"/>
    </row>
    <row r="44" spans="1:14" ht="12.75" x14ac:dyDescent="0.2">
      <c r="B44" s="652"/>
      <c r="C44" s="653"/>
      <c r="D44" s="653"/>
      <c r="E44" s="653"/>
      <c r="F44" s="653"/>
      <c r="G44" s="653"/>
      <c r="H44" s="653"/>
      <c r="I44" s="653"/>
      <c r="J44" s="653"/>
      <c r="K44" s="653"/>
      <c r="L44" s="653"/>
      <c r="M44" s="653"/>
      <c r="N44" s="654"/>
    </row>
    <row r="45" spans="1:14" ht="12.75" x14ac:dyDescent="0.2">
      <c r="B45" s="655"/>
      <c r="C45" s="656"/>
      <c r="D45" s="656"/>
      <c r="E45" s="656"/>
      <c r="F45" s="656"/>
      <c r="G45" s="656"/>
      <c r="H45" s="656"/>
      <c r="I45" s="656"/>
      <c r="J45" s="656"/>
      <c r="K45" s="656"/>
      <c r="L45" s="656"/>
      <c r="M45" s="656"/>
      <c r="N45" s="657"/>
    </row>
    <row r="46" spans="1:14" ht="12.75" x14ac:dyDescent="0.2">
      <c r="B46"/>
      <c r="C46"/>
      <c r="D46"/>
      <c r="E46"/>
      <c r="F46"/>
      <c r="G46"/>
      <c r="H46"/>
      <c r="I46"/>
      <c r="J46"/>
      <c r="K46" s="20"/>
      <c r="L46" s="21"/>
      <c r="M46" s="20"/>
    </row>
    <row r="47" spans="1:14" ht="12.75" customHeight="1" x14ac:dyDescent="0.2">
      <c r="B47" s="84" t="s">
        <v>631</v>
      </c>
      <c r="C47"/>
      <c r="D47"/>
      <c r="E47"/>
      <c r="F47"/>
      <c r="G47"/>
      <c r="H47"/>
      <c r="I47"/>
      <c r="J47"/>
      <c r="K47" s="20"/>
      <c r="L47" s="21"/>
      <c r="M47" s="20"/>
    </row>
    <row r="48" spans="1:14" ht="12.75" customHeight="1" x14ac:dyDescent="0.2">
      <c r="B48" s="664"/>
      <c r="C48" s="665"/>
      <c r="D48" s="665"/>
      <c r="E48" s="665"/>
      <c r="F48" s="665"/>
      <c r="G48" s="665"/>
      <c r="H48" s="665"/>
      <c r="I48" s="665"/>
      <c r="J48" s="665"/>
      <c r="K48" s="665"/>
      <c r="L48" s="665"/>
      <c r="M48" s="665"/>
      <c r="N48" s="666"/>
    </row>
    <row r="49" spans="1:14" ht="12.75" customHeight="1" x14ac:dyDescent="0.2"/>
    <row r="50" spans="1:14" ht="12.75" customHeight="1" x14ac:dyDescent="0.2">
      <c r="B50" s="16" t="s">
        <v>589</v>
      </c>
    </row>
    <row r="51" spans="1:14" ht="12.75" x14ac:dyDescent="0.2">
      <c r="B51" s="649"/>
      <c r="C51" s="650"/>
      <c r="D51" s="650"/>
      <c r="E51" s="650"/>
      <c r="F51" s="650"/>
      <c r="G51" s="650"/>
      <c r="H51" s="650"/>
      <c r="I51" s="650"/>
      <c r="J51" s="650"/>
      <c r="K51" s="650"/>
      <c r="L51" s="650"/>
      <c r="M51" s="650"/>
      <c r="N51" s="651"/>
    </row>
    <row r="52" spans="1:14" ht="12.75" x14ac:dyDescent="0.2">
      <c r="B52" s="652"/>
      <c r="C52" s="653"/>
      <c r="D52" s="653"/>
      <c r="E52" s="653"/>
      <c r="F52" s="653"/>
      <c r="G52" s="653"/>
      <c r="H52" s="653"/>
      <c r="I52" s="653"/>
      <c r="J52" s="653"/>
      <c r="K52" s="653"/>
      <c r="L52" s="653"/>
      <c r="M52" s="653"/>
      <c r="N52" s="654"/>
    </row>
    <row r="53" spans="1:14" ht="12.75" x14ac:dyDescent="0.2">
      <c r="B53" s="655"/>
      <c r="C53" s="656"/>
      <c r="D53" s="656"/>
      <c r="E53" s="656"/>
      <c r="F53" s="656"/>
      <c r="G53" s="656"/>
      <c r="H53" s="656"/>
      <c r="I53" s="656"/>
      <c r="J53" s="656"/>
      <c r="K53" s="656"/>
      <c r="L53" s="656"/>
      <c r="M53" s="656"/>
      <c r="N53" s="657"/>
    </row>
    <row r="54" spans="1:14" ht="12.75" x14ac:dyDescent="0.2">
      <c r="B54"/>
      <c r="C54"/>
      <c r="D54"/>
      <c r="E54"/>
      <c r="F54"/>
      <c r="G54"/>
      <c r="H54"/>
      <c r="I54"/>
      <c r="J54"/>
      <c r="K54" s="20"/>
      <c r="L54" s="21"/>
      <c r="M54" s="20"/>
    </row>
    <row r="55" spans="1:14" ht="12.75" customHeight="1" x14ac:dyDescent="0.2"/>
    <row r="56" spans="1:14" ht="12.75" customHeight="1" x14ac:dyDescent="0.2">
      <c r="C56" s="21"/>
      <c r="F56" s="20"/>
      <c r="G56" s="21"/>
      <c r="H56" s="20"/>
      <c r="I56" s="20"/>
      <c r="J56" s="20"/>
      <c r="K56" s="20"/>
      <c r="L56" s="21"/>
      <c r="M56" s="20"/>
    </row>
    <row r="57" spans="1:14" ht="12.75" customHeight="1" x14ac:dyDescent="0.2">
      <c r="C57" s="21"/>
      <c r="F57" s="20"/>
      <c r="G57" s="21"/>
      <c r="H57" s="20"/>
      <c r="I57" s="20"/>
      <c r="J57" s="20"/>
      <c r="K57" s="20"/>
      <c r="L57" s="21"/>
      <c r="M57" s="20"/>
    </row>
    <row r="58" spans="1:14" ht="12.75" customHeight="1" x14ac:dyDescent="0.2">
      <c r="C58" s="21"/>
      <c r="F58" s="20"/>
      <c r="G58" s="21"/>
      <c r="H58" s="20"/>
      <c r="I58" s="20"/>
      <c r="J58" s="20"/>
      <c r="K58" s="20"/>
      <c r="L58" s="21"/>
      <c r="M58" s="20"/>
    </row>
    <row r="59" spans="1:14" ht="12.75" customHeight="1" x14ac:dyDescent="0.2">
      <c r="C59" s="21"/>
      <c r="F59" s="20"/>
      <c r="G59" s="21"/>
      <c r="H59" s="20"/>
      <c r="I59" s="20"/>
      <c r="J59" s="20"/>
      <c r="K59" s="20"/>
      <c r="L59" s="21"/>
      <c r="M59" s="20"/>
    </row>
    <row r="60" spans="1:14" ht="12.75" customHeight="1" x14ac:dyDescent="0.2">
      <c r="C60" s="21"/>
      <c r="F60" s="20"/>
      <c r="G60" s="21"/>
      <c r="H60" s="20"/>
      <c r="I60" s="20"/>
      <c r="J60" s="20"/>
      <c r="K60" s="20"/>
      <c r="L60" s="21"/>
      <c r="M60" s="20"/>
    </row>
    <row r="61" spans="1:14" ht="12.75" customHeight="1" x14ac:dyDescent="0.2">
      <c r="A61" s="644" t="s">
        <v>322</v>
      </c>
      <c r="B61" s="644"/>
      <c r="C61" s="644"/>
      <c r="D61" s="644"/>
      <c r="E61" s="644"/>
      <c r="F61" s="644"/>
      <c r="G61" s="644"/>
      <c r="H61" s="644"/>
      <c r="I61" s="20"/>
      <c r="J61" s="20"/>
      <c r="K61" s="20"/>
      <c r="L61" s="21"/>
      <c r="M61" s="20"/>
    </row>
    <row r="62" spans="1:14" ht="12.75" x14ac:dyDescent="0.2">
      <c r="C62" s="16" t="s">
        <v>323</v>
      </c>
    </row>
    <row r="63" spans="1:14" ht="14.25" customHeight="1" x14ac:dyDescent="0.2">
      <c r="C63" s="16" t="s">
        <v>324</v>
      </c>
    </row>
    <row r="64" spans="1:14" ht="14.25" customHeight="1" x14ac:dyDescent="0.2">
      <c r="E64" s="16" t="s">
        <v>325</v>
      </c>
      <c r="K64" s="16" t="s">
        <v>326</v>
      </c>
    </row>
    <row r="65" spans="1:14" ht="14.25" customHeight="1" x14ac:dyDescent="0.2">
      <c r="E65" s="16" t="s">
        <v>327</v>
      </c>
      <c r="K65" s="16" t="s">
        <v>328</v>
      </c>
    </row>
    <row r="66" spans="1:14" ht="14.25" customHeight="1" x14ac:dyDescent="0.2">
      <c r="E66" s="16" t="s">
        <v>329</v>
      </c>
    </row>
    <row r="67" spans="1:14" ht="14.25" customHeight="1" x14ac:dyDescent="0.2">
      <c r="E67" s="16" t="s">
        <v>330</v>
      </c>
      <c r="F67" s="641"/>
      <c r="G67" s="641"/>
      <c r="H67" s="641"/>
      <c r="I67" s="641"/>
      <c r="J67" s="641"/>
      <c r="K67" s="641"/>
      <c r="L67" s="641"/>
      <c r="M67" s="641"/>
      <c r="N67" s="641"/>
    </row>
    <row r="68" spans="1:14" ht="14.25" customHeight="1" x14ac:dyDescent="0.2">
      <c r="C68" s="660" t="s">
        <v>331</v>
      </c>
      <c r="D68" s="660"/>
      <c r="E68" s="660"/>
      <c r="F68" s="660"/>
      <c r="G68" s="660"/>
      <c r="H68" s="660"/>
      <c r="I68" s="660"/>
      <c r="J68" s="660"/>
      <c r="K68" s="660"/>
      <c r="L68" s="660"/>
      <c r="M68" s="660"/>
      <c r="N68" s="660"/>
    </row>
    <row r="69" spans="1:14" ht="14.25" customHeight="1" x14ac:dyDescent="0.2">
      <c r="H69" s="19" t="s">
        <v>332</v>
      </c>
      <c r="I69" s="573"/>
      <c r="K69" s="19" t="s">
        <v>333</v>
      </c>
      <c r="L69" s="641"/>
      <c r="M69" s="641"/>
      <c r="N69" s="641"/>
    </row>
    <row r="70" spans="1:14" ht="14.25" customHeight="1" x14ac:dyDescent="0.2">
      <c r="C70" s="16" t="s">
        <v>334</v>
      </c>
    </row>
    <row r="71" spans="1:14" ht="14.25" customHeight="1" x14ac:dyDescent="0.2">
      <c r="C71" s="16" t="s">
        <v>335</v>
      </c>
    </row>
    <row r="72" spans="1:14" ht="14.25" customHeight="1" x14ac:dyDescent="0.2">
      <c r="C72" s="646" t="s">
        <v>336</v>
      </c>
      <c r="D72" s="646"/>
      <c r="E72" s="646"/>
      <c r="F72" s="646"/>
      <c r="G72" s="646"/>
      <c r="H72" s="646"/>
      <c r="I72" s="646"/>
      <c r="J72" s="646"/>
      <c r="K72" s="646"/>
      <c r="L72" s="646"/>
      <c r="M72" s="646"/>
      <c r="N72" s="646"/>
    </row>
    <row r="73" spans="1:14" ht="14.25" customHeight="1" x14ac:dyDescent="0.2">
      <c r="C73" s="16" t="s">
        <v>337</v>
      </c>
    </row>
    <row r="74" spans="1:14" ht="14.25" customHeight="1" x14ac:dyDescent="0.2">
      <c r="C74" s="16" t="s">
        <v>339</v>
      </c>
    </row>
    <row r="75" spans="1:14" ht="14.25" customHeight="1" x14ac:dyDescent="0.2">
      <c r="E75" s="16" t="s">
        <v>340</v>
      </c>
      <c r="J75" s="16" t="s">
        <v>341</v>
      </c>
    </row>
    <row r="76" spans="1:14" ht="14.25" customHeight="1" x14ac:dyDescent="0.2">
      <c r="E76" s="16" t="s">
        <v>342</v>
      </c>
      <c r="J76" s="16" t="s">
        <v>343</v>
      </c>
    </row>
    <row r="77" spans="1:14" ht="14.25" customHeight="1" x14ac:dyDescent="0.2">
      <c r="E77" s="16" t="s">
        <v>330</v>
      </c>
      <c r="F77" s="641"/>
      <c r="G77" s="641"/>
      <c r="H77" s="641"/>
      <c r="I77" s="641"/>
      <c r="J77" s="641"/>
      <c r="K77" s="641"/>
      <c r="L77" s="641"/>
      <c r="M77" s="641"/>
      <c r="N77" s="641"/>
    </row>
    <row r="80" spans="1:14" ht="14.25" customHeight="1" x14ac:dyDescent="0.2">
      <c r="A80" s="17" t="str">
        <f>"Major Reasons to Proceed with "&amp;VLOOKUP(CxPath,Hidden!K3:N5,2,FALSE)&amp;":"</f>
        <v>Major Reasons to Proceed with Existing Building Cx:</v>
      </c>
    </row>
    <row r="81" spans="1:15" ht="14.25" customHeight="1" x14ac:dyDescent="0.2">
      <c r="A81" s="659"/>
      <c r="B81" s="659"/>
      <c r="C81" s="659"/>
      <c r="D81" s="659"/>
      <c r="E81" s="659"/>
      <c r="F81" s="659"/>
      <c r="G81" s="659"/>
      <c r="H81" s="659"/>
      <c r="I81" s="659"/>
      <c r="J81" s="659"/>
      <c r="K81" s="659"/>
      <c r="L81" s="659"/>
      <c r="M81" s="659"/>
      <c r="N81" s="659"/>
      <c r="O81" s="659"/>
    </row>
    <row r="82" spans="1:15" ht="14.25" customHeight="1" x14ac:dyDescent="0.2">
      <c r="A82" s="659"/>
      <c r="B82" s="659"/>
      <c r="C82" s="659"/>
      <c r="D82" s="659"/>
      <c r="E82" s="659"/>
      <c r="F82" s="659"/>
      <c r="G82" s="659"/>
      <c r="H82" s="659"/>
      <c r="I82" s="659"/>
      <c r="J82" s="659"/>
      <c r="K82" s="659"/>
      <c r="L82" s="659"/>
      <c r="M82" s="659"/>
      <c r="N82" s="659"/>
      <c r="O82" s="659"/>
    </row>
    <row r="83" spans="1:15" ht="14.25" customHeight="1" x14ac:dyDescent="0.2">
      <c r="A83" s="659"/>
      <c r="B83" s="659"/>
      <c r="C83" s="659"/>
      <c r="D83" s="659"/>
      <c r="E83" s="659"/>
      <c r="F83" s="659"/>
      <c r="G83" s="659"/>
      <c r="H83" s="659"/>
      <c r="I83" s="659"/>
      <c r="J83" s="659"/>
      <c r="K83" s="659"/>
      <c r="L83" s="659"/>
      <c r="M83" s="659"/>
      <c r="N83" s="659"/>
      <c r="O83" s="659"/>
    </row>
    <row r="84" spans="1:15" ht="14.25" customHeight="1" x14ac:dyDescent="0.2">
      <c r="A84" s="659"/>
      <c r="B84" s="659"/>
      <c r="C84" s="659"/>
      <c r="D84" s="659"/>
      <c r="E84" s="659"/>
      <c r="F84" s="659"/>
      <c r="G84" s="659"/>
      <c r="H84" s="659"/>
      <c r="I84" s="659"/>
      <c r="J84" s="659"/>
      <c r="K84" s="659"/>
      <c r="L84" s="659"/>
      <c r="M84" s="659"/>
      <c r="N84" s="659"/>
      <c r="O84" s="659"/>
    </row>
    <row r="85" spans="1:15" ht="14.25" customHeight="1" x14ac:dyDescent="0.2">
      <c r="A85" s="663" t="s">
        <v>344</v>
      </c>
      <c r="B85" s="663"/>
      <c r="C85" s="663"/>
      <c r="D85" s="663"/>
      <c r="E85" s="663"/>
      <c r="F85" s="663"/>
      <c r="G85" s="663"/>
      <c r="H85" s="663"/>
      <c r="I85" s="663"/>
      <c r="J85" s="663"/>
      <c r="K85" s="663"/>
      <c r="L85" s="663"/>
      <c r="M85" s="663"/>
      <c r="N85" s="663"/>
    </row>
    <row r="86" spans="1:15" ht="14.25" customHeight="1" x14ac:dyDescent="0.2">
      <c r="A86" s="663"/>
      <c r="B86" s="663"/>
      <c r="C86" s="663"/>
      <c r="D86" s="663"/>
      <c r="E86" s="663"/>
      <c r="F86" s="663"/>
      <c r="G86" s="663"/>
      <c r="H86" s="663"/>
      <c r="I86" s="663"/>
      <c r="J86" s="663"/>
      <c r="K86" s="663"/>
      <c r="L86" s="663"/>
      <c r="M86" s="663"/>
      <c r="N86" s="663"/>
    </row>
    <row r="87" spans="1:15" ht="14.25" customHeight="1" x14ac:dyDescent="0.2">
      <c r="A87" s="659"/>
      <c r="B87" s="659"/>
      <c r="C87" s="659"/>
      <c r="D87" s="659"/>
      <c r="E87" s="659"/>
      <c r="F87" s="659"/>
      <c r="G87" s="659"/>
      <c r="H87" s="659"/>
      <c r="I87" s="659"/>
      <c r="J87" s="659"/>
      <c r="K87" s="659"/>
      <c r="L87" s="659"/>
      <c r="M87" s="659"/>
      <c r="N87" s="659"/>
      <c r="O87" s="659"/>
    </row>
    <row r="88" spans="1:15" ht="14.25" customHeight="1" x14ac:dyDescent="0.2">
      <c r="A88" s="659"/>
      <c r="B88" s="659"/>
      <c r="C88" s="659"/>
      <c r="D88" s="659"/>
      <c r="E88" s="659"/>
      <c r="F88" s="659"/>
      <c r="G88" s="659"/>
      <c r="H88" s="659"/>
      <c r="I88" s="659"/>
      <c r="J88" s="659"/>
      <c r="K88" s="659"/>
      <c r="L88" s="659"/>
      <c r="M88" s="659"/>
      <c r="N88" s="659"/>
      <c r="O88" s="659"/>
    </row>
    <row r="89" spans="1:15" ht="14.25" customHeight="1" x14ac:dyDescent="0.2">
      <c r="A89" s="659"/>
      <c r="B89" s="659"/>
      <c r="C89" s="659"/>
      <c r="D89" s="659"/>
      <c r="E89" s="659"/>
      <c r="F89" s="659"/>
      <c r="G89" s="659"/>
      <c r="H89" s="659"/>
      <c r="I89" s="659"/>
      <c r="J89" s="659"/>
      <c r="K89" s="659"/>
      <c r="L89" s="659"/>
      <c r="M89" s="659"/>
      <c r="N89" s="659"/>
      <c r="O89" s="659"/>
    </row>
    <row r="90" spans="1:15" ht="14.25" customHeight="1" x14ac:dyDescent="0.2">
      <c r="A90" s="659"/>
      <c r="B90" s="659"/>
      <c r="C90" s="659"/>
      <c r="D90" s="659"/>
      <c r="E90" s="659"/>
      <c r="F90" s="659"/>
      <c r="G90" s="659"/>
      <c r="H90" s="659"/>
      <c r="I90" s="659"/>
      <c r="J90" s="659"/>
      <c r="K90" s="659"/>
      <c r="L90" s="659"/>
      <c r="M90" s="659"/>
      <c r="N90" s="659"/>
      <c r="O90" s="659"/>
    </row>
    <row r="91" spans="1:15" ht="14.25" customHeight="1" x14ac:dyDescent="0.2">
      <c r="A91" s="663" t="s">
        <v>345</v>
      </c>
      <c r="B91" s="663"/>
      <c r="C91" s="663"/>
      <c r="D91" s="663"/>
      <c r="E91" s="663"/>
      <c r="F91" s="663"/>
      <c r="G91" s="663"/>
      <c r="H91" s="663"/>
      <c r="I91" s="663"/>
      <c r="J91" s="663"/>
      <c r="K91" s="663"/>
      <c r="L91" s="663"/>
      <c r="M91" s="663"/>
      <c r="N91" s="663"/>
    </row>
    <row r="92" spans="1:15" ht="14.25" customHeight="1" x14ac:dyDescent="0.2">
      <c r="A92" s="663"/>
      <c r="B92" s="663"/>
      <c r="C92" s="663"/>
      <c r="D92" s="663"/>
      <c r="E92" s="663"/>
      <c r="F92" s="663"/>
      <c r="G92" s="663"/>
      <c r="H92" s="663"/>
      <c r="I92" s="663"/>
      <c r="J92" s="663"/>
      <c r="K92" s="663"/>
      <c r="L92" s="663"/>
      <c r="M92" s="663"/>
      <c r="N92" s="663"/>
    </row>
    <row r="93" spans="1:15" ht="14.25" customHeight="1" x14ac:dyDescent="0.2">
      <c r="A93" s="659"/>
      <c r="B93" s="659"/>
      <c r="C93" s="659"/>
      <c r="D93" s="659"/>
      <c r="E93" s="659"/>
      <c r="F93" s="659"/>
      <c r="G93" s="659"/>
      <c r="H93" s="659"/>
      <c r="I93" s="659"/>
      <c r="J93" s="659"/>
      <c r="K93" s="659"/>
      <c r="L93" s="659"/>
      <c r="M93" s="659"/>
      <c r="N93" s="659"/>
      <c r="O93" s="659"/>
    </row>
    <row r="94" spans="1:15" ht="14.25" customHeight="1" x14ac:dyDescent="0.2">
      <c r="A94" s="659"/>
      <c r="B94" s="659"/>
      <c r="C94" s="659"/>
      <c r="D94" s="659"/>
      <c r="E94" s="659"/>
      <c r="F94" s="659"/>
      <c r="G94" s="659"/>
      <c r="H94" s="659"/>
      <c r="I94" s="659"/>
      <c r="J94" s="659"/>
      <c r="K94" s="659"/>
      <c r="L94" s="659"/>
      <c r="M94" s="659"/>
      <c r="N94" s="659"/>
      <c r="O94" s="659"/>
    </row>
    <row r="95" spans="1:15" ht="14.25" customHeight="1" x14ac:dyDescent="0.2">
      <c r="A95" s="659"/>
      <c r="B95" s="659"/>
      <c r="C95" s="659"/>
      <c r="D95" s="659"/>
      <c r="E95" s="659"/>
      <c r="F95" s="659"/>
      <c r="G95" s="659"/>
      <c r="H95" s="659"/>
      <c r="I95" s="659"/>
      <c r="J95" s="659"/>
      <c r="K95" s="659"/>
      <c r="L95" s="659"/>
      <c r="M95" s="659"/>
      <c r="N95" s="659"/>
      <c r="O95" s="659"/>
    </row>
    <row r="96" spans="1:15" ht="14.25" customHeight="1" x14ac:dyDescent="0.2">
      <c r="A96" s="659"/>
      <c r="B96" s="659"/>
      <c r="C96" s="659"/>
      <c r="D96" s="659"/>
      <c r="E96" s="659"/>
      <c r="F96" s="659"/>
      <c r="G96" s="659"/>
      <c r="H96" s="659"/>
      <c r="I96" s="659"/>
      <c r="J96" s="659"/>
      <c r="K96" s="659"/>
      <c r="L96" s="659"/>
      <c r="M96" s="659"/>
      <c r="N96" s="659"/>
      <c r="O96" s="659"/>
    </row>
    <row r="97" spans="1:15" ht="14.25" customHeight="1" x14ac:dyDescent="0.2">
      <c r="A97" s="659"/>
      <c r="B97" s="659"/>
      <c r="C97" s="659"/>
      <c r="D97" s="659"/>
      <c r="E97" s="659"/>
      <c r="F97" s="659"/>
      <c r="G97" s="659"/>
      <c r="H97" s="659"/>
      <c r="I97" s="659"/>
      <c r="J97" s="659"/>
      <c r="K97" s="659"/>
      <c r="L97" s="659"/>
      <c r="M97" s="659"/>
      <c r="N97" s="659"/>
      <c r="O97" s="659"/>
    </row>
    <row r="98" spans="1:15" ht="14.25" customHeight="1" x14ac:dyDescent="0.2">
      <c r="A98" s="659"/>
      <c r="B98" s="659"/>
      <c r="C98" s="659"/>
      <c r="D98" s="659"/>
      <c r="E98" s="659"/>
      <c r="F98" s="659"/>
      <c r="G98" s="659"/>
      <c r="H98" s="659"/>
      <c r="I98" s="659"/>
      <c r="J98" s="659"/>
      <c r="K98" s="659"/>
      <c r="L98" s="659"/>
      <c r="M98" s="659"/>
      <c r="N98" s="659"/>
      <c r="O98" s="659"/>
    </row>
    <row r="99" spans="1:15" ht="14.25" customHeight="1" x14ac:dyDescent="0.2">
      <c r="A99" s="646" t="s">
        <v>346</v>
      </c>
      <c r="B99" s="646"/>
      <c r="C99" s="646"/>
      <c r="D99" s="646"/>
      <c r="E99" s="646"/>
      <c r="F99" s="646"/>
      <c r="G99" s="646"/>
      <c r="H99" s="646"/>
      <c r="I99" s="646"/>
      <c r="J99" s="646"/>
      <c r="K99" s="646"/>
      <c r="L99" s="646"/>
      <c r="M99" s="646"/>
      <c r="N99" s="646"/>
    </row>
    <row r="100" spans="1:15" ht="14.25" customHeight="1" x14ac:dyDescent="0.2">
      <c r="A100" s="646"/>
      <c r="B100" s="646"/>
      <c r="C100" s="646"/>
      <c r="D100" s="646"/>
      <c r="E100" s="646"/>
      <c r="F100" s="646"/>
      <c r="G100" s="646"/>
      <c r="H100" s="646"/>
      <c r="I100" s="646"/>
      <c r="J100" s="646"/>
      <c r="K100" s="646"/>
      <c r="L100" s="646"/>
      <c r="M100" s="646"/>
      <c r="N100" s="646"/>
    </row>
    <row r="101" spans="1:15" ht="14.25" customHeight="1" x14ac:dyDescent="0.2">
      <c r="A101" s="659"/>
      <c r="B101" s="659"/>
      <c r="C101" s="659"/>
      <c r="D101" s="659"/>
      <c r="E101" s="659"/>
      <c r="F101" s="659"/>
      <c r="G101" s="659"/>
      <c r="H101" s="659"/>
      <c r="I101" s="659"/>
      <c r="J101" s="659"/>
      <c r="K101" s="659"/>
      <c r="L101" s="659"/>
      <c r="M101" s="659"/>
      <c r="N101" s="659"/>
      <c r="O101" s="659"/>
    </row>
    <row r="102" spans="1:15" ht="14.25" customHeight="1" x14ac:dyDescent="0.2">
      <c r="A102" s="659"/>
      <c r="B102" s="659"/>
      <c r="C102" s="659"/>
      <c r="D102" s="659"/>
      <c r="E102" s="659"/>
      <c r="F102" s="659"/>
      <c r="G102" s="659"/>
      <c r="H102" s="659"/>
      <c r="I102" s="659"/>
      <c r="J102" s="659"/>
      <c r="K102" s="659"/>
      <c r="L102" s="659"/>
      <c r="M102" s="659"/>
      <c r="N102" s="659"/>
      <c r="O102" s="659"/>
    </row>
    <row r="103" spans="1:15" ht="14.25" customHeight="1" x14ac:dyDescent="0.2">
      <c r="A103" s="659"/>
      <c r="B103" s="659"/>
      <c r="C103" s="659"/>
      <c r="D103" s="659"/>
      <c r="E103" s="659"/>
      <c r="F103" s="659"/>
      <c r="G103" s="659"/>
      <c r="H103" s="659"/>
      <c r="I103" s="659"/>
      <c r="J103" s="659"/>
      <c r="K103" s="659"/>
      <c r="L103" s="659"/>
      <c r="M103" s="659"/>
      <c r="N103" s="659"/>
      <c r="O103" s="659"/>
    </row>
    <row r="104" spans="1:15" ht="14.25" customHeight="1" x14ac:dyDescent="0.2">
      <c r="A104" s="659"/>
      <c r="B104" s="659"/>
      <c r="C104" s="659"/>
      <c r="D104" s="659"/>
      <c r="E104" s="659"/>
      <c r="F104" s="659"/>
      <c r="G104" s="659"/>
      <c r="H104" s="659"/>
      <c r="I104" s="659"/>
      <c r="J104" s="659"/>
      <c r="K104" s="659"/>
      <c r="L104" s="659"/>
      <c r="M104" s="659"/>
      <c r="N104" s="659"/>
      <c r="O104" s="659"/>
    </row>
    <row r="105" spans="1:15" ht="14.25" customHeight="1" x14ac:dyDescent="0.2">
      <c r="A105" s="16" t="s">
        <v>347</v>
      </c>
    </row>
    <row r="106" spans="1:15" ht="14.25" customHeight="1" x14ac:dyDescent="0.2">
      <c r="A106" s="659"/>
      <c r="B106" s="659"/>
      <c r="C106" s="659"/>
      <c r="D106" s="659"/>
      <c r="E106" s="659"/>
      <c r="F106" s="659"/>
      <c r="G106" s="659"/>
      <c r="H106" s="659"/>
      <c r="I106" s="659"/>
      <c r="J106" s="659"/>
      <c r="K106" s="659"/>
      <c r="L106" s="659"/>
      <c r="M106" s="659"/>
      <c r="N106" s="659"/>
      <c r="O106" s="659"/>
    </row>
    <row r="107" spans="1:15" ht="14.25" customHeight="1" x14ac:dyDescent="0.2">
      <c r="A107" s="659"/>
      <c r="B107" s="659"/>
      <c r="C107" s="659"/>
      <c r="D107" s="659"/>
      <c r="E107" s="659"/>
      <c r="F107" s="659"/>
      <c r="G107" s="659"/>
      <c r="H107" s="659"/>
      <c r="I107" s="659"/>
      <c r="J107" s="659"/>
      <c r="K107" s="659"/>
      <c r="L107" s="659"/>
      <c r="M107" s="659"/>
      <c r="N107" s="659"/>
      <c r="O107" s="659"/>
    </row>
    <row r="108" spans="1:15" ht="14.25" customHeight="1" x14ac:dyDescent="0.2">
      <c r="A108" s="659"/>
      <c r="B108" s="659"/>
      <c r="C108" s="659"/>
      <c r="D108" s="659"/>
      <c r="E108" s="659"/>
      <c r="F108" s="659"/>
      <c r="G108" s="659"/>
      <c r="H108" s="659"/>
      <c r="I108" s="659"/>
      <c r="J108" s="659"/>
      <c r="K108" s="659"/>
      <c r="L108" s="659"/>
      <c r="M108" s="659"/>
      <c r="N108" s="659"/>
      <c r="O108" s="659"/>
    </row>
    <row r="109" spans="1:15" ht="14.25" customHeight="1" x14ac:dyDescent="0.2">
      <c r="A109" s="16" t="s">
        <v>348</v>
      </c>
    </row>
    <row r="110" spans="1:15" ht="14.25" customHeight="1" x14ac:dyDescent="0.2">
      <c r="A110" s="659"/>
      <c r="B110" s="659"/>
      <c r="C110" s="659"/>
      <c r="D110" s="659"/>
      <c r="E110" s="659"/>
      <c r="F110" s="659"/>
      <c r="G110" s="659"/>
      <c r="H110" s="659"/>
      <c r="I110" s="659"/>
      <c r="J110" s="659"/>
      <c r="K110" s="659"/>
      <c r="L110" s="659"/>
      <c r="M110" s="659"/>
      <c r="N110" s="659"/>
      <c r="O110" s="659"/>
    </row>
    <row r="111" spans="1:15" ht="14.25" customHeight="1" x14ac:dyDescent="0.2">
      <c r="A111" s="659"/>
      <c r="B111" s="659"/>
      <c r="C111" s="659"/>
      <c r="D111" s="659"/>
      <c r="E111" s="659"/>
      <c r="F111" s="659"/>
      <c r="G111" s="659"/>
      <c r="H111" s="659"/>
      <c r="I111" s="659"/>
      <c r="J111" s="659"/>
      <c r="K111" s="659"/>
      <c r="L111" s="659"/>
      <c r="M111" s="659"/>
      <c r="N111" s="659"/>
      <c r="O111" s="659"/>
    </row>
    <row r="112" spans="1:15" ht="14.25" customHeight="1" x14ac:dyDescent="0.2">
      <c r="A112" s="659"/>
      <c r="B112" s="659"/>
      <c r="C112" s="659"/>
      <c r="D112" s="659"/>
      <c r="E112" s="659"/>
      <c r="F112" s="659"/>
      <c r="G112" s="659"/>
      <c r="H112" s="659"/>
      <c r="I112" s="659"/>
      <c r="J112" s="659"/>
      <c r="K112" s="659"/>
      <c r="L112" s="659"/>
      <c r="M112" s="659"/>
      <c r="N112" s="659"/>
      <c r="O112" s="659"/>
    </row>
    <row r="113" spans="1:15" ht="14.25" customHeight="1" x14ac:dyDescent="0.2">
      <c r="A113" s="659"/>
      <c r="B113" s="659"/>
      <c r="C113" s="659"/>
      <c r="D113" s="659"/>
      <c r="E113" s="659"/>
      <c r="F113" s="659"/>
      <c r="G113" s="659"/>
      <c r="H113" s="659"/>
      <c r="I113" s="659"/>
      <c r="J113" s="659"/>
      <c r="K113" s="659"/>
      <c r="L113" s="659"/>
      <c r="M113" s="659"/>
      <c r="N113" s="659"/>
      <c r="O113" s="659"/>
    </row>
  </sheetData>
  <sheetProtection sheet="1" selectLockedCells="1"/>
  <mergeCells count="40">
    <mergeCell ref="B48:N48"/>
    <mergeCell ref="B51:N53"/>
    <mergeCell ref="A4:E4"/>
    <mergeCell ref="F4:H4"/>
    <mergeCell ref="A5:E5"/>
    <mergeCell ref="F5:H5"/>
    <mergeCell ref="A6:E6"/>
    <mergeCell ref="F6:H6"/>
    <mergeCell ref="A1:O1"/>
    <mergeCell ref="A81:O84"/>
    <mergeCell ref="A110:O113"/>
    <mergeCell ref="A106:O108"/>
    <mergeCell ref="A101:O104"/>
    <mergeCell ref="A93:O98"/>
    <mergeCell ref="A87:O90"/>
    <mergeCell ref="C68:N68"/>
    <mergeCell ref="C72:N72"/>
    <mergeCell ref="A35:H35"/>
    <mergeCell ref="C25:N26"/>
    <mergeCell ref="A16:F16"/>
    <mergeCell ref="A85:N86"/>
    <mergeCell ref="A91:N92"/>
    <mergeCell ref="A99:N100"/>
    <mergeCell ref="A61:H61"/>
    <mergeCell ref="F67:N67"/>
    <mergeCell ref="L69:N69"/>
    <mergeCell ref="F77:N77"/>
    <mergeCell ref="J22:K22"/>
    <mergeCell ref="B2:N2"/>
    <mergeCell ref="K6:M6"/>
    <mergeCell ref="A8:F8"/>
    <mergeCell ref="L9:M9"/>
    <mergeCell ref="F10:I10"/>
    <mergeCell ref="E18:N19"/>
    <mergeCell ref="C20:N20"/>
    <mergeCell ref="A12:N14"/>
    <mergeCell ref="L10:M10"/>
    <mergeCell ref="F9:G9"/>
    <mergeCell ref="B38:N40"/>
    <mergeCell ref="B43:N45"/>
  </mergeCells>
  <conditionalFormatting sqref="G31">
    <cfRule type="cellIs" dxfId="26" priority="40" operator="greaterThanOrEqual">
      <formula>$G$32*1.05</formula>
    </cfRule>
    <cfRule type="cellIs" dxfId="25" priority="41" operator="lessThanOrEqual">
      <formula>$G$32*0.95</formula>
    </cfRule>
  </conditionalFormatting>
  <pageMargins left="0.7" right="0.7" top="0.75" bottom="0.75" header="0.3" footer="0.3"/>
  <pageSetup scale="88" fitToHeight="4" orientation="portrait" r:id="rId1"/>
  <headerFooter>
    <oddHeader>&amp;L&amp;G&amp;C&amp;"Arial,Bold"
Pre-Screening / Eligibility Report</oddHeader>
    <oddFooter>&amp;LPre-screening / Eligibility Report - 2026.1&amp;RPage &amp;P of &amp;N</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41" r:id="rId5" name="Check Box 1">
              <controlPr defaultSize="0" autoFill="0" autoLine="0" autoPict="0">
                <anchor moveWithCells="1">
                  <from>
                    <xdr:col>0</xdr:col>
                    <xdr:colOff>0</xdr:colOff>
                    <xdr:row>16</xdr:row>
                    <xdr:rowOff>19050</xdr:rowOff>
                  </from>
                  <to>
                    <xdr:col>1</xdr:col>
                    <xdr:colOff>0</xdr:colOff>
                    <xdr:row>17</xdr:row>
                    <xdr:rowOff>0</xdr:rowOff>
                  </to>
                </anchor>
              </controlPr>
            </control>
          </mc:Choice>
        </mc:AlternateContent>
        <mc:AlternateContent xmlns:mc="http://schemas.openxmlformats.org/markup-compatibility/2006">
          <mc:Choice Requires="x14">
            <control shapeId="10242" r:id="rId6" name="Check Box 2">
              <controlPr defaultSize="0" autoFill="0" autoLine="0" autoPict="0">
                <anchor moveWithCells="1">
                  <from>
                    <xdr:col>2</xdr:col>
                    <xdr:colOff>19050</xdr:colOff>
                    <xdr:row>17</xdr:row>
                    <xdr:rowOff>47625</xdr:rowOff>
                  </from>
                  <to>
                    <xdr:col>3</xdr:col>
                    <xdr:colOff>19050</xdr:colOff>
                    <xdr:row>18</xdr:row>
                    <xdr:rowOff>28575</xdr:rowOff>
                  </to>
                </anchor>
              </controlPr>
            </control>
          </mc:Choice>
        </mc:AlternateContent>
        <mc:AlternateContent xmlns:mc="http://schemas.openxmlformats.org/markup-compatibility/2006">
          <mc:Choice Requires="x14">
            <control shapeId="10243" r:id="rId7" name="Check Box 3">
              <controlPr defaultSize="0" autoFill="0" autoLine="0" autoPict="0">
                <anchor moveWithCells="1">
                  <from>
                    <xdr:col>0</xdr:col>
                    <xdr:colOff>0</xdr:colOff>
                    <xdr:row>19</xdr:row>
                    <xdr:rowOff>19050</xdr:rowOff>
                  </from>
                  <to>
                    <xdr:col>1</xdr:col>
                    <xdr:colOff>0</xdr:colOff>
                    <xdr:row>19</xdr:row>
                    <xdr:rowOff>180975</xdr:rowOff>
                  </to>
                </anchor>
              </controlPr>
            </control>
          </mc:Choice>
        </mc:AlternateContent>
        <mc:AlternateContent xmlns:mc="http://schemas.openxmlformats.org/markup-compatibility/2006">
          <mc:Choice Requires="x14">
            <control shapeId="10244" r:id="rId8" name="Check Box 4">
              <controlPr defaultSize="0" autoFill="0" autoLine="0" autoPict="0">
                <anchor moveWithCells="1">
                  <from>
                    <xdr:col>1</xdr:col>
                    <xdr:colOff>47625</xdr:colOff>
                    <xdr:row>22</xdr:row>
                    <xdr:rowOff>9525</xdr:rowOff>
                  </from>
                  <to>
                    <xdr:col>2</xdr:col>
                    <xdr:colOff>161925</xdr:colOff>
                    <xdr:row>22</xdr:row>
                    <xdr:rowOff>171450</xdr:rowOff>
                  </to>
                </anchor>
              </controlPr>
            </control>
          </mc:Choice>
        </mc:AlternateContent>
        <mc:AlternateContent xmlns:mc="http://schemas.openxmlformats.org/markup-compatibility/2006">
          <mc:Choice Requires="x14">
            <control shapeId="10245" r:id="rId9" name="Check Box 5">
              <controlPr defaultSize="0" autoFill="0" autoLine="0" autoPict="0">
                <anchor moveWithCells="1">
                  <from>
                    <xdr:col>0</xdr:col>
                    <xdr:colOff>0</xdr:colOff>
                    <xdr:row>23</xdr:row>
                    <xdr:rowOff>28575</xdr:rowOff>
                  </from>
                  <to>
                    <xdr:col>1</xdr:col>
                    <xdr:colOff>0</xdr:colOff>
                    <xdr:row>24</xdr:row>
                    <xdr:rowOff>9525</xdr:rowOff>
                  </to>
                </anchor>
              </controlPr>
            </control>
          </mc:Choice>
        </mc:AlternateContent>
        <mc:AlternateContent xmlns:mc="http://schemas.openxmlformats.org/markup-compatibility/2006">
          <mc:Choice Requires="x14">
            <control shapeId="10246" r:id="rId10" name="Check Box 6">
              <controlPr defaultSize="0" autoFill="0" autoLine="0" autoPict="0">
                <anchor moveWithCells="1">
                  <from>
                    <xdr:col>0</xdr:col>
                    <xdr:colOff>0</xdr:colOff>
                    <xdr:row>20</xdr:row>
                    <xdr:rowOff>19050</xdr:rowOff>
                  </from>
                  <to>
                    <xdr:col>1</xdr:col>
                    <xdr:colOff>0</xdr:colOff>
                    <xdr:row>21</xdr:row>
                    <xdr:rowOff>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0</xdr:col>
                    <xdr:colOff>0</xdr:colOff>
                    <xdr:row>24</xdr:row>
                    <xdr:rowOff>19050</xdr:rowOff>
                  </from>
                  <to>
                    <xdr:col>1</xdr:col>
                    <xdr:colOff>0</xdr:colOff>
                    <xdr:row>25</xdr:row>
                    <xdr:rowOff>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0</xdr:col>
                    <xdr:colOff>0</xdr:colOff>
                    <xdr:row>61</xdr:row>
                    <xdr:rowOff>9525</xdr:rowOff>
                  </from>
                  <to>
                    <xdr:col>1</xdr:col>
                    <xdr:colOff>9525</xdr:colOff>
                    <xdr:row>62</xdr:row>
                    <xdr:rowOff>9525</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0</xdr:col>
                    <xdr:colOff>0</xdr:colOff>
                    <xdr:row>62</xdr:row>
                    <xdr:rowOff>19050</xdr:rowOff>
                  </from>
                  <to>
                    <xdr:col>1</xdr:col>
                    <xdr:colOff>9525</xdr:colOff>
                    <xdr:row>63</xdr:row>
                    <xdr:rowOff>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2</xdr:col>
                    <xdr:colOff>0</xdr:colOff>
                    <xdr:row>63</xdr:row>
                    <xdr:rowOff>19050</xdr:rowOff>
                  </from>
                  <to>
                    <xdr:col>3</xdr:col>
                    <xdr:colOff>9525</xdr:colOff>
                    <xdr:row>64</xdr:row>
                    <xdr:rowOff>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2</xdr:col>
                    <xdr:colOff>0</xdr:colOff>
                    <xdr:row>64</xdr:row>
                    <xdr:rowOff>19050</xdr:rowOff>
                  </from>
                  <to>
                    <xdr:col>3</xdr:col>
                    <xdr:colOff>9525</xdr:colOff>
                    <xdr:row>65</xdr:row>
                    <xdr:rowOff>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2</xdr:col>
                    <xdr:colOff>0</xdr:colOff>
                    <xdr:row>65</xdr:row>
                    <xdr:rowOff>19050</xdr:rowOff>
                  </from>
                  <to>
                    <xdr:col>3</xdr:col>
                    <xdr:colOff>9525</xdr:colOff>
                    <xdr:row>66</xdr:row>
                    <xdr:rowOff>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9</xdr:col>
                    <xdr:colOff>257175</xdr:colOff>
                    <xdr:row>63</xdr:row>
                    <xdr:rowOff>19050</xdr:rowOff>
                  </from>
                  <to>
                    <xdr:col>10</xdr:col>
                    <xdr:colOff>0</xdr:colOff>
                    <xdr:row>64</xdr:row>
                    <xdr:rowOff>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9</xdr:col>
                    <xdr:colOff>257175</xdr:colOff>
                    <xdr:row>64</xdr:row>
                    <xdr:rowOff>19050</xdr:rowOff>
                  </from>
                  <to>
                    <xdr:col>10</xdr:col>
                    <xdr:colOff>0</xdr:colOff>
                    <xdr:row>65</xdr:row>
                    <xdr:rowOff>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2</xdr:col>
                    <xdr:colOff>0</xdr:colOff>
                    <xdr:row>66</xdr:row>
                    <xdr:rowOff>19050</xdr:rowOff>
                  </from>
                  <to>
                    <xdr:col>3</xdr:col>
                    <xdr:colOff>9525</xdr:colOff>
                    <xdr:row>67</xdr:row>
                    <xdr:rowOff>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0</xdr:col>
                    <xdr:colOff>0</xdr:colOff>
                    <xdr:row>67</xdr:row>
                    <xdr:rowOff>19050</xdr:rowOff>
                  </from>
                  <to>
                    <xdr:col>1</xdr:col>
                    <xdr:colOff>9525</xdr:colOff>
                    <xdr:row>68</xdr:row>
                    <xdr:rowOff>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0</xdr:col>
                    <xdr:colOff>0</xdr:colOff>
                    <xdr:row>69</xdr:row>
                    <xdr:rowOff>19050</xdr:rowOff>
                  </from>
                  <to>
                    <xdr:col>1</xdr:col>
                    <xdr:colOff>9525</xdr:colOff>
                    <xdr:row>70</xdr:row>
                    <xdr:rowOff>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0</xdr:col>
                    <xdr:colOff>0</xdr:colOff>
                    <xdr:row>70</xdr:row>
                    <xdr:rowOff>19050</xdr:rowOff>
                  </from>
                  <to>
                    <xdr:col>1</xdr:col>
                    <xdr:colOff>9525</xdr:colOff>
                    <xdr:row>71</xdr:row>
                    <xdr:rowOff>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0</xdr:col>
                    <xdr:colOff>0</xdr:colOff>
                    <xdr:row>71</xdr:row>
                    <xdr:rowOff>19050</xdr:rowOff>
                  </from>
                  <to>
                    <xdr:col>1</xdr:col>
                    <xdr:colOff>9525</xdr:colOff>
                    <xdr:row>72</xdr:row>
                    <xdr:rowOff>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0</xdr:col>
                    <xdr:colOff>0</xdr:colOff>
                    <xdr:row>72</xdr:row>
                    <xdr:rowOff>19050</xdr:rowOff>
                  </from>
                  <to>
                    <xdr:col>1</xdr:col>
                    <xdr:colOff>9525</xdr:colOff>
                    <xdr:row>73</xdr:row>
                    <xdr:rowOff>0</xdr:rowOff>
                  </to>
                </anchor>
              </controlPr>
            </control>
          </mc:Choice>
        </mc:AlternateContent>
        <mc:AlternateContent xmlns:mc="http://schemas.openxmlformats.org/markup-compatibility/2006">
          <mc:Choice Requires="x14">
            <control shapeId="10262" r:id="rId25" name="Check Box 22">
              <controlPr defaultSize="0" autoFill="0" autoLine="0" autoPict="0">
                <anchor moveWithCells="1">
                  <from>
                    <xdr:col>0</xdr:col>
                    <xdr:colOff>0</xdr:colOff>
                    <xdr:row>73</xdr:row>
                    <xdr:rowOff>19050</xdr:rowOff>
                  </from>
                  <to>
                    <xdr:col>1</xdr:col>
                    <xdr:colOff>9525</xdr:colOff>
                    <xdr:row>73</xdr:row>
                    <xdr:rowOff>180975</xdr:rowOff>
                  </to>
                </anchor>
              </controlPr>
            </control>
          </mc:Choice>
        </mc:AlternateContent>
        <mc:AlternateContent xmlns:mc="http://schemas.openxmlformats.org/markup-compatibility/2006">
          <mc:Choice Requires="x14">
            <control shapeId="10264" r:id="rId26" name="Check Box 24">
              <controlPr defaultSize="0" autoFill="0" autoLine="0" autoPict="0">
                <anchor moveWithCells="1">
                  <from>
                    <xdr:col>2</xdr:col>
                    <xdr:colOff>0</xdr:colOff>
                    <xdr:row>74</xdr:row>
                    <xdr:rowOff>19050</xdr:rowOff>
                  </from>
                  <to>
                    <xdr:col>3</xdr:col>
                    <xdr:colOff>9525</xdr:colOff>
                    <xdr:row>75</xdr:row>
                    <xdr:rowOff>0</xdr:rowOff>
                  </to>
                </anchor>
              </controlPr>
            </control>
          </mc:Choice>
        </mc:AlternateContent>
        <mc:AlternateContent xmlns:mc="http://schemas.openxmlformats.org/markup-compatibility/2006">
          <mc:Choice Requires="x14">
            <control shapeId="10265" r:id="rId27" name="Check Box 25">
              <controlPr defaultSize="0" autoFill="0" autoLine="0" autoPict="0">
                <anchor moveWithCells="1">
                  <from>
                    <xdr:col>2</xdr:col>
                    <xdr:colOff>0</xdr:colOff>
                    <xdr:row>75</xdr:row>
                    <xdr:rowOff>19050</xdr:rowOff>
                  </from>
                  <to>
                    <xdr:col>3</xdr:col>
                    <xdr:colOff>9525</xdr:colOff>
                    <xdr:row>76</xdr:row>
                    <xdr:rowOff>0</xdr:rowOff>
                  </to>
                </anchor>
              </controlPr>
            </control>
          </mc:Choice>
        </mc:AlternateContent>
        <mc:AlternateContent xmlns:mc="http://schemas.openxmlformats.org/markup-compatibility/2006">
          <mc:Choice Requires="x14">
            <control shapeId="10266" r:id="rId28" name="Check Box 26">
              <controlPr defaultSize="0" autoFill="0" autoLine="0" autoPict="0">
                <anchor moveWithCells="1">
                  <from>
                    <xdr:col>8</xdr:col>
                    <xdr:colOff>819150</xdr:colOff>
                    <xdr:row>74</xdr:row>
                    <xdr:rowOff>19050</xdr:rowOff>
                  </from>
                  <to>
                    <xdr:col>9</xdr:col>
                    <xdr:colOff>0</xdr:colOff>
                    <xdr:row>75</xdr:row>
                    <xdr:rowOff>0</xdr:rowOff>
                  </to>
                </anchor>
              </controlPr>
            </control>
          </mc:Choice>
        </mc:AlternateContent>
        <mc:AlternateContent xmlns:mc="http://schemas.openxmlformats.org/markup-compatibility/2006">
          <mc:Choice Requires="x14">
            <control shapeId="10267" r:id="rId29" name="Check Box 27">
              <controlPr defaultSize="0" autoFill="0" autoLine="0" autoPict="0">
                <anchor moveWithCells="1">
                  <from>
                    <xdr:col>8</xdr:col>
                    <xdr:colOff>819150</xdr:colOff>
                    <xdr:row>75</xdr:row>
                    <xdr:rowOff>28575</xdr:rowOff>
                  </from>
                  <to>
                    <xdr:col>9</xdr:col>
                    <xdr:colOff>0</xdr:colOff>
                    <xdr:row>76</xdr:row>
                    <xdr:rowOff>9525</xdr:rowOff>
                  </to>
                </anchor>
              </controlPr>
            </control>
          </mc:Choice>
        </mc:AlternateContent>
        <mc:AlternateContent xmlns:mc="http://schemas.openxmlformats.org/markup-compatibility/2006">
          <mc:Choice Requires="x14">
            <control shapeId="10268" r:id="rId30" name="Check Box 28">
              <controlPr defaultSize="0" autoFill="0" autoLine="0" autoPict="0">
                <anchor moveWithCells="1">
                  <from>
                    <xdr:col>2</xdr:col>
                    <xdr:colOff>0</xdr:colOff>
                    <xdr:row>76</xdr:row>
                    <xdr:rowOff>19050</xdr:rowOff>
                  </from>
                  <to>
                    <xdr:col>3</xdr:col>
                    <xdr:colOff>9525</xdr:colOff>
                    <xdr:row>77</xdr:row>
                    <xdr:rowOff>0</xdr:rowOff>
                  </to>
                </anchor>
              </controlPr>
            </control>
          </mc:Choice>
        </mc:AlternateContent>
        <mc:AlternateContent xmlns:mc="http://schemas.openxmlformats.org/markup-compatibility/2006">
          <mc:Choice Requires="x14">
            <control shapeId="10290" r:id="rId31" name="Check Box 50">
              <controlPr defaultSize="0" autoFill="0" autoLine="0" autoPict="0">
                <anchor moveWithCells="1">
                  <from>
                    <xdr:col>0</xdr:col>
                    <xdr:colOff>0</xdr:colOff>
                    <xdr:row>27</xdr:row>
                    <xdr:rowOff>28575</xdr:rowOff>
                  </from>
                  <to>
                    <xdr:col>1</xdr:col>
                    <xdr:colOff>0</xdr:colOff>
                    <xdr:row>28</xdr:row>
                    <xdr:rowOff>9525</xdr:rowOff>
                  </to>
                </anchor>
              </controlPr>
            </control>
          </mc:Choice>
        </mc:AlternateContent>
        <mc:AlternateContent xmlns:mc="http://schemas.openxmlformats.org/markup-compatibility/2006">
          <mc:Choice Requires="x14">
            <control shapeId="10292" r:id="rId32" name="Check Box 52">
              <controlPr defaultSize="0" autoFill="0" autoLine="0" autoPict="0">
                <anchor moveWithCells="1">
                  <from>
                    <xdr:col>0</xdr:col>
                    <xdr:colOff>0</xdr:colOff>
                    <xdr:row>21</xdr:row>
                    <xdr:rowOff>19050</xdr:rowOff>
                  </from>
                  <to>
                    <xdr:col>1</xdr:col>
                    <xdr:colOff>0</xdr:colOff>
                    <xdr:row>22</xdr:row>
                    <xdr:rowOff>0</xdr:rowOff>
                  </to>
                </anchor>
              </controlPr>
            </control>
          </mc:Choice>
        </mc:AlternateContent>
        <mc:AlternateContent xmlns:mc="http://schemas.openxmlformats.org/markup-compatibility/2006">
          <mc:Choice Requires="x14">
            <control shapeId="10297" r:id="rId33" name="Check Box 57">
              <controlPr defaultSize="0" autoFill="0" autoLine="0" autoPict="0">
                <anchor moveWithCells="1">
                  <from>
                    <xdr:col>5</xdr:col>
                    <xdr:colOff>600075</xdr:colOff>
                    <xdr:row>16</xdr:row>
                    <xdr:rowOff>19050</xdr:rowOff>
                  </from>
                  <to>
                    <xdr:col>5</xdr:col>
                    <xdr:colOff>781050</xdr:colOff>
                    <xdr:row>17</xdr:row>
                    <xdr:rowOff>0</xdr:rowOff>
                  </to>
                </anchor>
              </controlPr>
            </control>
          </mc:Choice>
        </mc:AlternateContent>
        <mc:AlternateContent xmlns:mc="http://schemas.openxmlformats.org/markup-compatibility/2006">
          <mc:Choice Requires="x14">
            <control shapeId="10298" r:id="rId34" name="Check Box 58">
              <controlPr defaultSize="0" autoFill="0" autoLine="0" autoPict="0">
                <anchor moveWithCells="1">
                  <from>
                    <xdr:col>7</xdr:col>
                    <xdr:colOff>600075</xdr:colOff>
                    <xdr:row>16</xdr:row>
                    <xdr:rowOff>19050</xdr:rowOff>
                  </from>
                  <to>
                    <xdr:col>7</xdr:col>
                    <xdr:colOff>781050</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34" operator="greaterThanOrEqual" id="{ECEF542A-ECFD-4EC0-AFBB-5349FBF073F8}">
            <xm:f>VLOOKUP($F$9,Hidden!$O$4:$R$13,4,FALSE)</xm:f>
            <x14:dxf>
              <fill>
                <patternFill>
                  <bgColor theme="9" tint="0.79998168889431442"/>
                </patternFill>
              </fill>
            </x14:dxf>
          </x14:cfRule>
          <x14:cfRule type="cellIs" priority="35" operator="lessThanOrEqual" id="{D12DA4AA-8AAA-4D42-96C5-CEB120A514F5}">
            <xm:f>VLOOKUP($F$9,Hidden!$O$4:$R$13,3,FALSE)</xm:f>
            <x14:dxf>
              <fill>
                <patternFill>
                  <bgColor theme="6" tint="0.79998168889431442"/>
                </patternFill>
              </fill>
            </x14:dxf>
          </x14:cfRule>
          <xm:sqref>J31</xm:sqref>
        </x14:conditionalFormatting>
        <x14:conditionalFormatting xmlns:xm="http://schemas.microsoft.com/office/excel/2006/main">
          <x14:cfRule type="cellIs" priority="36" operator="greaterThanOrEqual" id="{AC514DCA-3460-4999-AE39-0C34422F84ED}">
            <xm:f>VLOOKUP($F$9,Hidden!$T$4:$W$13,4,FALSE)</xm:f>
            <x14:dxf>
              <fill>
                <patternFill>
                  <bgColor theme="9" tint="0.79998168889431442"/>
                </patternFill>
              </fill>
            </x14:dxf>
          </x14:cfRule>
          <x14:cfRule type="cellIs" priority="37" operator="lessThanOrEqual" id="{C4A779AD-FD2E-4E6C-908D-9AB3E562D423}">
            <xm:f>VLOOKUP($F$9,Hidden!$T$4:$W$13,3,FALSE)</xm:f>
            <x14:dxf>
              <fill>
                <patternFill>
                  <bgColor theme="6" tint="0.79998168889431442"/>
                </patternFill>
              </fill>
            </x14:dxf>
          </x14:cfRule>
          <xm:sqref>L31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D45DF1FA-B250-4C44-BC7C-50E8E1C748EF}">
          <x14:formula1>
            <xm:f>Hidden!$AH$3:$AH$32</xm:f>
          </x14:formula1>
          <xm:sqref>F10</xm:sqref>
        </x14:dataValidation>
        <x14:dataValidation type="list" allowBlank="1" showInputMessage="1" showErrorMessage="1" xr:uid="{5C17F032-6458-4D80-A672-AC0B21D5F361}">
          <x14:formula1>
            <xm:f>Hidden!$M$3:$M$5</xm:f>
          </x14:formula1>
          <xm:sqref>B2</xm:sqref>
        </x14:dataValidation>
        <x14:dataValidation type="list" allowBlank="1" showErrorMessage="1" prompt="Select primary space use type" xr:uid="{49CB4F92-2B91-4B64-A9D9-0772E2C13C2D}">
          <x14:formula1>
            <xm:f>Hidden!$O$4:$O$15</xm:f>
          </x14:formula1>
          <xm:sqref>F9:G9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6671"/>
    <pageSetUpPr fitToPage="1"/>
  </sheetPr>
  <dimension ref="A1:P135"/>
  <sheetViews>
    <sheetView showGridLines="0" showRuler="0" zoomScaleNormal="100" zoomScaleSheetLayoutView="100" zoomScalePageLayoutView="80" workbookViewId="0">
      <selection activeCell="B5" sqref="B5:D5"/>
    </sheetView>
  </sheetViews>
  <sheetFormatPr defaultColWidth="9.140625" defaultRowHeight="14.25" outlineLevelRow="1" x14ac:dyDescent="0.2"/>
  <cols>
    <col min="1" max="1" width="21.28515625" style="97" customWidth="1"/>
    <col min="2" max="2" width="18.5703125" style="97" customWidth="1"/>
    <col min="3" max="9" width="16.42578125" style="97" customWidth="1"/>
    <col min="10" max="12" width="9.140625" style="97"/>
    <col min="13" max="13" width="12.5703125" style="97" bestFit="1" customWidth="1"/>
    <col min="14" max="16384" width="9.140625" style="97"/>
  </cols>
  <sheetData>
    <row r="1" spans="1:16" ht="24" thickBot="1" x14ac:dyDescent="0.4">
      <c r="A1" s="696" t="str">
        <f>IF(CxPath="EBCx","Existing Building Cx",IF(CxPath="MBCx","Monitoring-Based Cx","Existing Bldg + Monitoring Based Cx"))&amp;" Incentive Calculator - Ver 2026.1"</f>
        <v>Existing Building Cx Incentive Calculator - Ver 2026.1</v>
      </c>
      <c r="B1" s="697"/>
      <c r="C1" s="697"/>
      <c r="D1" s="697"/>
      <c r="E1" s="697"/>
      <c r="F1" s="697"/>
      <c r="G1" s="698"/>
      <c r="H1" s="699">
        <f ca="1">NOW()</f>
        <v>46027.632526504633</v>
      </c>
      <c r="I1" s="700"/>
      <c r="J1" s="96"/>
      <c r="K1" s="96"/>
      <c r="L1" s="96"/>
      <c r="M1" s="96"/>
      <c r="N1" s="96"/>
    </row>
    <row r="2" spans="1:16" x14ac:dyDescent="0.2">
      <c r="A2" s="705" t="s">
        <v>349</v>
      </c>
      <c r="B2" s="706"/>
      <c r="C2" s="706"/>
      <c r="D2" s="706"/>
      <c r="E2" s="706"/>
      <c r="F2" s="706"/>
      <c r="G2" s="706"/>
      <c r="H2" s="706"/>
      <c r="I2" s="707"/>
      <c r="J2" s="96"/>
      <c r="K2" s="96"/>
      <c r="L2" s="96"/>
      <c r="M2" s="96"/>
      <c r="N2" s="96"/>
    </row>
    <row r="3" spans="1:16" x14ac:dyDescent="0.2">
      <c r="A3" s="708"/>
      <c r="B3" s="709"/>
      <c r="C3" s="709"/>
      <c r="D3" s="709"/>
      <c r="E3" s="709"/>
      <c r="F3" s="709"/>
      <c r="G3" s="709"/>
      <c r="H3" s="709"/>
      <c r="I3" s="710"/>
      <c r="J3" s="96"/>
      <c r="K3" s="96"/>
      <c r="L3" s="96"/>
      <c r="M3" s="96"/>
      <c r="N3" s="96"/>
    </row>
    <row r="4" spans="1:16" ht="15" thickBot="1" x14ac:dyDescent="0.25">
      <c r="A4" s="711"/>
      <c r="B4" s="712"/>
      <c r="C4" s="712"/>
      <c r="D4" s="712"/>
      <c r="E4" s="712"/>
      <c r="F4" s="712"/>
      <c r="G4" s="712"/>
      <c r="H4" s="712"/>
      <c r="I4" s="713"/>
      <c r="J4" s="96"/>
      <c r="K4" s="96"/>
      <c r="L4" s="96"/>
      <c r="M4" s="96"/>
      <c r="N4" s="96"/>
    </row>
    <row r="5" spans="1:16" ht="15.75" thickBot="1" x14ac:dyDescent="0.25">
      <c r="A5" s="318" t="s">
        <v>350</v>
      </c>
      <c r="B5" s="701" t="str">
        <f>IF('Pre-screen+Assessment'!F4=0,"PSE Customer, Building Name - "&amp;CxPath,'Pre-screen+Assessment'!F4&amp;" - "&amp;CxPath)</f>
        <v>PSE Customer, Building Name - EBCx</v>
      </c>
      <c r="C5" s="701"/>
      <c r="D5" s="702"/>
      <c r="E5" s="98"/>
      <c r="F5" s="98"/>
      <c r="G5" s="98"/>
      <c r="H5" s="98"/>
      <c r="I5" s="99"/>
      <c r="J5" s="96"/>
      <c r="K5" s="96"/>
      <c r="L5" s="96"/>
      <c r="M5" s="96"/>
      <c r="N5" s="96"/>
    </row>
    <row r="6" spans="1:16" ht="15" x14ac:dyDescent="0.2">
      <c r="A6" s="319" t="s">
        <v>351</v>
      </c>
      <c r="B6" s="701" t="str">
        <f>IF('Pre-screen+Assessment'!F5=0,"PSE Customer",'Pre-screen+Assessment'!F5)</f>
        <v>PSE Customer</v>
      </c>
      <c r="C6" s="701"/>
      <c r="D6" s="702"/>
      <c r="I6" s="100"/>
      <c r="J6" s="96"/>
      <c r="K6" s="96"/>
      <c r="L6" s="96"/>
      <c r="M6" s="96"/>
      <c r="N6" s="96"/>
    </row>
    <row r="7" spans="1:16" ht="16.5" customHeight="1" x14ac:dyDescent="0.2">
      <c r="A7" s="319" t="s">
        <v>352</v>
      </c>
      <c r="B7" s="703">
        <v>1234</v>
      </c>
      <c r="C7" s="703"/>
      <c r="D7" s="704"/>
      <c r="I7" s="100"/>
      <c r="J7" s="96"/>
      <c r="K7" s="96"/>
      <c r="L7" s="96"/>
      <c r="M7" s="96"/>
      <c r="N7" s="96"/>
    </row>
    <row r="8" spans="1:16" ht="15.75" customHeight="1" thickBot="1" x14ac:dyDescent="0.25">
      <c r="A8" s="528"/>
      <c r="B8" s="731" t="s">
        <v>353</v>
      </c>
      <c r="C8" s="731"/>
      <c r="D8" s="732"/>
      <c r="I8" s="100"/>
      <c r="J8" s="96"/>
      <c r="K8" s="96"/>
      <c r="L8" s="96"/>
      <c r="M8" s="96"/>
      <c r="N8" s="96"/>
    </row>
    <row r="9" spans="1:16" ht="30.75" thickBot="1" x14ac:dyDescent="0.25">
      <c r="A9" s="525" t="s">
        <v>354</v>
      </c>
      <c r="B9" s="526" t="s">
        <v>51</v>
      </c>
      <c r="C9" s="527" t="s">
        <v>577</v>
      </c>
      <c r="D9" s="574" t="str">
        <f>VLOOKUP('Pre-screen+Assessment'!B2,Hidden!M3:N5,2,FALSE)</f>
        <v>EBCx</v>
      </c>
      <c r="E9" s="312"/>
      <c r="F9" s="313"/>
      <c r="G9" s="313"/>
      <c r="H9" s="313"/>
      <c r="I9" s="314"/>
      <c r="J9" s="96"/>
      <c r="K9" s="96"/>
      <c r="L9" s="96"/>
      <c r="M9" s="96"/>
      <c r="N9" s="96"/>
    </row>
    <row r="10" spans="1:16" ht="28.5" x14ac:dyDescent="0.2">
      <c r="A10" s="281" t="str">
        <f>IF(Customer_Type="PSE gas/other elec","","Electric Rate:")</f>
        <v>Electric Rate:</v>
      </c>
      <c r="B10" s="284" t="s">
        <v>181</v>
      </c>
      <c r="C10" s="283" t="str">
        <f>IF(OR(Customer_Type="All PSE (gas/elec)",Customer_Type="PSE gas/other elec"),"Gas Rate:","")</f>
        <v>Gas Rate:</v>
      </c>
      <c r="D10" s="285" t="s">
        <v>160</v>
      </c>
      <c r="E10" s="315"/>
      <c r="F10" s="530"/>
      <c r="G10" s="530"/>
      <c r="H10" s="530"/>
      <c r="I10" s="316"/>
      <c r="J10" s="96"/>
      <c r="K10" s="96"/>
      <c r="L10" s="96"/>
      <c r="M10" s="96"/>
      <c r="N10" s="96"/>
    </row>
    <row r="11" spans="1:16" ht="15" x14ac:dyDescent="0.2">
      <c r="A11" s="531" t="str">
        <f>IF(CxPath="MBCx","","Assessment Cost:")</f>
        <v>Assessment Cost:</v>
      </c>
      <c r="B11" s="575">
        <v>5000</v>
      </c>
      <c r="C11" s="532"/>
      <c r="D11" s="532"/>
      <c r="E11" s="315"/>
      <c r="F11" s="530"/>
      <c r="G11" s="530"/>
      <c r="H11" s="530"/>
      <c r="I11" s="316"/>
      <c r="J11" s="517"/>
      <c r="K11" s="517"/>
      <c r="L11" s="517"/>
      <c r="M11" s="517"/>
      <c r="N11" s="517"/>
      <c r="O11" s="517"/>
      <c r="P11" s="517"/>
    </row>
    <row r="12" spans="1:16" ht="15" x14ac:dyDescent="0.2">
      <c r="A12" s="531" t="s">
        <v>355</v>
      </c>
      <c r="B12" s="280">
        <f>0.45*D12</f>
        <v>126000</v>
      </c>
      <c r="C12" s="282" t="s">
        <v>660</v>
      </c>
      <c r="D12" s="286">
        <v>280000</v>
      </c>
      <c r="E12" s="315"/>
      <c r="F12" s="530"/>
      <c r="G12" s="530"/>
      <c r="H12" s="530"/>
      <c r="I12" s="316"/>
      <c r="J12" s="517"/>
      <c r="K12" s="517"/>
      <c r="L12" s="517"/>
      <c r="M12" s="517"/>
      <c r="N12" s="517"/>
      <c r="O12" s="517"/>
      <c r="P12" s="517"/>
    </row>
    <row r="13" spans="1:16" ht="30.75" thickBot="1" x14ac:dyDescent="0.25">
      <c r="A13" s="533" t="s">
        <v>356</v>
      </c>
      <c r="B13" s="576">
        <f>VLOOKUP(Customer_Type,Hidden!A3:I7,IF(CxPath="MBCx",2,3),FALSE)*sqft</f>
        <v>42000</v>
      </c>
      <c r="C13" s="471">
        <f>VLOOKUP(Customer_Type,Hidden!A3:I7,IF(CxPath="MBCx",2,3),FALSE)</f>
        <v>0.15</v>
      </c>
      <c r="D13" s="472"/>
      <c r="E13" s="265"/>
      <c r="F13" s="534"/>
      <c r="G13" s="534"/>
      <c r="H13" s="534"/>
      <c r="I13" s="266"/>
      <c r="J13" s="517"/>
      <c r="K13" s="517"/>
      <c r="L13" s="517"/>
      <c r="M13" s="517"/>
      <c r="N13" s="517"/>
      <c r="O13" s="517"/>
      <c r="P13" s="517"/>
    </row>
    <row r="14" spans="1:16" ht="15.75" customHeight="1" thickBot="1" x14ac:dyDescent="0.25">
      <c r="A14" s="714" t="s">
        <v>357</v>
      </c>
      <c r="B14" s="715"/>
      <c r="C14" s="715"/>
      <c r="D14" s="716"/>
      <c r="E14" s="267"/>
      <c r="I14" s="100"/>
      <c r="J14" s="517"/>
      <c r="K14" s="517"/>
      <c r="L14" s="517"/>
      <c r="M14" s="517"/>
      <c r="N14" s="517"/>
      <c r="O14" s="517"/>
      <c r="P14" s="517"/>
    </row>
    <row r="15" spans="1:16" x14ac:dyDescent="0.2">
      <c r="A15" s="288" t="s">
        <v>360</v>
      </c>
      <c r="B15" s="289">
        <f>'Pre-screen+Assessment'!L9</f>
        <v>1537118</v>
      </c>
      <c r="C15" s="290">
        <f>IF(OR(D12=0,B15=0),0,B15/D12)</f>
        <v>5.4897071428571431</v>
      </c>
      <c r="D15" s="291" t="s">
        <v>361</v>
      </c>
      <c r="E15" s="267"/>
      <c r="I15" s="100"/>
      <c r="J15" s="517"/>
      <c r="K15" s="517"/>
      <c r="P15" s="517"/>
    </row>
    <row r="16" spans="1:16" x14ac:dyDescent="0.2">
      <c r="A16" s="473" t="s">
        <v>358</v>
      </c>
      <c r="B16" s="552">
        <f>'Pre-screen+Assessment'!L10</f>
        <v>75852</v>
      </c>
      <c r="C16" s="474">
        <f>IF(OR(D12=0,B16=0),0,B16/D12)</f>
        <v>0.27089999999999997</v>
      </c>
      <c r="D16" s="475" t="s">
        <v>359</v>
      </c>
      <c r="E16" s="267"/>
      <c r="I16" s="100"/>
      <c r="J16" s="517"/>
      <c r="K16" s="517"/>
      <c r="L16" s="517"/>
      <c r="M16" s="517"/>
      <c r="N16" s="517"/>
      <c r="O16" s="517"/>
      <c r="P16" s="517"/>
    </row>
    <row r="17" spans="1:16" x14ac:dyDescent="0.2">
      <c r="A17" s="717" t="s">
        <v>362</v>
      </c>
      <c r="B17" s="718"/>
      <c r="C17" s="292">
        <f>(C15*3412+C16*100000)/1000</f>
        <v>45.820880771428563</v>
      </c>
      <c r="D17" s="287" t="s">
        <v>363</v>
      </c>
      <c r="E17" s="267"/>
      <c r="I17" s="100"/>
      <c r="J17" s="517"/>
      <c r="K17" s="517"/>
      <c r="L17" s="517"/>
      <c r="M17" s="517"/>
      <c r="N17" s="517"/>
      <c r="O17" s="518"/>
      <c r="P17" s="517"/>
    </row>
    <row r="18" spans="1:16" ht="15" thickBot="1" x14ac:dyDescent="0.25">
      <c r="A18" s="725" t="s">
        <v>364</v>
      </c>
      <c r="B18" s="726"/>
      <c r="C18" s="470" t="s">
        <v>365</v>
      </c>
      <c r="D18" s="535" t="s">
        <v>366</v>
      </c>
      <c r="E18" s="267"/>
      <c r="I18" s="100"/>
      <c r="J18" s="517"/>
      <c r="K18" s="517"/>
      <c r="L18" s="517"/>
      <c r="M18" s="517"/>
      <c r="N18" s="517"/>
      <c r="O18" s="518"/>
      <c r="P18" s="517"/>
    </row>
    <row r="19" spans="1:16" ht="16.5" thickBot="1" x14ac:dyDescent="0.25">
      <c r="A19" s="714" t="s">
        <v>367</v>
      </c>
      <c r="B19" s="715"/>
      <c r="C19" s="715"/>
      <c r="D19" s="716"/>
      <c r="E19" s="267"/>
      <c r="I19" s="100"/>
      <c r="J19" s="517"/>
      <c r="K19" s="517"/>
      <c r="L19" s="517"/>
      <c r="M19" s="517"/>
      <c r="N19" s="517"/>
      <c r="O19" s="518"/>
      <c r="P19" s="517"/>
    </row>
    <row r="20" spans="1:16" ht="29.25" customHeight="1" x14ac:dyDescent="0.2">
      <c r="A20" s="536" t="str">
        <f>IF(CxPath="MBCx","","Assessment")</f>
        <v>Assessment</v>
      </c>
      <c r="B20" s="488" t="str">
        <f>"Implementation"&amp;CHAR(10)&amp;"($"&amp;VLOOKUP(Customer_Type,Hidden!A3:E7,IF(CxPath="MBCx",2,4),0)&amp;"/sq.ft.)*"</f>
        <v>Implementation
($0.35/sq.ft.)*</v>
      </c>
      <c r="C20" s="727" t="s">
        <v>368</v>
      </c>
      <c r="D20" s="728"/>
      <c r="E20" s="267"/>
      <c r="I20" s="100"/>
      <c r="J20" s="517"/>
      <c r="K20" s="517"/>
      <c r="L20" s="517"/>
      <c r="M20" s="517"/>
      <c r="N20" s="517"/>
      <c r="O20" s="518"/>
      <c r="P20" s="517"/>
    </row>
    <row r="21" spans="1:16" ht="15.75" thickBot="1" x14ac:dyDescent="0.25">
      <c r="A21" s="537">
        <f>IF(CxPath="MBCx",0,IF(sqft&lt;50000,(VLOOKUP(Customer_Type,Hidden!A3:I7,5,FALSE)/50000)*sqft,VLOOKUP(Customer_Type,Hidden!A3:I7,5,FALSE)))</f>
        <v>5000</v>
      </c>
      <c r="B21" s="489">
        <f>IF(CxPath="MBCx",MIN(0.75*TotCost,sqft*VLOOKUP(Customer_Type,Hidden!A3:I7,2,FALSE)),MIN(sqft*VLOOKUP(Customer_Type,Hidden!A3:I7,4,FALSE),0.75*(B11+TotCost-Assessment_Incentive)))</f>
        <v>94500</v>
      </c>
      <c r="C21" s="729" t="s">
        <v>369</v>
      </c>
      <c r="D21" s="730"/>
      <c r="E21" s="267"/>
      <c r="I21" s="100"/>
      <c r="J21" s="517"/>
      <c r="K21" s="517"/>
      <c r="L21" s="517"/>
      <c r="M21" s="517"/>
      <c r="N21" s="517"/>
      <c r="O21" s="518"/>
      <c r="P21" s="517"/>
    </row>
    <row r="22" spans="1:16" x14ac:dyDescent="0.2">
      <c r="A22" s="586"/>
      <c r="B22" s="587">
        <f>B21/SUM(B11:B12,-Assessment_Incentive)</f>
        <v>0.75</v>
      </c>
      <c r="C22" s="538" t="s">
        <v>370</v>
      </c>
      <c r="D22" s="539"/>
      <c r="E22" s="267"/>
      <c r="I22" s="100"/>
      <c r="J22" s="517"/>
      <c r="K22" s="517"/>
      <c r="L22" s="517"/>
      <c r="M22" s="517"/>
      <c r="N22" s="517"/>
      <c r="O22" s="518"/>
      <c r="P22" s="517"/>
    </row>
    <row r="23" spans="1:16" ht="5.0999999999999996" customHeight="1" thickBot="1" x14ac:dyDescent="0.25">
      <c r="A23" s="267"/>
      <c r="E23" s="268"/>
      <c r="F23" s="269"/>
      <c r="G23" s="269"/>
      <c r="H23" s="269"/>
      <c r="I23" s="270"/>
      <c r="J23" s="517"/>
      <c r="K23" s="517"/>
      <c r="L23" s="517"/>
      <c r="M23" s="517"/>
      <c r="N23" s="517"/>
      <c r="O23" s="518"/>
      <c r="P23" s="517"/>
    </row>
    <row r="24" spans="1:16" ht="16.5" thickBot="1" x14ac:dyDescent="0.3">
      <c r="A24" s="722" t="s">
        <v>371</v>
      </c>
      <c r="B24" s="723"/>
      <c r="C24" s="723"/>
      <c r="D24" s="723"/>
      <c r="E24" s="723"/>
      <c r="F24" s="723"/>
      <c r="G24" s="723"/>
      <c r="H24" s="723"/>
      <c r="I24" s="724"/>
      <c r="J24" s="517"/>
      <c r="K24" s="517"/>
      <c r="L24" s="517"/>
      <c r="M24" s="517"/>
      <c r="N24" s="517"/>
      <c r="O24" s="517"/>
      <c r="P24" s="517"/>
    </row>
    <row r="25" spans="1:16" ht="28.5" x14ac:dyDescent="0.2">
      <c r="A25" s="296"/>
      <c r="B25" s="463" t="s">
        <v>372</v>
      </c>
      <c r="C25" s="464" t="s">
        <v>579</v>
      </c>
      <c r="D25" s="464" t="s">
        <v>578</v>
      </c>
      <c r="E25" s="463" t="s">
        <v>580</v>
      </c>
      <c r="F25" s="468" t="s">
        <v>373</v>
      </c>
      <c r="G25" s="745" t="s">
        <v>374</v>
      </c>
      <c r="H25" s="748"/>
      <c r="I25" s="746"/>
      <c r="J25" s="517"/>
      <c r="L25" s="517"/>
      <c r="M25" s="517"/>
      <c r="N25" s="517"/>
      <c r="O25" s="517"/>
      <c r="P25" s="517"/>
    </row>
    <row r="26" spans="1:16" x14ac:dyDescent="0.2">
      <c r="A26" s="297" t="s">
        <v>375</v>
      </c>
      <c r="B26" s="478">
        <v>0.06</v>
      </c>
      <c r="C26" s="481">
        <f>I32*B26*PSEelec_Y_N</f>
        <v>92227.08</v>
      </c>
      <c r="D26" s="481">
        <f>I33*B26*PSEgas_Y_N</f>
        <v>4551.12</v>
      </c>
      <c r="E26" s="482">
        <f>(D26*PSEgas_Y_N*100000+C26*PSEelec_Y_N*3412)/1000</f>
        <v>769790.79696000007</v>
      </c>
      <c r="F26" s="469">
        <f>IF((D26*GasPerfRate*PSEgas_Y_N+C26*ElecPerfRate*PSEelec_Y_N+Assessment_Incentive+Base_Incentive)&gt;(TotCost+AdjCost+B11),(TotCost+AdjCost+B11)-(Assessment_Incentive+Base_Incentive),D26*GasPerfRate*PSEgas_Y_N+C26*ElecPerfRate*PSEelec_Y_N)</f>
        <v>18324.948</v>
      </c>
      <c r="G26" s="719"/>
      <c r="H26" s="720"/>
      <c r="I26" s="721"/>
      <c r="J26" s="517"/>
      <c r="L26" s="517"/>
      <c r="M26" s="517"/>
      <c r="N26" s="517"/>
      <c r="O26" s="517"/>
      <c r="P26" s="517"/>
    </row>
    <row r="27" spans="1:16" ht="15" x14ac:dyDescent="0.2">
      <c r="A27" s="297" t="str">
        <f>IF(CxPath="EBCx",IF(A54="Initial Grant Calc.","Proposed Savings","Performance Savings"),"1st Yr Performance")</f>
        <v>Proposed Savings</v>
      </c>
      <c r="B27" s="479">
        <f>E27/((PSEelec_Y_N*I32*3412+PSEgas_Y_N*I33*100000)/1000)</f>
        <v>7.8862984904136901E-2</v>
      </c>
      <c r="C27" s="483">
        <v>150000</v>
      </c>
      <c r="D27" s="483">
        <v>5000</v>
      </c>
      <c r="E27" s="484">
        <f>(D27*PSEgas_Y_N*100000+C27*PSEelec_Y_N*3412)/1000</f>
        <v>1011800</v>
      </c>
      <c r="F27" s="582">
        <f>IF(D27*GasPerfRate*PSEgas_Y_N+C27*ElecPerfRate*PSEelec_Y_N&gt;D58+D63,D58+D63,IF(D27&gt;$D$26,D27*GasPerfRate*PSEgas_Y_N,0)+IF(C27&gt;$C$26,C27*ElecPerfRate*PSEelec_Y_N,0))</f>
        <v>25000</v>
      </c>
      <c r="G27" s="583">
        <f>IF(CxPath="EBCx",MIN(TotCost+AdjCost+B11-SUM(A21:B21),AnnualTherms*GasPerfRate+AnnualkWhs*ElecPerfRate),MIN((TotCost+AdjCost-Base_Incentive)/2,AnnualTherms*GasPerfRate+AnnualkWhs*ElecPerfRate))</f>
        <v>73500</v>
      </c>
      <c r="H27" s="476" t="str">
        <f>"*up to "&amp;IF(CxPath="EBCx","100%","50%")&amp;" of eligible costs"</f>
        <v>*up to 100% of eligible costs</v>
      </c>
      <c r="I27" s="477"/>
      <c r="J27" s="517"/>
      <c r="L27" s="517"/>
      <c r="M27" s="517"/>
      <c r="N27" s="517"/>
      <c r="O27" s="517"/>
      <c r="P27" s="517"/>
    </row>
    <row r="28" spans="1:16" ht="15.75" thickBot="1" x14ac:dyDescent="0.25">
      <c r="A28" s="467" t="str">
        <f>IF(CxPath="EBCx","","2nd Yr Performance")</f>
        <v/>
      </c>
      <c r="B28" s="480">
        <f>E28/((PSEelec_Y_N*I32*3412+PSEgas_Y_N*I33*100000)/1000)</f>
        <v>8.3997886510664421E-2</v>
      </c>
      <c r="C28" s="485">
        <v>140000</v>
      </c>
      <c r="D28" s="485">
        <v>6000</v>
      </c>
      <c r="E28" s="486">
        <f>(D28*PSEgas_Y_N*100000+C28*PSEelec_Y_N*3412)/1000</f>
        <v>1077680</v>
      </c>
      <c r="F28" s="584">
        <f>IFERROR(IF(D28*GasPerfRate*PSEgas_Y_N+C28*ElecPerfRate*PSEelec_Y_N&gt;D59+D64,D59+D64,IF(D28&gt;$D$26,D28*GasPerfRate*PSEgas_Y_N,0)+IF(C28&gt;C26,C28*ElecPerfRate*PSEelec_Y_N,0)),0)</f>
        <v>0</v>
      </c>
      <c r="G28" s="585">
        <f>IF(CxPath="EBCx",0,MIN((TotCost+AdjCost-Base_Incentive)/2,AnnualTherms*GasPerfRate+AnnualkWhs*ElecPerfRate))</f>
        <v>0</v>
      </c>
      <c r="H28" s="269" t="str">
        <f>IF(CxPath="EBCx","","*up to 50% of eligible costs")</f>
        <v/>
      </c>
      <c r="I28" s="270"/>
      <c r="J28" s="517"/>
      <c r="L28" s="517"/>
      <c r="M28" s="517"/>
      <c r="N28" s="517"/>
      <c r="O28" s="517"/>
      <c r="P28" s="517"/>
    </row>
    <row r="29" spans="1:16" ht="5.0999999999999996" customHeight="1" thickBot="1" x14ac:dyDescent="0.25">
      <c r="A29" s="578"/>
      <c r="B29" s="465"/>
      <c r="C29" s="579"/>
      <c r="D29" s="579"/>
      <c r="E29" s="466"/>
      <c r="F29" s="580"/>
      <c r="G29" s="581"/>
      <c r="J29" s="96"/>
    </row>
    <row r="30" spans="1:16" ht="16.5" thickBot="1" x14ac:dyDescent="0.3">
      <c r="A30" s="722" t="s">
        <v>376</v>
      </c>
      <c r="B30" s="723"/>
      <c r="C30" s="723"/>
      <c r="D30" s="723"/>
      <c r="E30" s="723"/>
      <c r="F30" s="723"/>
      <c r="G30" s="724"/>
      <c r="H30" s="740" t="str">
        <f>IF(OR(I32&lt;0,I33&lt;0),"Invalid Inputs for Proper Baseline",IF(AND($C$32=0,$C$33=0,$C$34=0,C35=0),"Baseline Energy Use","Adjusted Baseline"))</f>
        <v>Baseline Energy Use</v>
      </c>
      <c r="I30" s="741"/>
      <c r="J30" s="96"/>
      <c r="K30" s="96"/>
      <c r="L30" s="96"/>
      <c r="M30" s="96"/>
      <c r="N30" s="96"/>
    </row>
    <row r="31" spans="1:16" x14ac:dyDescent="0.2">
      <c r="A31" s="733" t="s">
        <v>377</v>
      </c>
      <c r="B31" s="734"/>
      <c r="C31" s="463" t="s">
        <v>378</v>
      </c>
      <c r="D31" s="463" t="s">
        <v>379</v>
      </c>
      <c r="E31" s="747" t="s">
        <v>380</v>
      </c>
      <c r="F31" s="748"/>
      <c r="G31" s="746"/>
      <c r="H31" s="745" t="str">
        <f>IF(H30="Adjusted Baseline","Adjusted Use","Total Use (Actual)")</f>
        <v>Total Use (Actual)</v>
      </c>
      <c r="I31" s="746"/>
      <c r="J31" s="96"/>
      <c r="K31" s="96"/>
      <c r="L31" s="96"/>
      <c r="M31" s="96"/>
      <c r="N31" s="96"/>
    </row>
    <row r="32" spans="1:16" x14ac:dyDescent="0.2">
      <c r="A32" s="668" t="s">
        <v>138</v>
      </c>
      <c r="B32" s="669"/>
      <c r="C32" s="487"/>
      <c r="D32" s="295"/>
      <c r="E32" s="749"/>
      <c r="F32" s="750"/>
      <c r="G32" s="751"/>
      <c r="H32" s="101" t="s">
        <v>381</v>
      </c>
      <c r="I32" s="545">
        <f>IF(AND(C32=0,C33=0,C34=0,C35=0),B15,B15-IF(D32="kwh",C32,0)-IF(D33="kwh",C33,0)-IF(D34="kwh",C34,0)-IF(D35="kwh",C35,0))</f>
        <v>1537118</v>
      </c>
      <c r="J32" s="96"/>
      <c r="K32" s="96"/>
      <c r="L32" s="96"/>
      <c r="M32" s="96"/>
      <c r="N32" s="96"/>
    </row>
    <row r="33" spans="1:14" x14ac:dyDescent="0.2">
      <c r="A33" s="668" t="s">
        <v>382</v>
      </c>
      <c r="B33" s="669"/>
      <c r="C33" s="487"/>
      <c r="D33" s="295"/>
      <c r="E33" s="749"/>
      <c r="F33" s="750"/>
      <c r="G33" s="751"/>
      <c r="H33" s="101" t="s">
        <v>383</v>
      </c>
      <c r="I33" s="546">
        <f>IF(AND(C32=0,C33=0,C34=0,C35=0),B16,B16-IF(D32="therm",C32,0)-IF(D33="therm",C33,0)-IF(D34="therm",C34,0)-IF(D35="therm",C35,0))</f>
        <v>75852</v>
      </c>
      <c r="J33" s="96"/>
      <c r="K33" s="96"/>
      <c r="L33" s="96"/>
      <c r="M33" s="96"/>
      <c r="N33" s="96"/>
    </row>
    <row r="34" spans="1:14" x14ac:dyDescent="0.2">
      <c r="A34" s="668" t="s">
        <v>125</v>
      </c>
      <c r="B34" s="669"/>
      <c r="C34" s="487"/>
      <c r="D34" s="295"/>
      <c r="E34" s="749"/>
      <c r="F34" s="750"/>
      <c r="G34" s="751"/>
      <c r="J34" s="96"/>
      <c r="K34" s="96"/>
      <c r="L34" s="96"/>
      <c r="M34" s="96"/>
      <c r="N34" s="96"/>
    </row>
    <row r="35" spans="1:14" ht="15" thickBot="1" x14ac:dyDescent="0.25">
      <c r="A35" s="738" t="s">
        <v>384</v>
      </c>
      <c r="B35" s="739"/>
      <c r="C35" s="490"/>
      <c r="D35" s="491"/>
      <c r="E35" s="752"/>
      <c r="F35" s="753"/>
      <c r="G35" s="754"/>
      <c r="J35" s="96"/>
      <c r="K35" s="96"/>
      <c r="L35" s="96"/>
      <c r="M35" s="96"/>
      <c r="N35" s="96"/>
    </row>
    <row r="36" spans="1:14" ht="5.0999999999999996" customHeight="1" thickBot="1" x14ac:dyDescent="0.25">
      <c r="A36" s="577"/>
      <c r="B36" s="577"/>
      <c r="C36" s="466"/>
      <c r="J36" s="96"/>
      <c r="K36" s="96"/>
      <c r="L36" s="96"/>
      <c r="M36" s="96"/>
      <c r="N36" s="96"/>
    </row>
    <row r="37" spans="1:14" ht="16.5" hidden="1" outlineLevel="1" thickBot="1" x14ac:dyDescent="0.3">
      <c r="C37" s="264"/>
      <c r="D37" s="742" t="s">
        <v>385</v>
      </c>
      <c r="E37" s="743"/>
      <c r="F37" s="743"/>
      <c r="G37" s="743"/>
      <c r="H37" s="743"/>
      <c r="I37" s="744"/>
      <c r="J37" s="96"/>
      <c r="K37" s="96"/>
      <c r="L37" s="96"/>
      <c r="M37" s="96"/>
      <c r="N37" s="96"/>
    </row>
    <row r="38" spans="1:14" ht="28.5" hidden="1" outlineLevel="1" x14ac:dyDescent="0.2">
      <c r="C38" s="263"/>
      <c r="D38" s="317"/>
      <c r="E38" s="294" t="s">
        <v>386</v>
      </c>
      <c r="F38" s="294" t="s">
        <v>387</v>
      </c>
      <c r="G38" s="294" t="s">
        <v>388</v>
      </c>
      <c r="H38" s="298" t="s">
        <v>389</v>
      </c>
      <c r="I38" s="299" t="s">
        <v>390</v>
      </c>
      <c r="J38" s="96"/>
      <c r="K38" s="96"/>
      <c r="L38" s="96"/>
      <c r="M38" s="96"/>
      <c r="N38" s="96"/>
    </row>
    <row r="39" spans="1:14" hidden="1" outlineLevel="1" x14ac:dyDescent="0.2">
      <c r="C39" s="263"/>
      <c r="D39" s="293" t="s">
        <v>391</v>
      </c>
      <c r="E39" s="323">
        <f>D26*VLOOKUP(D10,Hidden!F30:G43,2)+C26*VLOOKUP(B10,Hidden!B30:D48,3)</f>
        <v>14834.727766800001</v>
      </c>
      <c r="F39" s="324">
        <f>(H89-H91)/E39</f>
        <v>3.2693555798538214</v>
      </c>
      <c r="G39" s="325">
        <f>IRR(I89:I94)</f>
        <v>2.3358907238982152E-2</v>
      </c>
      <c r="H39" s="326">
        <f>AVERAGE(E90:E94)/H89</f>
        <v>6.340563095238097E-2</v>
      </c>
      <c r="I39" s="327">
        <f>F95-(H89-H91)</f>
        <v>-7636.0066453953768</v>
      </c>
      <c r="J39" s="96"/>
      <c r="K39" s="96"/>
      <c r="L39" s="96"/>
      <c r="M39" s="96"/>
      <c r="N39" s="96"/>
    </row>
    <row r="40" spans="1:14" ht="15" hidden="1" outlineLevel="1" thickBot="1" x14ac:dyDescent="0.25">
      <c r="C40" s="263"/>
      <c r="D40" s="328" t="s">
        <v>392</v>
      </c>
      <c r="E40" s="330">
        <f>IF(CxPath="EBCx",MAX(D26:D27)*PSEgas_Y_N*VLOOKUP(D10,Hidden!F30:G43,2)+MAX(C26:C27)*PSEelec_Y_N*VLOOKUP(B10,Hidden!B30:D48,3),MAX(D26:D28)*PSEgas_Y_N*VLOOKUP(D10,Hidden!F30:G43,2)+MAX(C26:C28)*PSEelec_Y_N*VLOOKUP(B10,Hidden!B30:D48,3))</f>
        <v>20767.849999999999</v>
      </c>
      <c r="F40" s="331">
        <f>IF(CxPath="MBCx",(H89-H91)/E40,(H98-H101)/E40)</f>
        <v>2.6567532026666218</v>
      </c>
      <c r="G40" s="332">
        <f>IRR(I119:I124)</f>
        <v>0.42744733884760011</v>
      </c>
      <c r="H40" s="329">
        <f>AVERAGE(E120:E124)/H98</f>
        <v>0.13230865558412003</v>
      </c>
      <c r="I40" s="322">
        <f>F125-(H98-H102)</f>
        <v>47726.631320436441</v>
      </c>
      <c r="J40" s="96"/>
      <c r="K40" s="96"/>
      <c r="L40" s="96"/>
      <c r="M40" s="96"/>
      <c r="N40" s="96"/>
    </row>
    <row r="41" spans="1:14" ht="27" hidden="1" customHeight="1" outlineLevel="1" thickBot="1" x14ac:dyDescent="0.25">
      <c r="A41" s="755" t="str">
        <f>"*NPV assumes a $"&amp;AnnualMaint&amp;" Annual Maintenance cost for ensuring operational persistence, a "&amp;DiscountRate*100&amp;"% discount rate for the energy savings, and a 3% inflation in energy cost throughout the 5 year measure life beginning in year 2 (net 4.8% decrease)."</f>
        <v>*NPV assumes a $1000 Annual Maintenance cost for ensuring operational persistence, a 6.8% discount rate for the energy savings, and a 3% inflation in energy cost throughout the 5 year measure life beginning in year 2 (net 4.8% decrease).</v>
      </c>
      <c r="B41" s="756"/>
      <c r="C41" s="756"/>
      <c r="D41" s="756"/>
      <c r="E41" s="756"/>
      <c r="F41" s="756"/>
      <c r="G41" s="756"/>
      <c r="H41" s="756"/>
      <c r="I41" s="757"/>
      <c r="J41" s="96"/>
      <c r="K41" s="96"/>
      <c r="L41" s="96"/>
      <c r="M41" s="96"/>
      <c r="N41" s="96"/>
    </row>
    <row r="42" spans="1:14" ht="15" collapsed="1" x14ac:dyDescent="0.2">
      <c r="A42" s="685" t="s">
        <v>393</v>
      </c>
      <c r="B42" s="686"/>
      <c r="C42" s="686"/>
      <c r="D42" s="686"/>
      <c r="E42" s="686"/>
      <c r="F42" s="686"/>
      <c r="G42" s="686"/>
      <c r="H42" s="686"/>
      <c r="I42" s="687"/>
      <c r="J42" s="96"/>
      <c r="K42" s="96"/>
      <c r="L42" s="96"/>
      <c r="M42" s="96"/>
      <c r="N42" s="96"/>
    </row>
    <row r="43" spans="1:14" x14ac:dyDescent="0.2">
      <c r="A43" s="679"/>
      <c r="B43" s="680"/>
      <c r="C43" s="680"/>
      <c r="D43" s="680"/>
      <c r="E43" s="680"/>
      <c r="F43" s="680"/>
      <c r="G43" s="680"/>
      <c r="H43" s="680"/>
      <c r="I43" s="681"/>
      <c r="J43" s="96"/>
      <c r="K43" s="96"/>
      <c r="L43" s="96"/>
      <c r="M43" s="96"/>
      <c r="N43" s="96"/>
    </row>
    <row r="44" spans="1:14" x14ac:dyDescent="0.2">
      <c r="A44" s="679"/>
      <c r="B44" s="680"/>
      <c r="C44" s="680"/>
      <c r="D44" s="680"/>
      <c r="E44" s="680"/>
      <c r="F44" s="680"/>
      <c r="G44" s="680"/>
      <c r="H44" s="680"/>
      <c r="I44" s="681"/>
      <c r="J44" s="96"/>
      <c r="K44" s="96"/>
      <c r="L44" s="96"/>
      <c r="M44" s="96"/>
      <c r="N44" s="96"/>
    </row>
    <row r="45" spans="1:14" x14ac:dyDescent="0.2">
      <c r="A45" s="679"/>
      <c r="B45" s="680"/>
      <c r="C45" s="680"/>
      <c r="D45" s="680"/>
      <c r="E45" s="680"/>
      <c r="F45" s="680"/>
      <c r="G45" s="680"/>
      <c r="H45" s="680"/>
      <c r="I45" s="681"/>
      <c r="J45" s="96"/>
      <c r="K45" s="96"/>
      <c r="L45" s="96"/>
      <c r="M45" s="96"/>
      <c r="N45" s="96"/>
    </row>
    <row r="46" spans="1:14" x14ac:dyDescent="0.2">
      <c r="A46" s="679"/>
      <c r="B46" s="680"/>
      <c r="C46" s="680"/>
      <c r="D46" s="680"/>
      <c r="E46" s="680"/>
      <c r="F46" s="680"/>
      <c r="G46" s="680"/>
      <c r="H46" s="680"/>
      <c r="I46" s="681"/>
      <c r="J46" s="96"/>
      <c r="K46" s="96"/>
      <c r="L46" s="96"/>
      <c r="M46" s="96"/>
      <c r="N46" s="96"/>
    </row>
    <row r="47" spans="1:14" x14ac:dyDescent="0.2">
      <c r="A47" s="679"/>
      <c r="B47" s="680"/>
      <c r="C47" s="680"/>
      <c r="D47" s="680"/>
      <c r="E47" s="680"/>
      <c r="F47" s="680"/>
      <c r="G47" s="680"/>
      <c r="H47" s="680"/>
      <c r="I47" s="681"/>
      <c r="J47" s="96"/>
      <c r="K47" s="96"/>
      <c r="L47" s="96"/>
      <c r="M47" s="96"/>
      <c r="N47" s="96"/>
    </row>
    <row r="48" spans="1:14" x14ac:dyDescent="0.2">
      <c r="A48" s="679"/>
      <c r="B48" s="680"/>
      <c r="C48" s="680"/>
      <c r="D48" s="680"/>
      <c r="E48" s="680"/>
      <c r="F48" s="680"/>
      <c r="G48" s="680"/>
      <c r="H48" s="680"/>
      <c r="I48" s="681"/>
      <c r="J48" s="96"/>
      <c r="K48" s="96"/>
      <c r="L48" s="96"/>
      <c r="M48" s="96"/>
      <c r="N48" s="96"/>
    </row>
    <row r="49" spans="1:14" x14ac:dyDescent="0.2">
      <c r="A49" s="679"/>
      <c r="B49" s="680"/>
      <c r="C49" s="680"/>
      <c r="D49" s="680"/>
      <c r="E49" s="680"/>
      <c r="F49" s="680"/>
      <c r="G49" s="680"/>
      <c r="H49" s="680"/>
      <c r="I49" s="681"/>
      <c r="J49" s="96"/>
      <c r="K49" s="96"/>
      <c r="L49" s="96"/>
      <c r="M49" s="96"/>
      <c r="N49" s="96"/>
    </row>
    <row r="50" spans="1:14" x14ac:dyDescent="0.2">
      <c r="A50" s="679"/>
      <c r="B50" s="680"/>
      <c r="C50" s="680"/>
      <c r="D50" s="680"/>
      <c r="E50" s="680"/>
      <c r="F50" s="680"/>
      <c r="G50" s="680"/>
      <c r="H50" s="680"/>
      <c r="I50" s="681"/>
      <c r="J50" s="96"/>
      <c r="K50" s="96"/>
      <c r="L50" s="96"/>
      <c r="M50" s="96"/>
      <c r="N50" s="96"/>
    </row>
    <row r="51" spans="1:14" x14ac:dyDescent="0.2">
      <c r="A51" s="679"/>
      <c r="B51" s="680"/>
      <c r="C51" s="680"/>
      <c r="D51" s="680"/>
      <c r="E51" s="680"/>
      <c r="F51" s="680"/>
      <c r="G51" s="680"/>
      <c r="H51" s="680"/>
      <c r="I51" s="681"/>
      <c r="J51" s="96"/>
      <c r="K51" s="96"/>
      <c r="L51" s="96"/>
      <c r="M51" s="96"/>
      <c r="N51" s="96"/>
    </row>
    <row r="52" spans="1:14" ht="15" thickBot="1" x14ac:dyDescent="0.25">
      <c r="A52" s="682"/>
      <c r="B52" s="683"/>
      <c r="C52" s="683"/>
      <c r="D52" s="683"/>
      <c r="E52" s="683"/>
      <c r="F52" s="683"/>
      <c r="G52" s="683"/>
      <c r="H52" s="683"/>
      <c r="I52" s="684"/>
      <c r="J52" s="96"/>
      <c r="K52" s="96"/>
      <c r="L52" s="96"/>
      <c r="M52" s="96"/>
      <c r="N52" s="96"/>
    </row>
    <row r="53" spans="1:14" ht="5.0999999999999996" customHeight="1" thickBot="1" x14ac:dyDescent="0.25">
      <c r="A53" s="577"/>
      <c r="B53" s="577"/>
      <c r="C53" s="466"/>
      <c r="J53" s="96"/>
      <c r="K53" s="96"/>
      <c r="L53" s="96"/>
      <c r="M53" s="96"/>
      <c r="N53" s="96"/>
    </row>
    <row r="54" spans="1:14" ht="15.75" thickBot="1" x14ac:dyDescent="0.3">
      <c r="A54" s="300" t="s">
        <v>98</v>
      </c>
      <c r="B54" s="677" t="s">
        <v>394</v>
      </c>
      <c r="C54" s="677"/>
      <c r="D54" s="677"/>
      <c r="E54" s="677"/>
      <c r="F54" s="677"/>
      <c r="G54" s="677"/>
      <c r="H54" s="677"/>
      <c r="I54" s="678"/>
      <c r="J54" s="96"/>
      <c r="K54" s="96"/>
      <c r="L54" s="96"/>
      <c r="M54" s="96"/>
      <c r="N54" s="96"/>
    </row>
    <row r="55" spans="1:14" ht="15" thickBot="1" x14ac:dyDescent="0.25">
      <c r="A55" s="675" t="s">
        <v>395</v>
      </c>
      <c r="B55" s="676"/>
      <c r="C55" s="676"/>
      <c r="D55" s="540" t="s">
        <v>396</v>
      </c>
      <c r="E55" s="541" t="s">
        <v>397</v>
      </c>
      <c r="F55" s="541" t="s">
        <v>398</v>
      </c>
      <c r="G55" s="540" t="s">
        <v>399</v>
      </c>
      <c r="H55" s="540" t="s">
        <v>400</v>
      </c>
      <c r="I55" s="542" t="s">
        <v>401</v>
      </c>
      <c r="J55" s="96"/>
      <c r="K55" s="96"/>
      <c r="L55" s="96"/>
      <c r="M55" s="96"/>
      <c r="N55" s="96"/>
    </row>
    <row r="56" spans="1:14" s="105" customFormat="1" x14ac:dyDescent="0.2">
      <c r="A56" s="672" t="str">
        <f>IF(CxPath="MBCx","","EBCx (elec) Assessment")</f>
        <v>EBCx (elec) Assessment</v>
      </c>
      <c r="B56" s="673"/>
      <c r="C56" s="674"/>
      <c r="D56" s="301">
        <f>IF(CxPath="MBCx","",I56*ElecFAC/100/(I61*GasFAC+I56*ElecFAC/100)*Assessment_Incentive)</f>
        <v>3122.376202626504</v>
      </c>
      <c r="E56" s="302">
        <f>D56</f>
        <v>3122.376202626504</v>
      </c>
      <c r="F56" s="547">
        <f>IF(CxPath="MBCx","",0)</f>
        <v>0</v>
      </c>
      <c r="G56" s="303" t="str">
        <f>IF(OR(CxPath="MBCx",PSEelec_Y_N=0),"","Misc.")</f>
        <v>Misc.</v>
      </c>
      <c r="H56" s="304">
        <f>IF(CxPath="MBCx","",IF(D56="",0,F56*ElecFAC/100/((1+Hidden!$D$54)*(D56/(1+0.1))*(1+Hidden!D53))))</f>
        <v>0</v>
      </c>
      <c r="I56" s="553">
        <f>IF(CxPath="MBCx","",PSEelec_Y_N*I32)</f>
        <v>1537118</v>
      </c>
      <c r="J56" s="104"/>
      <c r="K56" s="104"/>
      <c r="L56" s="104"/>
      <c r="M56" s="104"/>
      <c r="N56" s="104"/>
    </row>
    <row r="57" spans="1:14" s="105" customFormat="1" x14ac:dyDescent="0.2">
      <c r="A57" s="670" t="str">
        <f>IF(CxPath="MBCx","MBCx (elec) Implementation","EBCx (elec) Implementation")</f>
        <v>EBCx (elec) Implementation</v>
      </c>
      <c r="B57" s="671"/>
      <c r="C57" s="671"/>
      <c r="D57" s="305">
        <f>F57*ElecFAC/100/(F62*GasFAC+F57*ElecFAC/100)*Base_Incentive</f>
        <v>59012.910229640926</v>
      </c>
      <c r="E57" s="306">
        <f>D57</f>
        <v>59012.910229640926</v>
      </c>
      <c r="F57" s="548">
        <f>PSEelec_Y_N*I57*0.05</f>
        <v>76855.900000000009</v>
      </c>
      <c r="G57" s="303" t="str">
        <f>IF(PSEelec_Y_N=0,"","Misc.")</f>
        <v>Misc.</v>
      </c>
      <c r="H57" s="304">
        <f>IF(D57=0,0,IF(D57="",0,F57*ElecFAC/100/((1+Hidden!$D$54)*(D57/(1+0.1))*(1+Hidden!D54))))</f>
        <v>0.7503176806583105</v>
      </c>
      <c r="I57" s="554">
        <f>PSEelec_Y_N*I32</f>
        <v>1537118</v>
      </c>
      <c r="J57" s="104"/>
      <c r="K57" s="104"/>
      <c r="L57" s="104"/>
      <c r="M57" s="104"/>
      <c r="N57" s="104"/>
    </row>
    <row r="58" spans="1:14" x14ac:dyDescent="0.2">
      <c r="A58" s="670" t="str">
        <f>IF(CxPath="EBCx","EBCx (elec) Performance","MBCx (elec) Performance Year 1")</f>
        <v>EBCx (elec) Performance</v>
      </c>
      <c r="B58" s="671"/>
      <c r="C58" s="671"/>
      <c r="D58" s="305">
        <f>IF(F58&lt;1,0,C27*ElecFAC/100/(D27*GasFAC*PSEgas_Y_N+C27*ElecFAC*PSEelec_Y_N/100)*IF(CxPath="EBCx",(B11+TotCost+AdjCost-Assessment_Incentive-Base_Incentive),IF(CxPath="MBCx",(TotCost+AdjCost-Base_Incentive)/2,(B11+TotCost+AdjCost-Assessment_Incentive-Base_Incentive)/2)))</f>
        <v>52268.443376508309</v>
      </c>
      <c r="E58" s="306">
        <f>IF(F58&lt;1,0,IF(A54="Initial Grant Calc.",D58,MIN(C27*ElecPerfRate,D58)))</f>
        <v>52268.443376508309</v>
      </c>
      <c r="F58" s="548">
        <f>PSEelec_Y_N*IF(C27-F57&lt;0,0,C27-F57)</f>
        <v>73144.099999999991</v>
      </c>
      <c r="G58" s="303" t="str">
        <f>IF(PSEelec_Y_N=0,"","Misc.")</f>
        <v>Misc.</v>
      </c>
      <c r="H58" s="304">
        <f>IF(D58=0,0,IF(D58="",0,F58*ElecFAC/100/((1+Hidden!$D$54)*(D58/(1+0.1))*(1+Hidden!D55))))</f>
        <v>0.92715549087028681</v>
      </c>
      <c r="I58" s="554">
        <f>PSEelec_Y_N*I32</f>
        <v>1537118</v>
      </c>
      <c r="J58" s="96"/>
      <c r="K58" s="96"/>
      <c r="L58" s="96"/>
      <c r="M58" s="96"/>
      <c r="N58" s="96"/>
    </row>
    <row r="59" spans="1:14" x14ac:dyDescent="0.2">
      <c r="A59" s="670" t="str">
        <f>IF(CxPath="EBCx","","MBCx (elec) Performance Year 2")</f>
        <v/>
      </c>
      <c r="B59" s="671"/>
      <c r="C59" s="671"/>
      <c r="D59" s="305">
        <f>IF(OR(CxPath="EBCx",PSEelec_Y_N=0),0,IF(C28&gt;C26,C28*ElecFAC/100/(D28*GasFAC*PSEgas_Y_N+C28*ElecFAC*PSEelec_Y_N/100)*IF(CxPath="MBCx",(TotCost+AdjCost-Base_Incentive)/2,(B11+TotCost+AdjCost-Assessment_Incentive-Base_Incentive)/2),0))</f>
        <v>0</v>
      </c>
      <c r="E59" s="306" t="str">
        <f>IF(CxPath="EBCx","",IF(C28&gt;C26,IF(A54="Initial Grant Calc.",D59,MIN(C28*ElecPerfRate,D59)),0))</f>
        <v/>
      </c>
      <c r="F59" s="548" t="str">
        <f>IF(CxPath="EBCx","",PSEelec_Y_N*IF(C28-F57-F58&lt;0,0,C28-F57-F58))</f>
        <v/>
      </c>
      <c r="G59" s="303" t="str">
        <f>IF(OR(CxPath="EBCx",PSEelec_Y_N=0),"","Misc.")</f>
        <v/>
      </c>
      <c r="H59" s="307" t="str">
        <f>IF(CxPath="EBCx","",IF(D59=0,0,F59*ElecFAC/100/((1+Hidden!$D$54)*(D59/(1+0.1))*(1+Hidden!D55))))</f>
        <v/>
      </c>
      <c r="I59" s="554" t="str">
        <f>IF(CxPath="EBCx","",PSEelec_Y_N*I32)</f>
        <v/>
      </c>
    </row>
    <row r="60" spans="1:14" x14ac:dyDescent="0.2">
      <c r="A60" s="691"/>
      <c r="B60" s="692"/>
      <c r="C60" s="693"/>
      <c r="D60" s="305"/>
      <c r="E60" s="308"/>
      <c r="F60" s="309"/>
      <c r="G60" s="310" t="s">
        <v>402</v>
      </c>
      <c r="H60" s="311">
        <f>IFERROR(SUM(F56:F59)*ElecFAC/100/((1+Hidden!$D$54)*(SUM(D56:D59)/(1+0.1))*(1+Hidden!D55)),"")</f>
        <v>0.86868818756301103</v>
      </c>
      <c r="I60" s="555"/>
    </row>
    <row r="61" spans="1:14" x14ac:dyDescent="0.2">
      <c r="A61" s="691" t="str">
        <f>IF(CxPath="MBCx","","EBCx (gas) Assessment")</f>
        <v>EBCx (gas) Assessment</v>
      </c>
      <c r="B61" s="692"/>
      <c r="C61" s="693"/>
      <c r="D61" s="305">
        <f>IF(CxPath="MBCx","",I61*GasFAC/(I61*GasFAC+I56*ElecFAC/100)*Assessment_Incentive)</f>
        <v>1877.6237973734962</v>
      </c>
      <c r="E61" s="308">
        <f>D61</f>
        <v>1877.6237973734962</v>
      </c>
      <c r="F61" s="549">
        <f>IF(CxPath="MBCx","",0)</f>
        <v>0</v>
      </c>
      <c r="G61" s="303" t="str">
        <f>IF(OR(CxPath="MBCx",PSEgas_Y_N=0),"","Heating")</f>
        <v>Heating</v>
      </c>
      <c r="H61" s="311">
        <f>IF(CxPath="MBCx","",IF(D61=0,0,F61*GasFAC/((1+Hidden!$D$54)*(IncentiveEst!D61/(1+0.1))*(1+Hidden!D54))))</f>
        <v>0</v>
      </c>
      <c r="I61" s="556">
        <f>IF(CxPath="MBCx","",PSEgas_Y_N*I33)</f>
        <v>75852</v>
      </c>
    </row>
    <row r="62" spans="1:14" x14ac:dyDescent="0.2">
      <c r="A62" s="670" t="str">
        <f>IF(CxPath="MBCx","MBCx (gas) Implementation","EBCx (gas) Implementation")</f>
        <v>EBCx (gas) Implementation</v>
      </c>
      <c r="B62" s="671"/>
      <c r="C62" s="671"/>
      <c r="D62" s="305">
        <f>F62*GasFAC/(F62*GasFAC+F57*ElecFAC/100)*Base_Incentive</f>
        <v>35487.089770359082</v>
      </c>
      <c r="E62" s="308">
        <f>D62</f>
        <v>35487.089770359082</v>
      </c>
      <c r="F62" s="550">
        <f>PSEgas_Y_N*I62*0.05</f>
        <v>3792.6000000000004</v>
      </c>
      <c r="G62" s="303" t="str">
        <f>IF(PSEgas_Y_N=0,"","Heating")</f>
        <v>Heating</v>
      </c>
      <c r="H62" s="311">
        <f>IF(D62=0,0,F62*GasFAC/((1+Hidden!$D$54)*(IncentiveEst!D62/(1+0.1))*(1+Hidden!D54)))</f>
        <v>0.75031768065831039</v>
      </c>
      <c r="I62" s="557">
        <f>PSEgas_Y_N*I33</f>
        <v>75852</v>
      </c>
    </row>
    <row r="63" spans="1:14" x14ac:dyDescent="0.2">
      <c r="A63" s="670" t="str">
        <f>IF(CxPath="EBCx","EBCx (gas) Performance","MBCx (gas) Performance Year 1")</f>
        <v>EBCx (gas) Performance</v>
      </c>
      <c r="B63" s="671"/>
      <c r="C63" s="671"/>
      <c r="D63" s="305">
        <f>IF(F63&lt;1,0,D27*GasFAC/(D27*GasFAC*PSEgas_Y_N+C27*ElecFAC*PSEelec_Y_N/100)*IF(CxPath="EBCx",(B11+TotCost+AdjCost-Assessment_Incentive-Base_Incentive),IF(CxPath="MBCx",(TotCost+AdjCost-Base_Incentive)/2,(B11+TotCost+AdjCost-Assessment_Incentive-Base_Incentive)/2)))</f>
        <v>21231.556623491688</v>
      </c>
      <c r="E63" s="306">
        <f>IF(F63&lt;1,0,IF(A54="Initial Grant Calc.",D63,MIN(D27*GasPerfRate,D63)))</f>
        <v>21231.556623491688</v>
      </c>
      <c r="F63" s="550">
        <f>PSEgas_Y_N*IF(D27-F62&lt;0,0,D27-F62)</f>
        <v>1207.3999999999996</v>
      </c>
      <c r="G63" s="303" t="str">
        <f>IF(PSEgas_Y_N=0,"","Heating")</f>
        <v>Heating</v>
      </c>
      <c r="H63" s="311">
        <f>IF(D63=0,0,F63*GasFAC/((1+Hidden!$D$54)*(IncentiveEst!D63/(1+0.1))*(1+Hidden!D54)))</f>
        <v>0.39925269838464239</v>
      </c>
      <c r="I63" s="558">
        <f>PSEgas_Y_N*I33</f>
        <v>75852</v>
      </c>
    </row>
    <row r="64" spans="1:14" ht="15" thickBot="1" x14ac:dyDescent="0.25">
      <c r="A64" s="694" t="str">
        <f>IF(CxPath="EBCx","","MBCx (gas) Performance Year 2")</f>
        <v/>
      </c>
      <c r="B64" s="695"/>
      <c r="C64" s="695"/>
      <c r="D64" s="452">
        <f>IF(OR(CxPath="EBCx",PSEgas_Y_N=0),0,IF(D28&gt;D26,D28*GasFAC/(D28*GasFAC*PSEgas_Y_N+C28*ElecFAC*PSEelec_Y_N/100)*IF(CxPath="MBCx",(TotCost+AdjCost-Base_Incentive)/2,(B11+TotCost+AdjCost-Assessment_Incentive-Base_Incentive)/2),0))</f>
        <v>0</v>
      </c>
      <c r="E64" s="453" t="str">
        <f>IF(CxPath="EBCx","",IF(D28&gt;D26,IF(A54="Initial Grant Calc.",D64,MIN(D28*GasPerfRate,D64)),0))</f>
        <v/>
      </c>
      <c r="F64" s="551" t="str">
        <f>IF(CxPath="EBCx","",PSEgas_Y_N*IF(D28-F62-F63&lt;0,0,D28-F62-F63))</f>
        <v/>
      </c>
      <c r="G64" s="454" t="str">
        <f>IF(OR(CxPath="EBCx",PSEgas_Y_N=0),"","Heating")</f>
        <v/>
      </c>
      <c r="H64" s="455" t="str">
        <f>IF(CxPath="EBCx","",IF(D64=0,0,F64*GasFAC/((1+Hidden!$D$54)*(IncentiveEst!D64/(1+0.1))*(1+Hidden!D54))))</f>
        <v/>
      </c>
      <c r="I64" s="559" t="str">
        <f>IF(CxPath="EBCx","",PSEgas_Y_N*I33)</f>
        <v/>
      </c>
    </row>
    <row r="65" spans="1:9" x14ac:dyDescent="0.2">
      <c r="A65" s="735" t="s">
        <v>403</v>
      </c>
      <c r="B65" s="736"/>
      <c r="C65" s="737"/>
      <c r="D65" s="446">
        <f>SUM(D56:D64)</f>
        <v>173000</v>
      </c>
      <c r="E65" s="447">
        <f>SUM(E56:E64)</f>
        <v>173000</v>
      </c>
      <c r="F65" s="448"/>
      <c r="G65" s="449" t="s">
        <v>404</v>
      </c>
      <c r="H65" s="450">
        <f>IFERROR(SUM(F61:F64)*GasFAC/((1+Hidden!$D$54)*(SUM(D61:D64)/(1+0.1))*(1+Hidden!D54)),"")</f>
        <v>0.59907135809305745</v>
      </c>
      <c r="I65" s="451"/>
    </row>
    <row r="66" spans="1:9" x14ac:dyDescent="0.2">
      <c r="A66" s="688" t="str">
        <f ca="1">CELL("filename")</f>
        <v>H:\4-Energy Efficiency\BEM\_Grants\250- CI Retro\_Commissioning\01_Onboarding\[PSE_Cx_Workbook_2026v1.xlsx]Pre-screen+Assessment</v>
      </c>
      <c r="B66" s="689"/>
      <c r="C66" s="689"/>
      <c r="D66" s="689"/>
      <c r="E66" s="689"/>
      <c r="F66" s="689"/>
      <c r="G66" s="689"/>
      <c r="H66" s="689"/>
      <c r="I66" s="690"/>
    </row>
    <row r="69" spans="1:9" x14ac:dyDescent="0.2">
      <c r="A69" s="95"/>
      <c r="B69" s="95"/>
    </row>
    <row r="70" spans="1:9" x14ac:dyDescent="0.2">
      <c r="A70" s="95"/>
      <c r="B70" s="95"/>
    </row>
    <row r="71" spans="1:9" x14ac:dyDescent="0.2">
      <c r="A71" s="95" t="s">
        <v>138</v>
      </c>
      <c r="B71" s="95"/>
    </row>
    <row r="72" spans="1:9" x14ac:dyDescent="0.2">
      <c r="A72" s="95" t="s">
        <v>382</v>
      </c>
      <c r="B72" s="95"/>
      <c r="C72" s="95" t="s">
        <v>405</v>
      </c>
    </row>
    <row r="73" spans="1:9" x14ac:dyDescent="0.2">
      <c r="A73" s="95" t="s">
        <v>125</v>
      </c>
      <c r="B73" s="95"/>
      <c r="C73" s="95" t="s">
        <v>406</v>
      </c>
    </row>
    <row r="74" spans="1:9" x14ac:dyDescent="0.2">
      <c r="A74" s="95" t="s">
        <v>407</v>
      </c>
      <c r="B74" s="95"/>
      <c r="C74" s="95" t="s">
        <v>408</v>
      </c>
      <c r="F74" s="462"/>
      <c r="G74" s="462"/>
      <c r="H74" s="462"/>
      <c r="I74" s="462"/>
    </row>
    <row r="75" spans="1:9" x14ac:dyDescent="0.2">
      <c r="A75" s="95" t="s">
        <v>384</v>
      </c>
      <c r="B75" s="95"/>
      <c r="C75" s="95" t="s">
        <v>409</v>
      </c>
      <c r="F75" s="462"/>
      <c r="G75" s="462"/>
      <c r="H75" s="462"/>
      <c r="I75" s="462"/>
    </row>
    <row r="76" spans="1:9" x14ac:dyDescent="0.2">
      <c r="A76" s="95"/>
      <c r="B76" s="96"/>
      <c r="F76" s="462"/>
      <c r="G76" s="462"/>
      <c r="H76" s="462"/>
      <c r="I76" s="462"/>
    </row>
    <row r="77" spans="1:9" x14ac:dyDescent="0.2">
      <c r="A77" s="96"/>
      <c r="B77" s="96"/>
      <c r="F77" s="462"/>
      <c r="G77" s="462"/>
      <c r="H77" s="462"/>
      <c r="I77" s="462"/>
    </row>
    <row r="78" spans="1:9" ht="15" x14ac:dyDescent="0.25">
      <c r="A78" s="95" t="s">
        <v>410</v>
      </c>
      <c r="B78" s="492" t="s">
        <v>411</v>
      </c>
      <c r="C78" s="95"/>
      <c r="D78" s="95"/>
      <c r="E78" s="95"/>
      <c r="F78" s="95"/>
      <c r="G78" s="95"/>
      <c r="H78" s="95"/>
      <c r="I78" s="95"/>
    </row>
    <row r="79" spans="1:9" x14ac:dyDescent="0.2">
      <c r="A79" s="95"/>
      <c r="B79" s="95"/>
      <c r="C79" s="493" t="str">
        <f>IF(CxPath="EBCx",IF(C18="MAX","Project Cash Flow (MAX Estimate)","Project Cash Flow (MIN Estimate)"),"Project Cash Flow")</f>
        <v>Project Cash Flow (MIN Estimate)</v>
      </c>
      <c r="D79" s="493"/>
      <c r="E79" s="493"/>
      <c r="F79" s="493"/>
      <c r="G79" s="494"/>
      <c r="H79" s="494" t="s">
        <v>412</v>
      </c>
      <c r="I79" s="494"/>
    </row>
    <row r="80" spans="1:9" x14ac:dyDescent="0.2">
      <c r="A80" s="95"/>
      <c r="B80" s="95"/>
      <c r="C80" s="493" t="s">
        <v>413</v>
      </c>
      <c r="D80" s="493" t="s">
        <v>414</v>
      </c>
      <c r="E80" s="493" t="s">
        <v>415</v>
      </c>
      <c r="F80" s="493" t="s">
        <v>416</v>
      </c>
      <c r="G80" s="494"/>
      <c r="H80" s="495" t="s">
        <v>417</v>
      </c>
      <c r="I80" s="495" t="s">
        <v>418</v>
      </c>
    </row>
    <row r="81" spans="1:9" x14ac:dyDescent="0.2">
      <c r="A81" s="95"/>
      <c r="B81" s="95"/>
      <c r="C81" s="95" t="str">
        <f>IF(CxPath="MBCx","Yr 1", "Yr 0")</f>
        <v>Yr 0</v>
      </c>
      <c r="D81" s="496">
        <f>IF(CxPath="MBCx",B90,B98)</f>
        <v>-5000</v>
      </c>
      <c r="E81" s="496">
        <f>IF(CxPath="MBCx",C90,C98)</f>
        <v>5000</v>
      </c>
      <c r="F81" s="496">
        <f>IF(CxPath="MBCx",D90,D98)</f>
        <v>14.849562494566801</v>
      </c>
      <c r="G81" s="95"/>
      <c r="H81" s="497">
        <f>IF(C18="MAX",F40+1,F39+1)</f>
        <v>4.269355579853821</v>
      </c>
      <c r="I81" s="498">
        <v>0</v>
      </c>
    </row>
    <row r="82" spans="1:9" ht="15.75" customHeight="1" x14ac:dyDescent="0.2">
      <c r="A82" s="95"/>
      <c r="B82" s="95"/>
      <c r="C82" s="95" t="str">
        <f>IF(CxPath="MBCx","Yr 2", "Yr 1")</f>
        <v>Yr 1</v>
      </c>
      <c r="D82" s="496">
        <f>IF(CxPath="MBCx",B91,B100)</f>
        <v>-168000</v>
      </c>
      <c r="E82" s="496">
        <f>IF(CxPath="MBCx",C91,IF($C$18="MAX",C120,C100))</f>
        <v>94500</v>
      </c>
      <c r="F82" s="496">
        <f>IF(CxPath="MBCx",D91,IF($C$18="MAX",D120,D100))</f>
        <v>14849.562494566801</v>
      </c>
      <c r="G82" s="95"/>
      <c r="H82" s="497">
        <f>H81</f>
        <v>4.269355579853821</v>
      </c>
      <c r="I82" s="498">
        <v>1</v>
      </c>
    </row>
    <row r="83" spans="1:9" x14ac:dyDescent="0.2">
      <c r="A83" s="95"/>
      <c r="B83" s="499"/>
      <c r="C83" s="95" t="str">
        <f>IF(CxPath="MBCx","Yr 3", "Yr 2")</f>
        <v>Yr 2</v>
      </c>
      <c r="D83" s="496">
        <f>IF(CxPath="MBCx",B92,B101)</f>
        <v>-2000</v>
      </c>
      <c r="E83" s="496">
        <f>IF(CxPath="MBCx",C92,IF($C$18="MAX",C121,C101))</f>
        <v>18324.948</v>
      </c>
      <c r="F83" s="496">
        <f>IF(CxPath="MBCx",D92,IF($C$18="MAX",D121,D101))</f>
        <v>14136.783494827594</v>
      </c>
      <c r="G83" s="95"/>
      <c r="H83" s="95"/>
      <c r="I83" s="95"/>
    </row>
    <row r="84" spans="1:9" x14ac:dyDescent="0.2">
      <c r="A84" s="95"/>
      <c r="B84" s="95"/>
      <c r="C84" s="95" t="str">
        <f>IF(CxPath="MBCx","Yr 4", "Yr 3")</f>
        <v>Yr 3</v>
      </c>
      <c r="D84" s="496">
        <f>IF(CxPath="MBCx",B93,B102)</f>
        <v>-1000</v>
      </c>
      <c r="E84" s="496">
        <f>IF(CxPath="MBCx",C93,IF(CxPath="EBCx+MBCx",C92,IF($C$18="MAX",C122,C102)))</f>
        <v>0</v>
      </c>
      <c r="F84" s="496">
        <f>IF(CxPath="MBCx",D93,IF($C$18="MAX",D122,D102))</f>
        <v>13458.217887075869</v>
      </c>
      <c r="G84" s="95"/>
      <c r="H84" s="95"/>
      <c r="I84" s="95"/>
    </row>
    <row r="85" spans="1:9" ht="18" customHeight="1" x14ac:dyDescent="0.2">
      <c r="A85" s="95"/>
      <c r="B85" s="95"/>
      <c r="C85" s="95" t="str">
        <f>IF(CxPath="MBCx","Yr 5", "Yr 4")</f>
        <v>Yr 4</v>
      </c>
      <c r="D85" s="496">
        <f>IF(CxPath="MBCx",B94,B103)</f>
        <v>-1000</v>
      </c>
      <c r="E85" s="496">
        <f>IF(CxPath="MBCx",C94,IF($C$18="MAX",C123,C103))</f>
        <v>0</v>
      </c>
      <c r="F85" s="496">
        <f>IF(CxPath="MBCx",D94,IF($C$18="MAX",D123,D103))</f>
        <v>12812.223428496227</v>
      </c>
      <c r="G85" s="95"/>
      <c r="H85" s="95"/>
      <c r="I85" s="95"/>
    </row>
    <row r="86" spans="1:9" x14ac:dyDescent="0.2">
      <c r="A86" s="95"/>
      <c r="B86" s="500"/>
      <c r="C86" s="95" t="str">
        <f>IF(CxPath="MBCx","", "Yr 5")</f>
        <v>Yr 5</v>
      </c>
      <c r="D86" s="496">
        <f>IF(CxPath="MBCx",#REF!,B104)</f>
        <v>-1000</v>
      </c>
      <c r="E86" s="496">
        <f>IF(CxPath="MBCx",C94,IF($C$18="MAX",C124,C104))</f>
        <v>0</v>
      </c>
      <c r="F86" s="496">
        <f>IF(CxPath="MBCx",#REF!,IF($C$18="MAX",D124,D104))</f>
        <v>12197.236703928407</v>
      </c>
      <c r="G86" s="95"/>
      <c r="H86" s="95"/>
      <c r="I86" s="95"/>
    </row>
    <row r="87" spans="1:9" ht="15" x14ac:dyDescent="0.25">
      <c r="A87" s="501" t="s">
        <v>419</v>
      </c>
      <c r="B87" s="95"/>
      <c r="C87" s="496"/>
      <c r="D87" s="496"/>
      <c r="E87" s="496"/>
      <c r="F87" s="496"/>
      <c r="G87" s="95"/>
      <c r="H87" s="95"/>
      <c r="I87" s="95"/>
    </row>
    <row r="88" spans="1:9" x14ac:dyDescent="0.2">
      <c r="A88" s="494" t="s">
        <v>413</v>
      </c>
      <c r="B88" s="494" t="s">
        <v>414</v>
      </c>
      <c r="C88" s="494" t="s">
        <v>420</v>
      </c>
      <c r="D88" s="494" t="s">
        <v>416</v>
      </c>
      <c r="E88" s="494" t="s">
        <v>421</v>
      </c>
      <c r="F88" s="494" t="s">
        <v>422</v>
      </c>
      <c r="G88" s="494"/>
      <c r="H88" s="494" t="s">
        <v>423</v>
      </c>
      <c r="I88" s="494" t="s">
        <v>424</v>
      </c>
    </row>
    <row r="89" spans="1:9" x14ac:dyDescent="0.2">
      <c r="A89" s="496" t="s">
        <v>425</v>
      </c>
      <c r="B89" s="496">
        <v>0</v>
      </c>
      <c r="C89" s="496">
        <v>0</v>
      </c>
      <c r="D89" s="496">
        <v>0</v>
      </c>
      <c r="E89" s="496"/>
      <c r="F89" s="502"/>
      <c r="G89" s="95"/>
      <c r="H89" s="503">
        <f>TotCost+AdjCost</f>
        <v>168000</v>
      </c>
      <c r="I89" s="504">
        <f>H89*-1+H91</f>
        <v>-48500</v>
      </c>
    </row>
    <row r="90" spans="1:9" s="105" customFormat="1" x14ac:dyDescent="0.2">
      <c r="A90" s="496" t="s">
        <v>426</v>
      </c>
      <c r="B90" s="496">
        <f>-AdjCost-TotCost/2</f>
        <v>-105000</v>
      </c>
      <c r="C90" s="496">
        <f>Base_Incentive</f>
        <v>94500</v>
      </c>
      <c r="D90" s="496">
        <f>D27*VLOOKUP(D10,Hidden!F30:G43,2)*PSEgas_Y_N+C27*(VLOOKUP(B10,Hidden!B30:D48,3))*PSEelec_Y_N</f>
        <v>20767.849999999999</v>
      </c>
      <c r="E90" s="496">
        <f>D90+C90+B90</f>
        <v>10267.850000000006</v>
      </c>
      <c r="F90" s="496">
        <f>PV(DiscountRate,1,,-1*E90)</f>
        <v>9614.0917602996306</v>
      </c>
      <c r="G90" s="95"/>
      <c r="H90" s="505" t="s">
        <v>420</v>
      </c>
      <c r="I90" s="504">
        <f>E90</f>
        <v>10267.850000000006</v>
      </c>
    </row>
    <row r="91" spans="1:9" x14ac:dyDescent="0.2">
      <c r="A91" s="496" t="s">
        <v>427</v>
      </c>
      <c r="B91" s="496">
        <f>-TotCost/2</f>
        <v>-63000</v>
      </c>
      <c r="C91" s="496">
        <f>Est_Y1</f>
        <v>25000</v>
      </c>
      <c r="D91" s="496">
        <f>D28*VLOOKUP(D10,Hidden!F30:G43,2)*PSEgas_Y_N+C28*(VLOOKUP(B10,Hidden!B30:D48,3))*PSEelec_Y_N</f>
        <v>21248.22</v>
      </c>
      <c r="E91" s="496">
        <f>D91+C91+B91</f>
        <v>-16751.78</v>
      </c>
      <c r="F91" s="496">
        <f>PV(DiscountRate,2,,-1*E91)</f>
        <v>-14686.504930634457</v>
      </c>
      <c r="G91" s="95"/>
      <c r="H91" s="506">
        <f>Base_Incentive+Est_Y1+Est_Y2</f>
        <v>119500</v>
      </c>
      <c r="I91" s="504">
        <f>E91</f>
        <v>-16751.78</v>
      </c>
    </row>
    <row r="92" spans="1:9" x14ac:dyDescent="0.2">
      <c r="A92" s="496" t="s">
        <v>428</v>
      </c>
      <c r="B92" s="496">
        <f>IF(OR(Hidden!C56="",Hidden!C56=0),B11*0.2,Hidden!C56*-2)</f>
        <v>-2000</v>
      </c>
      <c r="C92" s="496">
        <f>Est_Y2</f>
        <v>0</v>
      </c>
      <c r="D92" s="496">
        <f>D91</f>
        <v>21248.22</v>
      </c>
      <c r="E92" s="496">
        <f>D92+B92</f>
        <v>19248.22</v>
      </c>
      <c r="F92" s="496">
        <f>PV(DiscountRate,3,,-1*E92)</f>
        <v>15800.717767311333</v>
      </c>
      <c r="G92" s="95"/>
      <c r="H92" s="507"/>
      <c r="I92" s="504">
        <f>E92</f>
        <v>19248.22</v>
      </c>
    </row>
    <row r="93" spans="1:9" ht="11.25" customHeight="1" x14ac:dyDescent="0.2">
      <c r="A93" s="496" t="s">
        <v>429</v>
      </c>
      <c r="B93" s="496">
        <f>IF(AnnualMaint="",0,AnnualMaint*-1)</f>
        <v>-1000</v>
      </c>
      <c r="C93" s="496"/>
      <c r="D93" s="496">
        <f>D92</f>
        <v>21248.22</v>
      </c>
      <c r="E93" s="496">
        <f>D93+B93</f>
        <v>20248.22</v>
      </c>
      <c r="F93" s="496">
        <f>PV(DiscountRate,4,,-1*E93)</f>
        <v>15563.305412546822</v>
      </c>
      <c r="G93" s="95"/>
      <c r="H93" s="95"/>
      <c r="I93" s="504">
        <f>E93</f>
        <v>20248.22</v>
      </c>
    </row>
    <row r="94" spans="1:9" x14ac:dyDescent="0.2">
      <c r="A94" s="496" t="s">
        <v>430</v>
      </c>
      <c r="B94" s="496">
        <f>IF(AnnualMaint="",0,AnnualMaint*-1)</f>
        <v>-1000</v>
      </c>
      <c r="C94" s="496"/>
      <c r="D94" s="496">
        <f>D93</f>
        <v>21248.22</v>
      </c>
      <c r="E94" s="496">
        <f>D94+B94</f>
        <v>20248.22</v>
      </c>
      <c r="F94" s="496">
        <f>PV(DiscountRate,5,,-1*E94)</f>
        <v>14572.383345081293</v>
      </c>
      <c r="G94" s="95"/>
      <c r="H94" s="95"/>
      <c r="I94" s="504">
        <f>E94</f>
        <v>20248.22</v>
      </c>
    </row>
    <row r="95" spans="1:9" x14ac:dyDescent="0.2">
      <c r="A95" s="95"/>
      <c r="B95" s="95"/>
      <c r="C95" s="95"/>
      <c r="D95" s="95"/>
      <c r="E95" s="95"/>
      <c r="F95" s="504">
        <f>SUM(F90:F94)</f>
        <v>40863.993354604623</v>
      </c>
      <c r="G95" s="95"/>
      <c r="H95" s="95"/>
      <c r="I95" s="95"/>
    </row>
    <row r="96" spans="1:9" ht="15" x14ac:dyDescent="0.25">
      <c r="A96" s="501" t="s">
        <v>431</v>
      </c>
      <c r="B96" s="95"/>
      <c r="C96" s="95"/>
      <c r="D96" s="95"/>
      <c r="E96" s="95"/>
      <c r="F96" s="95"/>
      <c r="G96" s="95"/>
      <c r="H96" s="95"/>
      <c r="I96" s="95"/>
    </row>
    <row r="97" spans="1:9" ht="28.5" x14ac:dyDescent="0.2">
      <c r="A97" s="508" t="s">
        <v>413</v>
      </c>
      <c r="B97" s="508" t="s">
        <v>414</v>
      </c>
      <c r="C97" s="508" t="s">
        <v>420</v>
      </c>
      <c r="D97" s="508" t="s">
        <v>416</v>
      </c>
      <c r="E97" s="508" t="s">
        <v>432</v>
      </c>
      <c r="F97" s="508" t="s">
        <v>433</v>
      </c>
      <c r="G97" s="508"/>
      <c r="H97" s="508" t="s">
        <v>423</v>
      </c>
      <c r="I97" s="508" t="s">
        <v>424</v>
      </c>
    </row>
    <row r="98" spans="1:9" x14ac:dyDescent="0.2">
      <c r="A98" s="496" t="s">
        <v>425</v>
      </c>
      <c r="B98" s="496">
        <f>IF(Customer_Type="PSE gas/other elec",D27*GasFAC/(D27*GasFAC+C27*ElecFAC/100)*B11*-1,-1*B11)</f>
        <v>-5000</v>
      </c>
      <c r="C98" s="496">
        <f>IF(OR(B98*-1&gt;Assessment_Incentive,-1*B98=Assessment_Incentive),Assessment_Incentive,B98*-1)</f>
        <v>5000</v>
      </c>
      <c r="D98" s="496">
        <f>D100*0.001</f>
        <v>14.849562494566801</v>
      </c>
      <c r="E98" s="496"/>
      <c r="F98" s="502"/>
      <c r="G98" s="271"/>
      <c r="H98" s="509">
        <f>(B98+B100)*-1</f>
        <v>173000</v>
      </c>
      <c r="I98" s="510">
        <f>H98*-1+H101</f>
        <v>-55175.051999999996</v>
      </c>
    </row>
    <row r="99" spans="1:9" x14ac:dyDescent="0.2">
      <c r="A99" s="95"/>
      <c r="B99" s="95"/>
      <c r="C99" s="95"/>
      <c r="D99" s="95"/>
      <c r="E99" s="95"/>
      <c r="F99" s="95"/>
      <c r="G99" s="95"/>
      <c r="H99" s="95"/>
      <c r="I99" s="95"/>
    </row>
    <row r="100" spans="1:9" x14ac:dyDescent="0.2">
      <c r="A100" s="496" t="s">
        <v>426</v>
      </c>
      <c r="B100" s="496">
        <f>IF(Customer_Type="PSE gas/other elec",D27*GasFAC/(D27*GasFAC+C27*ElecFAC/100)*-TotCost-AdjCost,IF(Customer_Type="PSE elec/other gas",C27*ElecFAC/100/(D27*GasFAC+C27*ElecFAC/100)*-TotCost-AdjCost,-TotCost-AdjCost))</f>
        <v>-168000</v>
      </c>
      <c r="C100" s="496">
        <f>Base_Incentive</f>
        <v>94500</v>
      </c>
      <c r="D100" s="496">
        <f>$E$39+$E$39*0.001</f>
        <v>14849.562494566801</v>
      </c>
      <c r="E100" s="496">
        <f>D98+D100</f>
        <v>14864.412057061367</v>
      </c>
      <c r="F100" s="496">
        <f>PV(DiscountRate,1,,-1*E100)</f>
        <v>13917.98881747319</v>
      </c>
      <c r="G100" s="271"/>
      <c r="H100" s="511" t="s">
        <v>420</v>
      </c>
      <c r="I100" s="512">
        <f>E100</f>
        <v>14864.412057061367</v>
      </c>
    </row>
    <row r="101" spans="1:9" x14ac:dyDescent="0.2">
      <c r="A101" s="496" t="s">
        <v>427</v>
      </c>
      <c r="B101" s="496">
        <f>IF(OR(Hidden!C56="",Hidden!C56=0),B11*0.2,Hidden!C56*-2)</f>
        <v>-2000</v>
      </c>
      <c r="C101" s="496">
        <f>Est_MIN</f>
        <v>18324.948</v>
      </c>
      <c r="D101" s="496">
        <f>D100*(1-0.048)</f>
        <v>14136.783494827594</v>
      </c>
      <c r="E101" s="496">
        <f>D101+C101+B101</f>
        <v>30461.731494827596</v>
      </c>
      <c r="F101" s="496">
        <f>PV(DiscountRate,2,,-1*E101)</f>
        <v>26706.198970763016</v>
      </c>
      <c r="G101" s="271"/>
      <c r="H101" s="513">
        <f>IF(CxPath="MBCx",Base_Incentive+Est_MIN,Assessment_Incentive+Base_Incentive+Est_MIN)</f>
        <v>117824.948</v>
      </c>
      <c r="I101" s="512">
        <f>E101</f>
        <v>30461.731494827596</v>
      </c>
    </row>
    <row r="102" spans="1:9" x14ac:dyDescent="0.2">
      <c r="A102" s="496" t="s">
        <v>428</v>
      </c>
      <c r="B102" s="496">
        <f>IF(AnnualMaint="",0,AnnualMaint*-1)</f>
        <v>-1000</v>
      </c>
      <c r="C102" s="496"/>
      <c r="D102" s="496">
        <f>D101*(1-0.048)</f>
        <v>13458.217887075869</v>
      </c>
      <c r="E102" s="496">
        <f>D102+B102</f>
        <v>12458.217887075869</v>
      </c>
      <c r="F102" s="496">
        <f>PV(DiscountRate,3,,-1*E102)</f>
        <v>10226.856546597843</v>
      </c>
      <c r="G102" s="271"/>
      <c r="H102" s="513">
        <f>Assessment_Incentive+Base_Incentive+Est_Y1</f>
        <v>124500</v>
      </c>
      <c r="I102" s="512">
        <f>E102</f>
        <v>12458.217887075869</v>
      </c>
    </row>
    <row r="103" spans="1:9" x14ac:dyDescent="0.2">
      <c r="A103" s="496" t="s">
        <v>429</v>
      </c>
      <c r="B103" s="496">
        <f>IF(AnnualMaint="",0,AnnualMaint*-1)</f>
        <v>-1000</v>
      </c>
      <c r="C103" s="496"/>
      <c r="D103" s="496">
        <f>D102*(1-0.048)</f>
        <v>12812.223428496227</v>
      </c>
      <c r="E103" s="496">
        <f>D103+B103</f>
        <v>11812.223428496227</v>
      </c>
      <c r="F103" s="496">
        <f>PV(DiscountRate,4,,-1*E103)</f>
        <v>9079.180333823304</v>
      </c>
      <c r="G103" s="271"/>
      <c r="H103" s="271"/>
      <c r="I103" s="512">
        <f>E103</f>
        <v>11812.223428496227</v>
      </c>
    </row>
    <row r="104" spans="1:9" x14ac:dyDescent="0.2">
      <c r="A104" s="496" t="s">
        <v>430</v>
      </c>
      <c r="B104" s="496">
        <f>IF(AnnualMaint="",0,AnnualMaint*-1)</f>
        <v>-1000</v>
      </c>
      <c r="C104" s="496"/>
      <c r="D104" s="496">
        <f>D103*(1-0.048)</f>
        <v>12197.236703928407</v>
      </c>
      <c r="E104" s="496">
        <f>D104+B104</f>
        <v>11197.236703928407</v>
      </c>
      <c r="F104" s="496">
        <f>PV(DiscountRate,5,,-1*E104)</f>
        <v>8058.5071505178857</v>
      </c>
      <c r="G104" s="95"/>
      <c r="H104" s="271"/>
      <c r="I104" s="512">
        <f>E104</f>
        <v>11197.236703928407</v>
      </c>
    </row>
    <row r="105" spans="1:9" x14ac:dyDescent="0.2">
      <c r="A105" s="95"/>
      <c r="B105" s="95"/>
      <c r="C105" s="95"/>
      <c r="D105" s="95"/>
      <c r="E105" s="95"/>
      <c r="F105" s="512">
        <f>SUM(F100:F104)</f>
        <v>67988.731819175242</v>
      </c>
      <c r="G105" s="95"/>
      <c r="H105" s="95"/>
      <c r="I105" s="95"/>
    </row>
    <row r="106" spans="1:9" x14ac:dyDescent="0.2">
      <c r="A106" s="95"/>
      <c r="B106" s="95"/>
      <c r="C106" s="95"/>
      <c r="D106" s="95"/>
      <c r="E106" s="95"/>
      <c r="F106" s="95"/>
      <c r="G106" s="95"/>
      <c r="H106" s="95"/>
      <c r="I106" s="95"/>
    </row>
    <row r="107" spans="1:9" x14ac:dyDescent="0.2">
      <c r="A107" s="95"/>
      <c r="B107" s="95"/>
      <c r="C107" s="95"/>
      <c r="D107" s="95"/>
      <c r="E107" s="95"/>
      <c r="F107" s="95"/>
      <c r="G107" s="95"/>
      <c r="H107" s="95"/>
      <c r="I107" s="95"/>
    </row>
    <row r="108" spans="1:9" x14ac:dyDescent="0.2">
      <c r="A108" s="95"/>
      <c r="B108" s="95"/>
      <c r="C108" s="95"/>
      <c r="D108" s="95"/>
      <c r="E108" s="95"/>
      <c r="F108" s="95"/>
      <c r="G108" s="95"/>
      <c r="H108" s="95"/>
      <c r="I108" s="95"/>
    </row>
    <row r="109" spans="1:9" x14ac:dyDescent="0.2">
      <c r="A109" s="95"/>
      <c r="B109" s="95"/>
      <c r="C109" s="95"/>
      <c r="D109" s="95"/>
      <c r="E109" s="95"/>
      <c r="F109" s="95"/>
      <c r="G109" s="95"/>
      <c r="H109" s="95"/>
      <c r="I109" s="95"/>
    </row>
    <row r="110" spans="1:9" x14ac:dyDescent="0.2">
      <c r="A110" s="95"/>
      <c r="B110" s="95"/>
      <c r="C110" s="95"/>
      <c r="D110" s="95"/>
      <c r="E110" s="95"/>
      <c r="F110" s="95"/>
      <c r="G110" s="95"/>
      <c r="H110" s="95"/>
      <c r="I110" s="95"/>
    </row>
    <row r="111" spans="1:9" x14ac:dyDescent="0.2">
      <c r="A111" s="496"/>
      <c r="B111" s="496"/>
      <c r="C111" s="95"/>
      <c r="D111" s="95"/>
      <c r="E111" s="95"/>
      <c r="F111" s="95"/>
      <c r="G111" s="271"/>
      <c r="H111" s="514"/>
      <c r="I111" s="512"/>
    </row>
    <row r="112" spans="1:9" x14ac:dyDescent="0.2">
      <c r="A112" s="496"/>
      <c r="B112" s="496"/>
      <c r="C112" s="95"/>
      <c r="D112" s="95"/>
      <c r="E112" s="95"/>
      <c r="F112" s="95"/>
      <c r="G112" s="271"/>
      <c r="H112" s="514"/>
      <c r="I112" s="512"/>
    </row>
    <row r="113" spans="1:9" x14ac:dyDescent="0.2">
      <c r="A113" s="271"/>
      <c r="B113" s="496"/>
      <c r="C113" s="95"/>
      <c r="D113" s="95"/>
      <c r="E113" s="95"/>
      <c r="F113" s="95"/>
      <c r="G113" s="271"/>
      <c r="H113" s="514"/>
      <c r="I113" s="512"/>
    </row>
    <row r="114" spans="1:9" x14ac:dyDescent="0.2">
      <c r="A114" s="95"/>
      <c r="B114" s="95"/>
      <c r="C114" s="95"/>
      <c r="D114" s="95"/>
      <c r="E114" s="95"/>
      <c r="F114" s="95"/>
      <c r="G114" s="95"/>
      <c r="H114" s="95"/>
      <c r="I114" s="95"/>
    </row>
    <row r="115" spans="1:9" x14ac:dyDescent="0.2">
      <c r="A115" s="95"/>
      <c r="B115" s="95"/>
      <c r="C115" s="95"/>
      <c r="D115" s="95"/>
      <c r="E115" s="95"/>
      <c r="F115" s="95"/>
      <c r="G115" s="95"/>
      <c r="H115" s="95"/>
      <c r="I115" s="95"/>
    </row>
    <row r="116" spans="1:9" x14ac:dyDescent="0.2">
      <c r="A116" s="95"/>
      <c r="B116" s="95"/>
      <c r="C116" s="95"/>
      <c r="D116" s="95"/>
      <c r="E116" s="95"/>
      <c r="F116" s="95"/>
      <c r="G116" s="95"/>
      <c r="H116" s="95"/>
      <c r="I116" s="95"/>
    </row>
    <row r="117" spans="1:9" x14ac:dyDescent="0.2">
      <c r="A117" s="95"/>
      <c r="B117" s="95"/>
      <c r="C117" s="95"/>
      <c r="D117" s="95"/>
      <c r="E117" s="95"/>
      <c r="F117" s="95"/>
      <c r="G117" s="95"/>
      <c r="H117" s="95"/>
      <c r="I117" s="95"/>
    </row>
    <row r="118" spans="1:9" x14ac:dyDescent="0.2">
      <c r="A118" s="515" t="s">
        <v>413</v>
      </c>
      <c r="B118" s="515" t="s">
        <v>414</v>
      </c>
      <c r="C118" s="515" t="s">
        <v>420</v>
      </c>
      <c r="D118" s="515" t="s">
        <v>416</v>
      </c>
      <c r="E118" s="515" t="s">
        <v>434</v>
      </c>
      <c r="F118" s="515" t="s">
        <v>435</v>
      </c>
      <c r="G118" s="515"/>
      <c r="H118" s="95"/>
      <c r="I118" s="515" t="s">
        <v>436</v>
      </c>
    </row>
    <row r="119" spans="1:9" x14ac:dyDescent="0.2">
      <c r="A119" s="496" t="s">
        <v>425</v>
      </c>
      <c r="B119" s="496">
        <f>B98</f>
        <v>-5000</v>
      </c>
      <c r="C119" s="496">
        <f>C98</f>
        <v>5000</v>
      </c>
      <c r="D119" s="496">
        <f>D98</f>
        <v>14.849562494566801</v>
      </c>
      <c r="E119" s="95"/>
      <c r="F119" s="95"/>
      <c r="G119" s="95"/>
      <c r="H119" s="95"/>
      <c r="I119" s="510">
        <f>H98*-1+H102</f>
        <v>-48500</v>
      </c>
    </row>
    <row r="120" spans="1:9" x14ac:dyDescent="0.2">
      <c r="A120" s="496" t="s">
        <v>426</v>
      </c>
      <c r="B120" s="496">
        <f>B100</f>
        <v>-168000</v>
      </c>
      <c r="C120" s="496">
        <f>C100</f>
        <v>94500</v>
      </c>
      <c r="D120" s="496">
        <f>$E$40+$E$40*0.001</f>
        <v>20788.617849999999</v>
      </c>
      <c r="E120" s="496">
        <f>D120+D119</f>
        <v>20803.467412494567</v>
      </c>
      <c r="F120" s="496">
        <f>PV(DiscountRate,1,,-1*E120)</f>
        <v>19478.902071624125</v>
      </c>
      <c r="G120" s="271"/>
      <c r="H120" s="95"/>
      <c r="I120" s="512">
        <f>E120</f>
        <v>20803.467412494567</v>
      </c>
    </row>
    <row r="121" spans="1:9" x14ac:dyDescent="0.2">
      <c r="A121" s="496" t="s">
        <v>427</v>
      </c>
      <c r="B121" s="496">
        <f>B101</f>
        <v>-2000</v>
      </c>
      <c r="C121" s="496">
        <f>MAX(F26:F27)</f>
        <v>25000</v>
      </c>
      <c r="D121" s="496">
        <f>D120*(1-0.048)</f>
        <v>19790.764193199997</v>
      </c>
      <c r="E121" s="496">
        <f>D121+C121+B121</f>
        <v>42790.764193199997</v>
      </c>
      <c r="F121" s="496">
        <f>PV(DiscountRate,2,,-1*E121)</f>
        <v>37515.223415604087</v>
      </c>
      <c r="G121" s="271"/>
      <c r="H121" s="95"/>
      <c r="I121" s="512">
        <f>E121</f>
        <v>42790.764193199997</v>
      </c>
    </row>
    <row r="122" spans="1:9" x14ac:dyDescent="0.2">
      <c r="A122" s="496" t="s">
        <v>428</v>
      </c>
      <c r="B122" s="496">
        <f>B102</f>
        <v>-1000</v>
      </c>
      <c r="C122" s="496"/>
      <c r="D122" s="496">
        <f>D121*(1-0.048)</f>
        <v>18840.807511926396</v>
      </c>
      <c r="E122" s="496">
        <f>D122+B122</f>
        <v>17840.807511926396</v>
      </c>
      <c r="F122" s="496">
        <f>PV(DiscountRate,3,,-1*E122)</f>
        <v>14645.383533483973</v>
      </c>
      <c r="G122" s="271"/>
      <c r="H122" s="95"/>
      <c r="I122" s="512">
        <f>E122</f>
        <v>17840.807511926396</v>
      </c>
    </row>
    <row r="123" spans="1:9" x14ac:dyDescent="0.2">
      <c r="A123" s="496" t="s">
        <v>429</v>
      </c>
      <c r="B123" s="496">
        <f>B103</f>
        <v>-1000</v>
      </c>
      <c r="C123" s="496"/>
      <c r="D123" s="496">
        <f>D122*(1-0.048)</f>
        <v>17936.448751353928</v>
      </c>
      <c r="E123" s="496">
        <f>D123+B123</f>
        <v>16936.448751353928</v>
      </c>
      <c r="F123" s="496">
        <f>PV(DiscountRate,4,,-1*E123)</f>
        <v>13017.79240453079</v>
      </c>
      <c r="G123" s="271"/>
      <c r="H123" s="95"/>
      <c r="I123" s="512">
        <f>E123</f>
        <v>16936.448751353928</v>
      </c>
    </row>
    <row r="124" spans="1:9" x14ac:dyDescent="0.2">
      <c r="A124" s="496" t="s">
        <v>430</v>
      </c>
      <c r="B124" s="496">
        <f>B104</f>
        <v>-1000</v>
      </c>
      <c r="C124" s="496"/>
      <c r="D124" s="496">
        <f>D123*(1-0.048)</f>
        <v>17075.499211288938</v>
      </c>
      <c r="E124" s="496">
        <f>D124+B124</f>
        <v>16075.499211288938</v>
      </c>
      <c r="F124" s="496">
        <f>PV(DiscountRate,5,,-1*E124)</f>
        <v>11569.329895193472</v>
      </c>
      <c r="G124" s="95"/>
      <c r="H124" s="95"/>
      <c r="I124" s="512">
        <f>E124</f>
        <v>16075.499211288938</v>
      </c>
    </row>
    <row r="125" spans="1:9" x14ac:dyDescent="0.2">
      <c r="A125" s="496"/>
      <c r="B125" s="496"/>
      <c r="C125" s="496"/>
      <c r="D125" s="496"/>
      <c r="E125" s="496"/>
      <c r="F125" s="512">
        <f>SUM(F120:F124)</f>
        <v>96226.631320436441</v>
      </c>
      <c r="G125" s="271"/>
      <c r="H125" s="512"/>
      <c r="I125" s="271"/>
    </row>
    <row r="126" spans="1:9" x14ac:dyDescent="0.2">
      <c r="A126" s="95"/>
      <c r="B126" s="95"/>
      <c r="C126" s="95"/>
      <c r="D126" s="95"/>
      <c r="E126" s="95"/>
      <c r="F126" s="95"/>
      <c r="G126" s="95"/>
      <c r="H126" s="95"/>
      <c r="I126" s="95"/>
    </row>
    <row r="127" spans="1:9" x14ac:dyDescent="0.2">
      <c r="A127" s="95"/>
      <c r="B127" s="95"/>
      <c r="C127" s="95"/>
      <c r="D127" s="95"/>
      <c r="E127" s="95"/>
      <c r="F127" s="95"/>
      <c r="G127" s="95"/>
      <c r="H127" s="95"/>
      <c r="I127" s="95"/>
    </row>
    <row r="128" spans="1:9" x14ac:dyDescent="0.2">
      <c r="A128" s="95"/>
      <c r="B128" s="95"/>
      <c r="C128" s="95"/>
      <c r="D128" s="95"/>
      <c r="E128" s="95"/>
      <c r="F128" s="95"/>
      <c r="G128" s="95"/>
      <c r="H128" s="95"/>
      <c r="I128" s="95"/>
    </row>
    <row r="129" spans="1:9" x14ac:dyDescent="0.2">
      <c r="A129" s="103"/>
      <c r="B129" s="103"/>
      <c r="C129" s="103"/>
      <c r="D129" s="103"/>
      <c r="E129" s="103"/>
      <c r="F129" s="103"/>
      <c r="G129" s="103"/>
      <c r="H129" s="103"/>
      <c r="I129" s="103"/>
    </row>
    <row r="130" spans="1:9" x14ac:dyDescent="0.2">
      <c r="A130" s="103"/>
      <c r="B130" s="103"/>
      <c r="C130" s="103"/>
      <c r="D130" s="103"/>
      <c r="E130" s="103"/>
      <c r="F130" s="103"/>
      <c r="G130" s="103"/>
      <c r="H130" s="103"/>
      <c r="I130" s="103"/>
    </row>
    <row r="131" spans="1:9" x14ac:dyDescent="0.2">
      <c r="A131" s="271"/>
      <c r="B131" s="516"/>
      <c r="C131" s="271"/>
      <c r="D131" s="271"/>
      <c r="E131" s="271"/>
      <c r="F131" s="271"/>
      <c r="G131" s="271"/>
      <c r="H131" s="271"/>
      <c r="I131" s="271"/>
    </row>
    <row r="132" spans="1:9" x14ac:dyDescent="0.2">
      <c r="A132" s="271"/>
      <c r="B132" s="271"/>
      <c r="C132" s="271"/>
      <c r="D132" s="271"/>
      <c r="E132" s="271"/>
      <c r="F132" s="271"/>
      <c r="G132" s="271"/>
      <c r="H132" s="271"/>
      <c r="I132" s="271"/>
    </row>
    <row r="133" spans="1:9" x14ac:dyDescent="0.2">
      <c r="A133" s="509"/>
      <c r="B133" s="271"/>
      <c r="C133" s="271"/>
      <c r="D133" s="271"/>
      <c r="E133" s="271"/>
      <c r="F133" s="271"/>
      <c r="G133" s="271"/>
      <c r="H133" s="271"/>
      <c r="I133" s="271"/>
    </row>
    <row r="134" spans="1:9" x14ac:dyDescent="0.2">
      <c r="A134" s="95"/>
      <c r="B134" s="95"/>
      <c r="C134" s="102"/>
      <c r="D134" s="95"/>
      <c r="E134" s="95"/>
      <c r="F134" s="95"/>
      <c r="G134" s="95"/>
      <c r="H134" s="95"/>
      <c r="I134" s="95"/>
    </row>
    <row r="135" spans="1:9" x14ac:dyDescent="0.2">
      <c r="A135" s="95"/>
      <c r="B135" s="95"/>
      <c r="C135" s="95"/>
      <c r="D135" s="95"/>
      <c r="E135" s="95"/>
      <c r="F135" s="95"/>
      <c r="G135" s="95"/>
      <c r="H135" s="95"/>
      <c r="I135" s="95"/>
    </row>
  </sheetData>
  <sheetProtection sheet="1" selectLockedCells="1"/>
  <mergeCells count="46">
    <mergeCell ref="B8:D8"/>
    <mergeCell ref="A31:B31"/>
    <mergeCell ref="A65:C65"/>
    <mergeCell ref="A35:B35"/>
    <mergeCell ref="H30:I30"/>
    <mergeCell ref="D37:I37"/>
    <mergeCell ref="H31:I31"/>
    <mergeCell ref="E31:G31"/>
    <mergeCell ref="E32:G32"/>
    <mergeCell ref="E33:G33"/>
    <mergeCell ref="E34:G34"/>
    <mergeCell ref="E35:G35"/>
    <mergeCell ref="A30:G30"/>
    <mergeCell ref="A41:I41"/>
    <mergeCell ref="A60:C60"/>
    <mergeCell ref="G25:I25"/>
    <mergeCell ref="A14:D14"/>
    <mergeCell ref="A17:B17"/>
    <mergeCell ref="A19:D19"/>
    <mergeCell ref="G26:I26"/>
    <mergeCell ref="A24:I24"/>
    <mergeCell ref="A18:B18"/>
    <mergeCell ref="C20:D20"/>
    <mergeCell ref="C21:D21"/>
    <mergeCell ref="A1:G1"/>
    <mergeCell ref="H1:I1"/>
    <mergeCell ref="B5:D5"/>
    <mergeCell ref="B6:D6"/>
    <mergeCell ref="B7:D7"/>
    <mergeCell ref="A2:I4"/>
    <mergeCell ref="A66:I66"/>
    <mergeCell ref="A63:C63"/>
    <mergeCell ref="A59:C59"/>
    <mergeCell ref="A58:C58"/>
    <mergeCell ref="A61:C61"/>
    <mergeCell ref="A62:C62"/>
    <mergeCell ref="A64:C64"/>
    <mergeCell ref="A32:B32"/>
    <mergeCell ref="A33:B33"/>
    <mergeCell ref="A34:B34"/>
    <mergeCell ref="A57:C57"/>
    <mergeCell ref="A56:C56"/>
    <mergeCell ref="A55:C55"/>
    <mergeCell ref="B54:I54"/>
    <mergeCell ref="A43:I52"/>
    <mergeCell ref="A42:I42"/>
  </mergeCells>
  <conditionalFormatting sqref="A20:A21">
    <cfRule type="expression" dxfId="20" priority="4">
      <formula>CxPath="MBCx"</formula>
    </cfRule>
  </conditionalFormatting>
  <conditionalFormatting sqref="A21">
    <cfRule type="expression" dxfId="19" priority="5">
      <formula>CxPath&lt;&gt;"MBCx"</formula>
    </cfRule>
  </conditionalFormatting>
  <conditionalFormatting sqref="A79:A87 F88:G88">
    <cfRule type="containsText" dxfId="18" priority="32"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details.",A79)))</formula>
    </cfRule>
  </conditionalFormatting>
  <conditionalFormatting sqref="A95">
    <cfRule type="containsText" dxfId="17" priority="26"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details.",A95)))</formula>
    </cfRule>
  </conditionalFormatting>
  <conditionalFormatting sqref="A119:D119">
    <cfRule type="containsText" dxfId="16" priority="3"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details.",A119)))</formula>
    </cfRule>
  </conditionalFormatting>
  <conditionalFormatting sqref="A120:F125">
    <cfRule type="containsText" dxfId="15" priority="2"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details.",A120)))</formula>
    </cfRule>
  </conditionalFormatting>
  <conditionalFormatting sqref="A118:G118">
    <cfRule type="containsText" dxfId="14" priority="12"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details.",A118)))</formula>
    </cfRule>
  </conditionalFormatting>
  <conditionalFormatting sqref="B11">
    <cfRule type="expression" dxfId="13" priority="8">
      <formula>CxPath="MBCx"</formula>
    </cfRule>
    <cfRule type="expression" dxfId="12" priority="9">
      <formula>OR(CxPath="EBCx",CxPath="EBCx+MBCx")</formula>
    </cfRule>
  </conditionalFormatting>
  <conditionalFormatting sqref="B13">
    <cfRule type="expression" dxfId="11" priority="1">
      <formula>IF($A$54="Initial Grant Calc.",0,1)</formula>
    </cfRule>
  </conditionalFormatting>
  <conditionalFormatting sqref="B28:G28">
    <cfRule type="expression" dxfId="10" priority="7">
      <formula>CxPath="EBCx"</formula>
    </cfRule>
  </conditionalFormatting>
  <conditionalFormatting sqref="C28:D28">
    <cfRule type="expression" dxfId="9" priority="6">
      <formula>OR(CxPath="MBCx",CxPath="EBCx+MBCx")</formula>
    </cfRule>
  </conditionalFormatting>
  <conditionalFormatting sqref="C79:F81 C82 D82:F86">
    <cfRule type="containsText" dxfId="8" priority="15"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details.",C79)))</formula>
    </cfRule>
  </conditionalFormatting>
  <conditionalFormatting sqref="C87:F87">
    <cfRule type="containsText" dxfId="7" priority="16"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details.",C87)))</formula>
    </cfRule>
  </conditionalFormatting>
  <conditionalFormatting sqref="D9 A88:E90 F90 A91:F94 F95:G95 A97:E98 A100:F100 A101:E104 F101:F105 A111:B113 A131:A135">
    <cfRule type="containsText" dxfId="6" priority="10"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details.",A9)))</formula>
    </cfRule>
  </conditionalFormatting>
  <conditionalFormatting sqref="F25:G25">
    <cfRule type="containsText" dxfId="5" priority="33" operator="containsText" text="Adjusted Performance">
      <formula>NOT(ISERROR(SEARCH("Adjusted Performance",F25)))</formula>
    </cfRule>
  </conditionalFormatting>
  <conditionalFormatting sqref="F97:G97">
    <cfRule type="containsText" dxfId="4" priority="14" operator="containsText" text="A high $ per sq.ft. caused this project to surpass the incentive range as shown in the graph and has been adjusted accordingly. Please refer to statement below and discuss with your PSE representative for further details.">
      <formula>NOT(ISERROR(SEARCH("A high $ per sq.ft. caused this project to surpass the incentive range as shown in the graph and has been adjusted accordingly. Please refer to statement below and discuss with your PSE representative for further details.",F97)))</formula>
    </cfRule>
  </conditionalFormatting>
  <conditionalFormatting sqref="H30 D37">
    <cfRule type="containsText" dxfId="3" priority="35" operator="containsText" text="Invalid Inputs for Proper Baseline">
      <formula>NOT(ISERROR(SEARCH("Invalid Inputs for Proper Baseline",D30)))</formula>
    </cfRule>
  </conditionalFormatting>
  <conditionalFormatting sqref="I32:I33">
    <cfRule type="cellIs" dxfId="2" priority="34" operator="lessThan">
      <formula>0</formula>
    </cfRule>
  </conditionalFormatting>
  <dataValidations count="10">
    <dataValidation type="list" allowBlank="1" showInputMessage="1" showErrorMessage="1" sqref="A32:B35" xr:uid="{00000000-0002-0000-0300-000002000000}">
      <formula1>$A$71:$A$75</formula1>
    </dataValidation>
    <dataValidation errorStyle="warning" allowBlank="1" errorTitle="Out of Range " error="Input must be in decimal form ≥ 6% and &lt;100%." sqref="B27:B29" xr:uid="{00000000-0002-0000-0300-000003000000}"/>
    <dataValidation type="list" allowBlank="1" showInputMessage="1" showErrorMessage="1" sqref="C18" xr:uid="{2F970CEA-4ACC-408E-A4BE-49D115B0116D}">
      <formula1>"MIN,MAX"</formula1>
    </dataValidation>
    <dataValidation type="whole" errorStyle="warning" operator="equal" allowBlank="1" errorTitle="Out of Range " error="Input must be in decimal form ≥ 6% and &lt;100%." sqref="B26" xr:uid="{00000000-0002-0000-0300-000004000000}">
      <formula1>5</formula1>
    </dataValidation>
    <dataValidation type="whole" allowBlank="1" showInputMessage="1" showErrorMessage="1" errorTitle="INVALID!" error="Savings Input is greater than baseline energy use." sqref="C29" xr:uid="{00000000-0002-0000-0300-000000000000}">
      <formula1>-2*I34</formula1>
      <formula2>I34</formula2>
    </dataValidation>
    <dataValidation type="whole" allowBlank="1" showErrorMessage="1" errorTitle="INVALID!" error="Savings Input is greater than baseline energy use." promptTitle="INVALID!" prompt="Savings Input is greater than baseline energy use." sqref="D29" xr:uid="{00000000-0002-0000-0300-000001000000}">
      <formula1>-1*I33</formula1>
      <formula2>I33</formula2>
    </dataValidation>
    <dataValidation type="decimal" allowBlank="1" showInputMessage="1" showErrorMessage="1" errorTitle="INVALID!" error="Savings Input is greater than baseline energy use." sqref="D27" xr:uid="{5AC151E4-AB3D-45A5-8B5C-FCD13E6CA41F}">
      <formula1>-2*I33</formula1>
      <formula2>I33</formula2>
    </dataValidation>
    <dataValidation type="decimal" allowBlank="1" showInputMessage="1" showErrorMessage="1" errorTitle="INVALID!" error="Savings Input is greater than baseline energy use." sqref="C27" xr:uid="{BBD283BD-83BD-4162-82C8-18F04C6036C4}">
      <formula1>-1*I32</formula1>
      <formula2>I32</formula2>
    </dataValidation>
    <dataValidation type="decimal" allowBlank="1" showErrorMessage="1" errorTitle="INVALID!" error="Savings Input is greater than baseline energy use." promptTitle="INVALID!" prompt="Savings Input is greater than baseline energy use." sqref="C28" xr:uid="{AB6B1A9A-B755-4B59-8860-02F202FDDBB8}">
      <formula1>-1*I32</formula1>
      <formula2>I32</formula2>
    </dataValidation>
    <dataValidation type="decimal" allowBlank="1" showInputMessage="1" showErrorMessage="1" errorTitle="INVALID!" error="Savings Input is greater than baseline energy use." sqref="D28" xr:uid="{6FE82417-3868-424B-8B61-21D4E5466E24}">
      <formula1>-2*I33</formula1>
      <formula2>I33</formula2>
    </dataValidation>
  </dataValidations>
  <pageMargins left="0.7" right="0.7" top="0.75" bottom="0.75" header="0.3" footer="0.3"/>
  <pageSetup scale="59" orientation="portrait" r:id="rId1"/>
  <headerFooter>
    <oddFooter>&amp;LCx Incentive Estimates - 2026.1</oddFooter>
  </headerFooter>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7000000}">
          <x14:formula1>
            <xm:f>Hidden!$A$3:$A$6</xm:f>
          </x14:formula1>
          <xm:sqref>B9</xm:sqref>
        </x14:dataValidation>
        <x14:dataValidation type="list" allowBlank="1" showInputMessage="1" showErrorMessage="1" xr:uid="{00000000-0002-0000-0300-000005000000}">
          <x14:formula1>
            <xm:f>Hidden!$B$35:$B$46</xm:f>
          </x14:formula1>
          <xm:sqref>B10</xm:sqref>
        </x14:dataValidation>
        <x14:dataValidation type="list" allowBlank="1" showInputMessage="1" showErrorMessage="1" xr:uid="{00000000-0002-0000-0300-000009000000}">
          <x14:formula1>
            <xm:f>Hidden!$F$10:$F$11</xm:f>
          </x14:formula1>
          <xm:sqref>D32:D36 D53</xm:sqref>
        </x14:dataValidation>
        <x14:dataValidation type="list" allowBlank="1" showInputMessage="1" showErrorMessage="1" xr:uid="{00000000-0002-0000-0300-000008000000}">
          <x14:formula1>
            <xm:f>Hidden!$G$10:$G$11</xm:f>
          </x14:formula1>
          <xm:sqref>A54</xm:sqref>
        </x14:dataValidation>
        <x14:dataValidation type="list" allowBlank="1" showInputMessage="1" showErrorMessage="1" xr:uid="{C1469497-B747-4AC5-B85A-3BB3C1791F02}">
          <x14:formula1>
            <xm:f>Hidden!$K$3:$K$5</xm:f>
          </x14:formula1>
          <xm:sqref>D9</xm:sqref>
        </x14:dataValidation>
        <x14:dataValidation type="list" allowBlank="1" showInputMessage="1" showErrorMessage="1" xr:uid="{7FBF11A9-15C1-4799-9A40-F13545B8784B}">
          <x14:formula1>
            <xm:f>Hidden!$F$30:$F$32</xm:f>
          </x14:formula1>
          <xm:sqref>D10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tabColor rgb="FFBFDDA3"/>
    <pageSetUpPr fitToPage="1"/>
  </sheetPr>
  <dimension ref="A1:E45"/>
  <sheetViews>
    <sheetView showGridLines="0" showRuler="0" view="pageLayout" zoomScale="90" zoomScaleNormal="100" zoomScaleSheetLayoutView="80" zoomScalePageLayoutView="90" workbookViewId="0">
      <selection activeCell="A3" sqref="A3:D3"/>
    </sheetView>
  </sheetViews>
  <sheetFormatPr defaultColWidth="5.140625" defaultRowHeight="14.25" x14ac:dyDescent="0.2"/>
  <cols>
    <col min="1" max="1" width="42.42578125" style="155" customWidth="1"/>
    <col min="2" max="4" width="12.42578125" style="156" customWidth="1"/>
    <col min="5" max="5" width="79.28515625" style="155" customWidth="1"/>
    <col min="6" max="8" width="5.140625" style="155"/>
    <col min="9" max="9" width="43" style="155" customWidth="1"/>
    <col min="10" max="10" width="55.42578125" style="155" customWidth="1"/>
    <col min="11" max="16384" width="5.140625" style="155"/>
  </cols>
  <sheetData>
    <row r="1" spans="1:5" s="16" customFormat="1" ht="15" x14ac:dyDescent="0.25">
      <c r="A1" s="758" t="str">
        <f>"PSE "&amp;VLOOKUP(CxPath,Hidden!$K$3:$M$5,3,FALSE)</f>
        <v>PSE Existing Building Commissioning (EBCx)</v>
      </c>
      <c r="B1" s="758"/>
      <c r="C1" s="758"/>
      <c r="D1" s="758"/>
      <c r="E1" s="758"/>
    </row>
    <row r="2" spans="1:5" s="16" customFormat="1" ht="5.0999999999999996" customHeight="1" x14ac:dyDescent="0.25">
      <c r="A2" s="336"/>
      <c r="B2" s="336"/>
      <c r="C2" s="336"/>
      <c r="D2" s="336"/>
      <c r="E2" s="336"/>
    </row>
    <row r="3" spans="1:5" s="16" customFormat="1" ht="18.75" x14ac:dyDescent="0.3">
      <c r="A3" s="759" t="str">
        <f>"Facility:  "&amp;'Pre-screen+Assessment'!F4</f>
        <v xml:space="preserve">Facility:  </v>
      </c>
      <c r="B3" s="760"/>
      <c r="C3" s="760"/>
      <c r="D3" s="760"/>
      <c r="E3" s="335" t="s">
        <v>459</v>
      </c>
    </row>
    <row r="4" spans="1:5" x14ac:dyDescent="0.2">
      <c r="A4" s="155" t="s">
        <v>668</v>
      </c>
    </row>
    <row r="5" spans="1:5" ht="10.5" customHeight="1" thickBot="1" x14ac:dyDescent="0.25"/>
    <row r="6" spans="1:5" ht="15" x14ac:dyDescent="0.25">
      <c r="A6" s="769" t="s">
        <v>460</v>
      </c>
      <c r="B6" s="771" t="s">
        <v>461</v>
      </c>
      <c r="C6" s="772"/>
      <c r="D6" s="773"/>
      <c r="E6" s="764" t="s">
        <v>462</v>
      </c>
    </row>
    <row r="7" spans="1:5" ht="30.75" thickBot="1" x14ac:dyDescent="0.3">
      <c r="A7" s="770"/>
      <c r="B7" s="157" t="s">
        <v>463</v>
      </c>
      <c r="C7" s="158" t="s">
        <v>464</v>
      </c>
      <c r="D7" s="157" t="s">
        <v>465</v>
      </c>
      <c r="E7" s="765"/>
    </row>
    <row r="8" spans="1:5" x14ac:dyDescent="0.2">
      <c r="A8" s="159" t="s">
        <v>466</v>
      </c>
      <c r="B8" s="160"/>
      <c r="C8" s="161"/>
      <c r="D8" s="162"/>
      <c r="E8" s="766" t="s">
        <v>467</v>
      </c>
    </row>
    <row r="9" spans="1:5" x14ac:dyDescent="0.2">
      <c r="A9" s="159" t="s">
        <v>468</v>
      </c>
      <c r="B9" s="163"/>
      <c r="C9" s="164"/>
      <c r="D9" s="165"/>
      <c r="E9" s="767"/>
    </row>
    <row r="10" spans="1:5" x14ac:dyDescent="0.2">
      <c r="A10" s="159" t="s">
        <v>469</v>
      </c>
      <c r="B10" s="163"/>
      <c r="C10" s="164"/>
      <c r="D10" s="165"/>
      <c r="E10" s="768"/>
    </row>
    <row r="11" spans="1:5" ht="15" x14ac:dyDescent="0.25">
      <c r="A11" s="166" t="s">
        <v>470</v>
      </c>
      <c r="B11" s="167"/>
      <c r="C11" s="168"/>
      <c r="D11" s="169"/>
      <c r="E11" s="170" t="s">
        <v>471</v>
      </c>
    </row>
    <row r="12" spans="1:5" ht="15" x14ac:dyDescent="0.25">
      <c r="A12" s="171" t="str">
        <f>IF(CxPath="EBCx","3. Assessment &amp; Initial Cx Plan","3. MBCx Planning Phase")</f>
        <v>3. Assessment &amp; Initial Cx Plan</v>
      </c>
      <c r="B12" s="163"/>
      <c r="C12" s="168"/>
      <c r="D12" s="169"/>
      <c r="E12" s="172" t="str">
        <f>IF(CxPath="EBCx","1 month after grant is signed","3 months")</f>
        <v>1 month after grant is signed</v>
      </c>
    </row>
    <row r="13" spans="1:5" ht="15" x14ac:dyDescent="0.25">
      <c r="A13" s="159" t="str">
        <f>IF(CxPath="EBCx","     b. Revise Scope (if needed)","     a. Create/Update CFR")</f>
        <v xml:space="preserve">     b. Revise Scope (if needed)</v>
      </c>
      <c r="B13" s="163"/>
      <c r="C13" s="168"/>
      <c r="D13" s="169"/>
      <c r="E13" s="170" t="str">
        <f>IF(CxPath="EBCx","Prior to Cx Grant","")</f>
        <v>Prior to Cx Grant</v>
      </c>
    </row>
    <row r="14" spans="1:5" ht="15" x14ac:dyDescent="0.25">
      <c r="A14" s="159" t="str">
        <f>IF(CxPath="EBCx","4. Investigation","     b. Create MAP")</f>
        <v>4. Investigation</v>
      </c>
      <c r="B14" s="163"/>
      <c r="C14" s="168"/>
      <c r="D14" s="169"/>
      <c r="E14" s="170" t="str">
        <f>IF(CxPath="EBCx","3 months ","")</f>
        <v xml:space="preserve">3 months </v>
      </c>
    </row>
    <row r="15" spans="1:5" x14ac:dyDescent="0.2">
      <c r="A15" s="159" t="str">
        <f>IF(CxPath="EBCx","     a. On site work","     c. Create training plan")</f>
        <v xml:space="preserve">     a. On site work</v>
      </c>
      <c r="B15" s="163"/>
      <c r="C15" s="168"/>
      <c r="D15" s="169"/>
      <c r="E15" s="166" t="str">
        <f>IF(CxPath="EBCx","   2 months unless seasonal testing is needed","")</f>
        <v xml:space="preserve">   2 months unless seasonal testing is needed</v>
      </c>
    </row>
    <row r="16" spans="1:5" ht="15" x14ac:dyDescent="0.25">
      <c r="A16" s="159" t="str">
        <f>IF(CxPath="EBCx","     b. Informal training","4. EMIS Configure Phase")</f>
        <v xml:space="preserve">     b. Informal training</v>
      </c>
      <c r="B16" s="173"/>
      <c r="C16" s="168"/>
      <c r="D16" s="169"/>
      <c r="E16" s="172" t="str">
        <f>IF(CxPath="EBCx","   During Investigation","3 months")</f>
        <v xml:space="preserve">   During Investigation</v>
      </c>
    </row>
    <row r="17" spans="1:5" ht="15" x14ac:dyDescent="0.25">
      <c r="A17" s="159" t="str">
        <f>IF(CxPath="EBCx","     c. Report with recommendations","     a. Define data configuration requirements")</f>
        <v xml:space="preserve">     c. Report with recommendations</v>
      </c>
      <c r="B17" s="173"/>
      <c r="C17" s="168"/>
      <c r="D17" s="169"/>
      <c r="E17" s="170" t="str">
        <f>IF(CxPath="EBCx","Max 30 days after on-site work","")</f>
        <v>Max 30 days after on-site work</v>
      </c>
    </row>
    <row r="18" spans="1:5" ht="15" x14ac:dyDescent="0.25">
      <c r="A18" s="159" t="str">
        <f>IF(CxPath="EBCx","     d. Pre-conditions verification/site visit","     b. Calibrate sensors")</f>
        <v xml:space="preserve">     d. Pre-conditions verification/site visit</v>
      </c>
      <c r="B18" s="173"/>
      <c r="C18" s="168"/>
      <c r="D18" s="169"/>
      <c r="E18" s="170" t="str">
        <f>IF(CxPath="EBCx","Max 2 weeks after report review","")</f>
        <v>Max 2 weeks after report review</v>
      </c>
    </row>
    <row r="19" spans="1:5" ht="15" x14ac:dyDescent="0.25">
      <c r="A19" s="159" t="str">
        <f>IF(CxPath="EBCx","","     c. Configure FDD")</f>
        <v/>
      </c>
      <c r="B19" s="173"/>
      <c r="C19" s="168"/>
      <c r="D19" s="169"/>
      <c r="E19" s="170"/>
    </row>
    <row r="20" spans="1:5" ht="15" x14ac:dyDescent="0.25">
      <c r="A20" s="159" t="str">
        <f>IF(CxPath="EBCx","","     d. Implement anomaly tracking")</f>
        <v/>
      </c>
      <c r="B20" s="173"/>
      <c r="C20" s="168"/>
      <c r="D20" s="169"/>
      <c r="E20" s="170"/>
    </row>
    <row r="21" spans="1:5" ht="15" x14ac:dyDescent="0.25">
      <c r="A21" s="174" t="s">
        <v>472</v>
      </c>
      <c r="B21" s="163"/>
      <c r="C21" s="168"/>
      <c r="D21" s="165"/>
      <c r="E21" s="172" t="s">
        <v>473</v>
      </c>
    </row>
    <row r="22" spans="1:5" x14ac:dyDescent="0.2">
      <c r="A22" s="159" t="s">
        <v>474</v>
      </c>
      <c r="B22" s="163"/>
      <c r="C22" s="168"/>
      <c r="D22" s="165"/>
      <c r="E22" s="340" t="s">
        <v>475</v>
      </c>
    </row>
    <row r="23" spans="1:5" x14ac:dyDescent="0.2">
      <c r="A23" s="159" t="s">
        <v>476</v>
      </c>
      <c r="B23" s="163"/>
      <c r="C23" s="168"/>
      <c r="D23" s="165"/>
      <c r="E23" s="341" t="s">
        <v>477</v>
      </c>
    </row>
    <row r="24" spans="1:5" x14ac:dyDescent="0.2">
      <c r="A24" s="174" t="s">
        <v>478</v>
      </c>
      <c r="B24" s="163"/>
      <c r="C24" s="168"/>
      <c r="D24" s="165"/>
      <c r="E24" s="176"/>
    </row>
    <row r="25" spans="1:5" ht="15" x14ac:dyDescent="0.25">
      <c r="A25" s="174" t="s">
        <v>479</v>
      </c>
      <c r="B25" s="163"/>
      <c r="C25" s="168"/>
      <c r="D25" s="165"/>
      <c r="E25" s="176" t="s">
        <v>480</v>
      </c>
    </row>
    <row r="26" spans="1:5" ht="15" x14ac:dyDescent="0.25">
      <c r="A26" s="174" t="s">
        <v>481</v>
      </c>
      <c r="B26" s="163"/>
      <c r="C26" s="164"/>
      <c r="D26" s="177"/>
      <c r="E26" s="174" t="s">
        <v>482</v>
      </c>
    </row>
    <row r="27" spans="1:5" x14ac:dyDescent="0.2">
      <c r="A27" s="159" t="s">
        <v>483</v>
      </c>
      <c r="B27" s="163"/>
      <c r="C27" s="164"/>
      <c r="D27" s="165"/>
      <c r="E27" s="178"/>
    </row>
    <row r="28" spans="1:5" x14ac:dyDescent="0.2">
      <c r="A28" s="159" t="s">
        <v>484</v>
      </c>
      <c r="B28" s="163"/>
      <c r="C28" s="164"/>
      <c r="D28" s="165"/>
      <c r="E28" s="175"/>
    </row>
    <row r="29" spans="1:5" ht="15" x14ac:dyDescent="0.25">
      <c r="A29" s="174" t="s">
        <v>485</v>
      </c>
      <c r="B29" s="163"/>
      <c r="C29" s="168"/>
      <c r="D29" s="179"/>
      <c r="E29" s="174" t="s">
        <v>486</v>
      </c>
    </row>
    <row r="30" spans="1:5" ht="15" x14ac:dyDescent="0.25">
      <c r="A30" s="421" t="s">
        <v>487</v>
      </c>
      <c r="B30" s="339"/>
      <c r="C30" s="338"/>
      <c r="D30" s="337"/>
      <c r="E30" s="422" t="s">
        <v>488</v>
      </c>
    </row>
    <row r="31" spans="1:5" x14ac:dyDescent="0.2">
      <c r="A31" s="174" t="str">
        <f>IF(CxPath="EBCx","9. 1st Year Performance Bonus","9. 1st &amp; 2ndYear Performance Bonus")</f>
        <v>9. 1st Year Performance Bonus</v>
      </c>
      <c r="B31" s="163"/>
      <c r="C31" s="168"/>
      <c r="D31" s="169"/>
      <c r="E31" s="423" t="s">
        <v>489</v>
      </c>
    </row>
    <row r="32" spans="1:5" x14ac:dyDescent="0.2">
      <c r="A32" s="159" t="s">
        <v>490</v>
      </c>
      <c r="B32" s="163"/>
      <c r="C32" s="164"/>
      <c r="D32" s="169"/>
      <c r="E32" s="341"/>
    </row>
    <row r="33" spans="1:5" x14ac:dyDescent="0.2">
      <c r="A33" s="180" t="s">
        <v>491</v>
      </c>
      <c r="B33" s="163"/>
      <c r="C33" s="164"/>
      <c r="D33" s="169"/>
      <c r="E33" s="181"/>
    </row>
    <row r="34" spans="1:5" ht="15" thickBot="1" x14ac:dyDescent="0.25">
      <c r="A34" s="182" t="s">
        <v>492</v>
      </c>
      <c r="B34" s="183"/>
      <c r="C34" s="184"/>
      <c r="D34" s="185"/>
      <c r="E34" s="186" t="s">
        <v>493</v>
      </c>
    </row>
    <row r="35" spans="1:5" ht="15" thickBot="1" x14ac:dyDescent="0.25"/>
    <row r="36" spans="1:5" ht="15.75" thickBot="1" x14ac:dyDescent="0.3">
      <c r="A36" s="774" t="s">
        <v>494</v>
      </c>
      <c r="B36" s="775"/>
      <c r="C36" s="775"/>
      <c r="D36" s="775"/>
      <c r="E36" s="776"/>
    </row>
    <row r="37" spans="1:5" ht="15" x14ac:dyDescent="0.25">
      <c r="A37" s="187" t="s">
        <v>495</v>
      </c>
      <c r="B37" s="459"/>
      <c r="C37" s="458" t="s">
        <v>496</v>
      </c>
      <c r="D37" s="460"/>
      <c r="E37" s="351" t="s">
        <v>497</v>
      </c>
    </row>
    <row r="38" spans="1:5" x14ac:dyDescent="0.2">
      <c r="A38" s="188" t="s">
        <v>498</v>
      </c>
      <c r="B38" s="761"/>
      <c r="C38" s="762"/>
      <c r="D38" s="763"/>
      <c r="E38" s="189"/>
    </row>
    <row r="39" spans="1:5" x14ac:dyDescent="0.2">
      <c r="A39" s="188" t="s">
        <v>499</v>
      </c>
      <c r="B39" s="761"/>
      <c r="C39" s="762"/>
      <c r="D39" s="763"/>
      <c r="E39" s="189"/>
    </row>
    <row r="40" spans="1:5" x14ac:dyDescent="0.2">
      <c r="A40" s="188" t="s">
        <v>500</v>
      </c>
      <c r="B40" s="761"/>
      <c r="C40" s="762"/>
      <c r="D40" s="763"/>
      <c r="E40" s="189"/>
    </row>
    <row r="41" spans="1:5" x14ac:dyDescent="0.2">
      <c r="A41" s="188" t="s">
        <v>501</v>
      </c>
      <c r="B41" s="761"/>
      <c r="C41" s="762"/>
      <c r="D41" s="763"/>
      <c r="E41" s="189"/>
    </row>
    <row r="42" spans="1:5" x14ac:dyDescent="0.2">
      <c r="A42" s="188" t="s">
        <v>502</v>
      </c>
      <c r="B42" s="761"/>
      <c r="C42" s="762"/>
      <c r="D42" s="763"/>
      <c r="E42" s="189"/>
    </row>
    <row r="43" spans="1:5" x14ac:dyDescent="0.2">
      <c r="A43" s="188" t="s">
        <v>502</v>
      </c>
      <c r="B43" s="761"/>
      <c r="C43" s="762"/>
      <c r="D43" s="763"/>
      <c r="E43" s="189"/>
    </row>
    <row r="44" spans="1:5" x14ac:dyDescent="0.2">
      <c r="A44" s="188" t="s">
        <v>502</v>
      </c>
      <c r="B44" s="761"/>
      <c r="C44" s="762"/>
      <c r="D44" s="763"/>
      <c r="E44" s="189"/>
    </row>
    <row r="45" spans="1:5" x14ac:dyDescent="0.2">
      <c r="A45" s="188" t="s">
        <v>502</v>
      </c>
      <c r="B45" s="761"/>
      <c r="C45" s="762"/>
      <c r="D45" s="763"/>
      <c r="E45" s="189"/>
    </row>
  </sheetData>
  <mergeCells count="15">
    <mergeCell ref="B43:D43"/>
    <mergeCell ref="B44:D44"/>
    <mergeCell ref="B45:D45"/>
    <mergeCell ref="B40:D40"/>
    <mergeCell ref="A6:A7"/>
    <mergeCell ref="B6:D6"/>
    <mergeCell ref="A36:E36"/>
    <mergeCell ref="B38:D38"/>
    <mergeCell ref="B39:D39"/>
    <mergeCell ref="A1:E1"/>
    <mergeCell ref="A3:D3"/>
    <mergeCell ref="B41:D41"/>
    <mergeCell ref="B42:D42"/>
    <mergeCell ref="E6:E7"/>
    <mergeCell ref="E8:E10"/>
  </mergeCells>
  <conditionalFormatting sqref="C12:C13 C17:C18">
    <cfRule type="expression" dxfId="1" priority="1">
      <formula>CxPath="EBCx"</formula>
    </cfRule>
  </conditionalFormatting>
  <conditionalFormatting sqref="D12:D15 B14 D17:D18 B18 B19:D20">
    <cfRule type="expression" dxfId="0" priority="2">
      <formula>CxPath="EBCx"</formula>
    </cfRule>
  </conditionalFormatting>
  <printOptions horizontalCentered="1"/>
  <pageMargins left="0.7" right="0.7" top="0.88166666666666704" bottom="0.62" header="0.3" footer="0.3"/>
  <pageSetup scale="77" orientation="landscape" r:id="rId1"/>
  <headerFooter>
    <oddHeader>&amp;L&amp;G&amp;C&amp;"Arial,Bold"&amp;11
Schedule of Major Tasks</oddHeader>
    <oddFooter>&amp;LSchedule of Major Tasks - 2026.1</oddFooter>
  </headerFooter>
  <legacyDrawingHF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BFDDA3"/>
    <pageSetUpPr fitToPage="1"/>
  </sheetPr>
  <dimension ref="A1:AB56"/>
  <sheetViews>
    <sheetView showGridLines="0" showRuler="0" view="pageLayout" zoomScale="80" zoomScaleNormal="100" zoomScalePageLayoutView="80" workbookViewId="0">
      <selection activeCell="C5" sqref="C5"/>
    </sheetView>
  </sheetViews>
  <sheetFormatPr defaultColWidth="9.140625" defaultRowHeight="12.75" x14ac:dyDescent="0.2"/>
  <cols>
    <col min="1" max="1" width="6" style="16" customWidth="1"/>
    <col min="2" max="2" width="33.28515625" style="16" bestFit="1" customWidth="1"/>
    <col min="3" max="3" width="25.42578125" style="16" customWidth="1"/>
    <col min="4" max="4" width="20.140625" style="16" customWidth="1"/>
    <col min="5" max="5" width="10.28515625" style="16" customWidth="1"/>
    <col min="6" max="6" width="9.42578125" style="16" bestFit="1" customWidth="1"/>
    <col min="7" max="7" width="5.42578125" style="16" customWidth="1"/>
    <col min="8" max="15" width="12.85546875" style="16" customWidth="1"/>
    <col min="16" max="16" width="11.85546875" style="16" customWidth="1"/>
    <col min="17" max="17" width="11.42578125" style="16" customWidth="1"/>
    <col min="18" max="18" width="8.140625" style="16" customWidth="1"/>
    <col min="19" max="19" width="5.42578125" style="16" customWidth="1"/>
    <col min="20" max="20" width="5.140625" style="16" customWidth="1"/>
    <col min="21" max="21" width="8.140625" style="16" customWidth="1"/>
    <col min="22" max="22" width="3.85546875" style="16" customWidth="1"/>
    <col min="23" max="24" width="10" style="16" customWidth="1"/>
    <col min="25" max="25" width="13" style="16" bestFit="1" customWidth="1"/>
    <col min="26" max="27" width="10" style="16" customWidth="1"/>
    <col min="28" max="28" width="10.7109375" style="16" bestFit="1" customWidth="1"/>
    <col min="29" max="16384" width="9.140625" style="16"/>
  </cols>
  <sheetData>
    <row r="1" spans="1:28" ht="15" x14ac:dyDescent="0.25">
      <c r="A1" s="758" t="str">
        <f>"PSE "&amp;VLOOKUP(CxPath,Hidden!$K$3:$M$5,3,FALSE)</f>
        <v>PSE Existing Building Commissioning (EBCx)</v>
      </c>
      <c r="B1" s="758"/>
      <c r="C1" s="758"/>
      <c r="D1" s="758"/>
      <c r="E1" s="758"/>
      <c r="F1" s="758"/>
      <c r="G1" s="758"/>
      <c r="H1" s="758"/>
      <c r="I1" s="758"/>
      <c r="J1" s="758"/>
      <c r="K1" s="758"/>
      <c r="L1" s="758"/>
      <c r="M1" s="758"/>
      <c r="N1" s="758"/>
      <c r="O1" s="758"/>
      <c r="P1" s="758"/>
      <c r="Q1" s="758"/>
      <c r="R1" s="758"/>
      <c r="S1" s="758"/>
      <c r="T1" s="758"/>
      <c r="U1" s="758"/>
      <c r="V1" s="336"/>
      <c r="W1" s="336"/>
      <c r="X1" s="336"/>
      <c r="Y1" s="336"/>
      <c r="Z1" s="336"/>
      <c r="AA1" s="336"/>
      <c r="AB1" s="336"/>
    </row>
    <row r="2" spans="1:28" ht="15" x14ac:dyDescent="0.25">
      <c r="A2" s="336"/>
      <c r="B2" s="336"/>
      <c r="C2" s="336"/>
      <c r="D2" s="336"/>
      <c r="E2" s="336"/>
    </row>
    <row r="3" spans="1:28" ht="20.25" customHeight="1" x14ac:dyDescent="0.25">
      <c r="A3" s="38"/>
      <c r="B3" s="38"/>
      <c r="C3" s="38"/>
      <c r="D3" s="38"/>
      <c r="E3" s="38"/>
      <c r="F3" s="38"/>
      <c r="G3" s="190"/>
      <c r="H3" s="779" t="s">
        <v>503</v>
      </c>
      <c r="I3" s="779"/>
      <c r="J3" s="38" t="s">
        <v>504</v>
      </c>
      <c r="L3" s="190"/>
      <c r="M3" s="190"/>
      <c r="Q3" s="38"/>
      <c r="R3" s="39"/>
      <c r="T3" s="39"/>
      <c r="U3" s="39"/>
      <c r="V3" s="17"/>
      <c r="W3" s="40"/>
      <c r="X3" s="40"/>
    </row>
    <row r="4" spans="1:28" ht="6" customHeight="1" thickBot="1" x14ac:dyDescent="0.3">
      <c r="A4" s="37"/>
      <c r="D4" s="39"/>
      <c r="E4" s="41"/>
      <c r="F4" s="795"/>
      <c r="G4" s="795"/>
      <c r="H4" s="795"/>
      <c r="I4" s="795"/>
      <c r="J4" s="795"/>
      <c r="K4" s="795"/>
      <c r="L4" s="795"/>
      <c r="M4" s="795"/>
      <c r="N4" s="795"/>
      <c r="O4" s="795"/>
      <c r="P4" s="795"/>
      <c r="Q4" s="19"/>
      <c r="V4" s="191"/>
      <c r="W4" s="192"/>
      <c r="X4" s="192"/>
    </row>
    <row r="5" spans="1:28" ht="17.25" customHeight="1" thickBot="1" x14ac:dyDescent="0.25">
      <c r="A5" s="193"/>
      <c r="B5" s="42" t="s">
        <v>459</v>
      </c>
      <c r="C5" s="194"/>
      <c r="D5" s="44"/>
      <c r="E5" s="44"/>
      <c r="F5" s="44"/>
      <c r="G5" s="44"/>
      <c r="H5" s="44"/>
      <c r="I5" s="44"/>
      <c r="J5" s="44"/>
      <c r="K5" s="44"/>
      <c r="L5" s="195"/>
      <c r="M5" s="195"/>
      <c r="N5" s="42" t="s">
        <v>505</v>
      </c>
      <c r="O5" s="50" t="s">
        <v>506</v>
      </c>
      <c r="P5" s="43">
        <f>VLOOKUP(R5,Hidden!B24:D42,3)</f>
        <v>9.1829999999999995E-2</v>
      </c>
      <c r="Q5" s="50" t="s">
        <v>507</v>
      </c>
      <c r="R5" s="796" t="str">
        <f>IncentiveEst!B10</f>
        <v xml:space="preserve">Sch 25 (&gt;20,000 kWh/mo) </v>
      </c>
      <c r="S5" s="797"/>
      <c r="T5" s="797"/>
      <c r="U5" s="798"/>
      <c r="V5" s="196"/>
      <c r="W5" s="192"/>
      <c r="X5" s="192"/>
    </row>
    <row r="6" spans="1:28" ht="26.25" thickBot="1" x14ac:dyDescent="0.25">
      <c r="A6" s="197"/>
      <c r="B6" s="45"/>
      <c r="C6" s="198"/>
      <c r="D6" s="199"/>
      <c r="E6" s="199"/>
      <c r="F6" s="199"/>
      <c r="G6" s="199"/>
      <c r="H6" s="200" t="s">
        <v>508</v>
      </c>
      <c r="I6" s="200" t="s">
        <v>509</v>
      </c>
      <c r="J6" s="200" t="s">
        <v>510</v>
      </c>
      <c r="K6" s="200" t="s">
        <v>511</v>
      </c>
      <c r="N6" s="45"/>
      <c r="O6" s="53" t="s">
        <v>512</v>
      </c>
      <c r="P6" s="46">
        <f>VLOOKUP(R6,Hidden!F30:G43,2)</f>
        <v>1.3986700000000001</v>
      </c>
      <c r="Q6" s="408" t="s">
        <v>507</v>
      </c>
      <c r="R6" s="799" t="str">
        <f>IncentiveEst!D10</f>
        <v>Sch 31</v>
      </c>
      <c r="S6" s="800"/>
      <c r="T6" s="800"/>
      <c r="U6" s="801"/>
      <c r="V6" s="196"/>
      <c r="W6" s="192"/>
      <c r="X6" s="192"/>
    </row>
    <row r="7" spans="1:28" ht="15.75" customHeight="1" x14ac:dyDescent="0.2">
      <c r="A7" s="197"/>
      <c r="B7" s="45" t="s">
        <v>298</v>
      </c>
      <c r="C7" s="794" t="str">
        <f>""&amp;'Pre-screen+Assessment'!F4</f>
        <v/>
      </c>
      <c r="D7" s="794"/>
      <c r="E7" s="794"/>
      <c r="F7" s="199"/>
      <c r="G7" s="199"/>
      <c r="H7" s="201">
        <f>W44</f>
        <v>0</v>
      </c>
      <c r="I7" s="201">
        <f>SQRT(Y44)</f>
        <v>0</v>
      </c>
      <c r="J7" s="201">
        <f>Z44</f>
        <v>0</v>
      </c>
      <c r="K7" s="201">
        <f>SQRT(AB44)</f>
        <v>0</v>
      </c>
      <c r="M7" s="199"/>
      <c r="N7" s="199"/>
      <c r="U7" s="202"/>
      <c r="V7" s="196"/>
      <c r="W7" s="192"/>
      <c r="X7" s="192"/>
    </row>
    <row r="8" spans="1:28" ht="15.75" customHeight="1" thickBot="1" x14ac:dyDescent="0.25">
      <c r="A8" s="203"/>
      <c r="B8" s="47" t="s">
        <v>513</v>
      </c>
      <c r="C8" s="802"/>
      <c r="D8" s="802"/>
      <c r="E8" s="802"/>
      <c r="F8" s="802"/>
      <c r="G8" s="204"/>
      <c r="H8" s="204"/>
      <c r="I8" s="204"/>
      <c r="J8" s="204"/>
      <c r="K8" s="204"/>
      <c r="L8" s="204"/>
      <c r="M8" s="204"/>
      <c r="N8" s="205"/>
      <c r="O8" s="205"/>
      <c r="P8" s="48"/>
      <c r="Q8" s="49" t="s">
        <v>514</v>
      </c>
      <c r="R8" s="803"/>
      <c r="S8" s="803"/>
      <c r="T8" s="803"/>
      <c r="U8" s="804"/>
      <c r="V8" s="196"/>
      <c r="W8" s="192"/>
      <c r="X8" s="192"/>
    </row>
    <row r="9" spans="1:28" ht="5.25" customHeight="1" thickBot="1" x14ac:dyDescent="0.25">
      <c r="A9" s="193"/>
      <c r="B9" s="50"/>
      <c r="C9" s="206"/>
      <c r="D9" s="206"/>
      <c r="E9" s="44"/>
      <c r="F9" s="44"/>
      <c r="G9" s="44"/>
      <c r="H9" s="44"/>
      <c r="I9" s="44"/>
      <c r="J9" s="44"/>
      <c r="K9" s="44"/>
      <c r="L9" s="44"/>
      <c r="M9" s="44"/>
      <c r="N9" s="50"/>
      <c r="O9" s="51"/>
      <c r="P9" s="44"/>
      <c r="Q9" s="44"/>
      <c r="R9" s="44"/>
      <c r="S9" s="44"/>
      <c r="T9" s="44"/>
      <c r="U9" s="207"/>
      <c r="V9" s="196"/>
      <c r="W9" s="192"/>
      <c r="X9" s="192"/>
    </row>
    <row r="10" spans="1:28" ht="15.75" customHeight="1" thickBot="1" x14ac:dyDescent="0.4">
      <c r="A10" s="52" t="s">
        <v>515</v>
      </c>
      <c r="B10" s="53"/>
      <c r="D10" s="45" t="s">
        <v>516</v>
      </c>
      <c r="E10" s="80">
        <f>IncentiveEst!C13</f>
        <v>0.15</v>
      </c>
      <c r="I10" s="45"/>
      <c r="J10" s="45" t="s">
        <v>517</v>
      </c>
      <c r="K10" s="81">
        <f>IncentiveEst!sqft</f>
        <v>280000</v>
      </c>
      <c r="L10" s="45"/>
      <c r="M10" s="45"/>
      <c r="O10" s="45"/>
      <c r="P10" s="53"/>
      <c r="Q10" s="45" t="s">
        <v>518</v>
      </c>
      <c r="R10" s="805">
        <f>IF(ISBLANK(K10),"",K10*E10)</f>
        <v>42000</v>
      </c>
      <c r="S10" s="805"/>
      <c r="T10" s="805"/>
      <c r="U10" s="208"/>
      <c r="V10" s="196"/>
      <c r="W10" s="192"/>
      <c r="X10" s="192"/>
    </row>
    <row r="11" spans="1:28" ht="6.75" customHeight="1" thickBot="1" x14ac:dyDescent="0.25">
      <c r="A11" s="203"/>
      <c r="B11" s="47"/>
      <c r="C11" s="47"/>
      <c r="D11" s="47"/>
      <c r="E11" s="54"/>
      <c r="F11" s="205"/>
      <c r="G11" s="205"/>
      <c r="H11" s="205"/>
      <c r="I11" s="205"/>
      <c r="J11" s="205"/>
      <c r="K11" s="205"/>
      <c r="L11" s="205"/>
      <c r="M11" s="205"/>
      <c r="N11" s="47"/>
      <c r="O11" s="205"/>
      <c r="P11" s="205"/>
      <c r="Q11" s="205"/>
      <c r="R11" s="205"/>
      <c r="S11" s="205"/>
      <c r="T11" s="205"/>
      <c r="U11" s="209"/>
      <c r="V11" s="196"/>
      <c r="W11" s="192"/>
      <c r="X11" s="192"/>
    </row>
    <row r="12" spans="1:28" ht="6.75" customHeight="1" thickBot="1" x14ac:dyDescent="0.25">
      <c r="A12" s="199"/>
      <c r="B12" s="199"/>
      <c r="C12" s="199"/>
      <c r="D12" s="199"/>
      <c r="E12" s="199"/>
      <c r="F12" s="199"/>
      <c r="G12" s="199"/>
      <c r="H12" s="199"/>
      <c r="I12" s="199"/>
      <c r="J12" s="199"/>
      <c r="K12" s="199"/>
      <c r="L12" s="199"/>
      <c r="M12" s="199"/>
      <c r="N12" s="199"/>
      <c r="O12" s="199"/>
      <c r="P12" s="199"/>
      <c r="Q12" s="199"/>
      <c r="R12" s="199"/>
      <c r="S12" s="199"/>
      <c r="T12" s="199"/>
      <c r="U12" s="199"/>
      <c r="V12" s="196"/>
      <c r="W12" s="192"/>
      <c r="X12" s="192"/>
    </row>
    <row r="13" spans="1:28" ht="13.5" thickBot="1" x14ac:dyDescent="0.25">
      <c r="A13" s="806" t="s">
        <v>519</v>
      </c>
      <c r="B13" s="807"/>
      <c r="C13" s="807"/>
      <c r="D13" s="808"/>
      <c r="E13" s="809"/>
      <c r="F13" s="810" t="s">
        <v>520</v>
      </c>
      <c r="G13" s="811"/>
      <c r="H13" s="812"/>
      <c r="I13" s="812"/>
      <c r="J13" s="812"/>
      <c r="K13" s="812"/>
      <c r="L13" s="812"/>
      <c r="M13" s="812"/>
      <c r="N13" s="812"/>
      <c r="O13" s="812"/>
      <c r="P13" s="813"/>
      <c r="Q13" s="810" t="s">
        <v>521</v>
      </c>
      <c r="R13" s="811"/>
      <c r="S13" s="813"/>
      <c r="T13" s="811" t="s">
        <v>522</v>
      </c>
      <c r="U13" s="813"/>
      <c r="V13" s="196"/>
      <c r="W13" s="192"/>
      <c r="X13" s="192"/>
    </row>
    <row r="14" spans="1:28" ht="13.5" thickBot="1" x14ac:dyDescent="0.25">
      <c r="A14" s="409"/>
      <c r="B14" s="410"/>
      <c r="C14" s="410"/>
      <c r="D14" s="410"/>
      <c r="E14" s="411"/>
      <c r="F14" s="55"/>
      <c r="G14" s="56"/>
      <c r="H14" s="814" t="s">
        <v>523</v>
      </c>
      <c r="I14" s="812"/>
      <c r="J14" s="812"/>
      <c r="K14" s="815"/>
      <c r="L14" s="814" t="s">
        <v>524</v>
      </c>
      <c r="M14" s="812"/>
      <c r="N14" s="812"/>
      <c r="O14" s="815"/>
      <c r="P14" s="57"/>
      <c r="Q14" s="55"/>
      <c r="R14" s="56"/>
      <c r="S14" s="56"/>
      <c r="T14" s="56"/>
      <c r="U14" s="57"/>
      <c r="V14" s="196"/>
      <c r="W14" s="210" t="s">
        <v>525</v>
      </c>
      <c r="X14" s="211"/>
      <c r="Y14" s="212"/>
      <c r="Z14" s="213"/>
      <c r="AA14" s="210" t="s">
        <v>526</v>
      </c>
      <c r="AB14" s="212"/>
    </row>
    <row r="15" spans="1:28" ht="30" customHeight="1" thickBot="1" x14ac:dyDescent="0.25">
      <c r="A15" s="58" t="s">
        <v>527</v>
      </c>
      <c r="B15" s="94" t="s">
        <v>380</v>
      </c>
      <c r="C15" s="94" t="s">
        <v>528</v>
      </c>
      <c r="D15" s="816" t="s">
        <v>529</v>
      </c>
      <c r="E15" s="817"/>
      <c r="F15" s="59" t="s">
        <v>530</v>
      </c>
      <c r="G15" s="60" t="s">
        <v>531</v>
      </c>
      <c r="H15" s="61" t="s">
        <v>532</v>
      </c>
      <c r="I15" s="62" t="s">
        <v>533</v>
      </c>
      <c r="J15" s="63" t="s">
        <v>534</v>
      </c>
      <c r="K15" s="64" t="s">
        <v>535</v>
      </c>
      <c r="L15" s="61" t="s">
        <v>536</v>
      </c>
      <c r="M15" s="62" t="s">
        <v>537</v>
      </c>
      <c r="N15" s="63" t="s">
        <v>538</v>
      </c>
      <c r="O15" s="64" t="s">
        <v>539</v>
      </c>
      <c r="P15" s="65" t="s">
        <v>540</v>
      </c>
      <c r="Q15" s="66" t="s">
        <v>541</v>
      </c>
      <c r="R15" s="67" t="s">
        <v>542</v>
      </c>
      <c r="S15" s="68" t="s">
        <v>543</v>
      </c>
      <c r="T15" s="66" t="s">
        <v>543</v>
      </c>
      <c r="U15" s="69" t="s">
        <v>1</v>
      </c>
      <c r="V15" s="196"/>
      <c r="W15" s="214" t="s">
        <v>508</v>
      </c>
      <c r="X15" s="214" t="s">
        <v>544</v>
      </c>
      <c r="Y15" s="214" t="s">
        <v>545</v>
      </c>
      <c r="Z15" s="214" t="s">
        <v>510</v>
      </c>
      <c r="AA15" s="214" t="s">
        <v>544</v>
      </c>
      <c r="AB15" s="214" t="s">
        <v>545</v>
      </c>
    </row>
    <row r="16" spans="1:28" ht="30" customHeight="1" x14ac:dyDescent="0.2">
      <c r="A16" s="366"/>
      <c r="B16" s="401"/>
      <c r="C16" s="402"/>
      <c r="D16" s="818"/>
      <c r="E16" s="819"/>
      <c r="F16" s="356" t="str">
        <f>IF(OR(P16=0,Q16=0,P16="",Q16=""),"",Q16/P16)</f>
        <v/>
      </c>
      <c r="G16" s="357"/>
      <c r="H16" s="358"/>
      <c r="I16" s="359"/>
      <c r="J16" s="360"/>
      <c r="K16" s="361">
        <f t="shared" ref="K16:K43" si="0">(I16+4*J16+H16)/6</f>
        <v>0</v>
      </c>
      <c r="L16" s="358"/>
      <c r="M16" s="359"/>
      <c r="N16" s="360"/>
      <c r="O16" s="361">
        <f t="shared" ref="O16:O43" si="1">(M16+4*N16+L16)/6</f>
        <v>0</v>
      </c>
      <c r="P16" s="362">
        <f t="shared" ref="P16:P43" si="2">K16*$P$5+O16*$P$6</f>
        <v>0</v>
      </c>
      <c r="Q16" s="363"/>
      <c r="R16" s="364"/>
      <c r="S16" s="365"/>
      <c r="T16" s="366"/>
      <c r="U16" s="367"/>
      <c r="V16" s="196"/>
      <c r="W16" s="353" t="str">
        <f t="shared" ref="W16:W43" si="3">IF(S16="","",IF(S16="y",K16))</f>
        <v/>
      </c>
      <c r="X16" s="353" t="str">
        <f t="shared" ref="X16:X43" si="4">IF(S16="","",IF(S16="y",(I16-H16)/6))</f>
        <v/>
      </c>
      <c r="Y16" s="355">
        <f>IF(X16="",,X16^2)</f>
        <v>0</v>
      </c>
      <c r="Z16" s="353" t="str">
        <f t="shared" ref="Z16:Z43" si="5">IF(S16="","",IF(S16="y",O16))</f>
        <v/>
      </c>
      <c r="AA16" s="353" t="str">
        <f t="shared" ref="AA16:AA43" si="6">IF(S16="","",IF(S16="y",(M16-L16)/6))</f>
        <v/>
      </c>
      <c r="AB16" s="355">
        <f>IF(AA16="",,AA16^2)</f>
        <v>0</v>
      </c>
    </row>
    <row r="17" spans="1:28" ht="30" customHeight="1" x14ac:dyDescent="0.2">
      <c r="A17" s="424"/>
      <c r="B17" s="403"/>
      <c r="C17" s="404"/>
      <c r="D17" s="777"/>
      <c r="E17" s="793"/>
      <c r="F17" s="368" t="str">
        <f>IF(OR(P17=0,Q17=0,P17="",Q17=""),"",Q17/P17)</f>
        <v/>
      </c>
      <c r="G17" s="369"/>
      <c r="H17" s="370"/>
      <c r="I17" s="371"/>
      <c r="J17" s="372"/>
      <c r="K17" s="373">
        <f t="shared" si="0"/>
        <v>0</v>
      </c>
      <c r="L17" s="370"/>
      <c r="M17" s="371"/>
      <c r="N17" s="372"/>
      <c r="O17" s="373">
        <f t="shared" si="1"/>
        <v>0</v>
      </c>
      <c r="P17" s="362">
        <f t="shared" si="2"/>
        <v>0</v>
      </c>
      <c r="Q17" s="374"/>
      <c r="R17" s="375"/>
      <c r="S17" s="376"/>
      <c r="T17" s="377"/>
      <c r="U17" s="378"/>
      <c r="V17" s="196"/>
      <c r="W17" s="353" t="str">
        <f t="shared" si="3"/>
        <v/>
      </c>
      <c r="X17" s="353" t="str">
        <f t="shared" si="4"/>
        <v/>
      </c>
      <c r="Y17" s="355">
        <f t="shared" ref="Y17:Y43" si="7">IF(X17="",,X17^2)</f>
        <v>0</v>
      </c>
      <c r="Z17" s="353" t="str">
        <f t="shared" si="5"/>
        <v/>
      </c>
      <c r="AA17" s="353" t="str">
        <f t="shared" si="6"/>
        <v/>
      </c>
      <c r="AB17" s="355">
        <f t="shared" ref="AB17:AB43" si="8">IF(AA17="",,AA17^2)</f>
        <v>0</v>
      </c>
    </row>
    <row r="18" spans="1:28" ht="30" customHeight="1" x14ac:dyDescent="0.2">
      <c r="A18" s="377"/>
      <c r="B18" s="403"/>
      <c r="C18" s="404"/>
      <c r="D18" s="777"/>
      <c r="E18" s="778"/>
      <c r="F18" s="368" t="str">
        <f t="shared" ref="F18:F42" si="9">IF(OR(P18=0,Q18=0,P18="",Q18=""),"",Q18/P18)</f>
        <v/>
      </c>
      <c r="G18" s="369"/>
      <c r="H18" s="370"/>
      <c r="I18" s="371"/>
      <c r="J18" s="372"/>
      <c r="K18" s="373">
        <f t="shared" si="0"/>
        <v>0</v>
      </c>
      <c r="L18" s="370"/>
      <c r="M18" s="371"/>
      <c r="N18" s="379"/>
      <c r="O18" s="373">
        <f t="shared" si="1"/>
        <v>0</v>
      </c>
      <c r="P18" s="362">
        <f t="shared" si="2"/>
        <v>0</v>
      </c>
      <c r="Q18" s="380"/>
      <c r="R18" s="375"/>
      <c r="S18" s="376"/>
      <c r="T18" s="377"/>
      <c r="U18" s="378"/>
      <c r="V18" s="191"/>
      <c r="W18" s="353" t="str">
        <f t="shared" si="3"/>
        <v/>
      </c>
      <c r="X18" s="353" t="str">
        <f t="shared" si="4"/>
        <v/>
      </c>
      <c r="Y18" s="355">
        <f t="shared" si="7"/>
        <v>0</v>
      </c>
      <c r="Z18" s="353" t="str">
        <f t="shared" si="5"/>
        <v/>
      </c>
      <c r="AA18" s="353" t="str">
        <f t="shared" si="6"/>
        <v/>
      </c>
      <c r="AB18" s="355">
        <f t="shared" si="8"/>
        <v>0</v>
      </c>
    </row>
    <row r="19" spans="1:28" ht="30" customHeight="1" x14ac:dyDescent="0.2">
      <c r="A19" s="377"/>
      <c r="B19" s="403"/>
      <c r="C19" s="404"/>
      <c r="D19" s="777"/>
      <c r="E19" s="778"/>
      <c r="F19" s="368" t="str">
        <f t="shared" si="9"/>
        <v/>
      </c>
      <c r="G19" s="369"/>
      <c r="H19" s="370"/>
      <c r="I19" s="371"/>
      <c r="J19" s="372"/>
      <c r="K19" s="373">
        <f t="shared" si="0"/>
        <v>0</v>
      </c>
      <c r="L19" s="370"/>
      <c r="M19" s="371"/>
      <c r="N19" s="372"/>
      <c r="O19" s="373">
        <f t="shared" si="1"/>
        <v>0</v>
      </c>
      <c r="P19" s="362">
        <f t="shared" si="2"/>
        <v>0</v>
      </c>
      <c r="Q19" s="380"/>
      <c r="R19" s="375"/>
      <c r="S19" s="376"/>
      <c r="T19" s="377"/>
      <c r="U19" s="378"/>
      <c r="V19" s="191"/>
      <c r="W19" s="353" t="str">
        <f t="shared" si="3"/>
        <v/>
      </c>
      <c r="X19" s="353" t="str">
        <f t="shared" si="4"/>
        <v/>
      </c>
      <c r="Y19" s="355">
        <f t="shared" si="7"/>
        <v>0</v>
      </c>
      <c r="Z19" s="353" t="str">
        <f t="shared" si="5"/>
        <v/>
      </c>
      <c r="AA19" s="353" t="str">
        <f t="shared" si="6"/>
        <v/>
      </c>
      <c r="AB19" s="355">
        <f t="shared" si="8"/>
        <v>0</v>
      </c>
    </row>
    <row r="20" spans="1:28" ht="30" customHeight="1" x14ac:dyDescent="0.2">
      <c r="A20" s="377"/>
      <c r="B20" s="403"/>
      <c r="C20" s="404"/>
      <c r="D20" s="777"/>
      <c r="E20" s="778"/>
      <c r="F20" s="368" t="str">
        <f t="shared" si="9"/>
        <v/>
      </c>
      <c r="G20" s="369"/>
      <c r="H20" s="370"/>
      <c r="I20" s="371"/>
      <c r="J20" s="372"/>
      <c r="K20" s="373">
        <f t="shared" si="0"/>
        <v>0</v>
      </c>
      <c r="L20" s="370"/>
      <c r="M20" s="371"/>
      <c r="N20" s="372"/>
      <c r="O20" s="373">
        <f t="shared" si="1"/>
        <v>0</v>
      </c>
      <c r="P20" s="362">
        <f t="shared" si="2"/>
        <v>0</v>
      </c>
      <c r="Q20" s="380"/>
      <c r="R20" s="375"/>
      <c r="S20" s="376"/>
      <c r="T20" s="377"/>
      <c r="U20" s="378"/>
      <c r="V20" s="191"/>
      <c r="W20" s="353" t="str">
        <f t="shared" si="3"/>
        <v/>
      </c>
      <c r="X20" s="353" t="str">
        <f t="shared" si="4"/>
        <v/>
      </c>
      <c r="Y20" s="355">
        <f t="shared" si="7"/>
        <v>0</v>
      </c>
      <c r="Z20" s="353" t="str">
        <f t="shared" si="5"/>
        <v/>
      </c>
      <c r="AA20" s="353" t="str">
        <f t="shared" si="6"/>
        <v/>
      </c>
      <c r="AB20" s="355">
        <f t="shared" si="8"/>
        <v>0</v>
      </c>
    </row>
    <row r="21" spans="1:28" ht="30" customHeight="1" x14ac:dyDescent="0.2">
      <c r="A21" s="424"/>
      <c r="B21" s="402"/>
      <c r="C21" s="402"/>
      <c r="D21" s="786"/>
      <c r="E21" s="787"/>
      <c r="F21" s="368" t="str">
        <f t="shared" si="9"/>
        <v/>
      </c>
      <c r="G21" s="381"/>
      <c r="H21" s="370"/>
      <c r="I21" s="371"/>
      <c r="J21" s="372"/>
      <c r="K21" s="373">
        <f t="shared" si="0"/>
        <v>0</v>
      </c>
      <c r="L21" s="370"/>
      <c r="M21" s="371"/>
      <c r="N21" s="372"/>
      <c r="O21" s="373">
        <f t="shared" si="1"/>
        <v>0</v>
      </c>
      <c r="P21" s="362">
        <f t="shared" si="2"/>
        <v>0</v>
      </c>
      <c r="Q21" s="382"/>
      <c r="R21" s="383"/>
      <c r="S21" s="376"/>
      <c r="T21" s="377"/>
      <c r="U21" s="384"/>
      <c r="V21" s="191"/>
      <c r="W21" s="353" t="str">
        <f t="shared" si="3"/>
        <v/>
      </c>
      <c r="X21" s="353" t="str">
        <f t="shared" si="4"/>
        <v/>
      </c>
      <c r="Y21" s="355">
        <f t="shared" si="7"/>
        <v>0</v>
      </c>
      <c r="Z21" s="353" t="str">
        <f t="shared" si="5"/>
        <v/>
      </c>
      <c r="AA21" s="353" t="str">
        <f t="shared" si="6"/>
        <v/>
      </c>
      <c r="AB21" s="355">
        <f t="shared" si="8"/>
        <v>0</v>
      </c>
    </row>
    <row r="22" spans="1:28" ht="30" customHeight="1" x14ac:dyDescent="0.2">
      <c r="A22" s="424"/>
      <c r="B22" s="403"/>
      <c r="C22" s="404"/>
      <c r="D22" s="777"/>
      <c r="E22" s="778"/>
      <c r="F22" s="368" t="str">
        <f t="shared" si="9"/>
        <v/>
      </c>
      <c r="G22" s="369"/>
      <c r="H22" s="370"/>
      <c r="I22" s="371"/>
      <c r="J22" s="372"/>
      <c r="K22" s="373">
        <f t="shared" si="0"/>
        <v>0</v>
      </c>
      <c r="L22" s="370"/>
      <c r="M22" s="371"/>
      <c r="N22" s="372"/>
      <c r="O22" s="373">
        <f t="shared" si="1"/>
        <v>0</v>
      </c>
      <c r="P22" s="362">
        <f t="shared" si="2"/>
        <v>0</v>
      </c>
      <c r="Q22" s="374"/>
      <c r="R22" s="375"/>
      <c r="S22" s="376"/>
      <c r="T22" s="377"/>
      <c r="U22" s="378"/>
      <c r="W22" s="353" t="str">
        <f t="shared" si="3"/>
        <v/>
      </c>
      <c r="X22" s="353" t="str">
        <f t="shared" si="4"/>
        <v/>
      </c>
      <c r="Y22" s="355">
        <f t="shared" si="7"/>
        <v>0</v>
      </c>
      <c r="Z22" s="353" t="str">
        <f t="shared" si="5"/>
        <v/>
      </c>
      <c r="AA22" s="353" t="str">
        <f t="shared" si="6"/>
        <v/>
      </c>
      <c r="AB22" s="355">
        <f t="shared" si="8"/>
        <v>0</v>
      </c>
    </row>
    <row r="23" spans="1:28" ht="30" customHeight="1" x14ac:dyDescent="0.2">
      <c r="A23" s="424"/>
      <c r="B23" s="403"/>
      <c r="C23" s="404"/>
      <c r="D23" s="404"/>
      <c r="E23" s="405"/>
      <c r="F23" s="368" t="str">
        <f t="shared" si="9"/>
        <v/>
      </c>
      <c r="G23" s="369"/>
      <c r="H23" s="370"/>
      <c r="I23" s="371"/>
      <c r="J23" s="372"/>
      <c r="K23" s="373">
        <f t="shared" si="0"/>
        <v>0</v>
      </c>
      <c r="L23" s="370"/>
      <c r="M23" s="371"/>
      <c r="N23" s="372"/>
      <c r="O23" s="373">
        <f t="shared" si="1"/>
        <v>0</v>
      </c>
      <c r="P23" s="362">
        <f t="shared" si="2"/>
        <v>0</v>
      </c>
      <c r="Q23" s="374"/>
      <c r="R23" s="375"/>
      <c r="S23" s="376"/>
      <c r="T23" s="377"/>
      <c r="U23" s="378"/>
      <c r="W23" s="353" t="str">
        <f t="shared" si="3"/>
        <v/>
      </c>
      <c r="X23" s="353" t="str">
        <f t="shared" si="4"/>
        <v/>
      </c>
      <c r="Y23" s="355">
        <f t="shared" si="7"/>
        <v>0</v>
      </c>
      <c r="Z23" s="353" t="str">
        <f t="shared" si="5"/>
        <v/>
      </c>
      <c r="AA23" s="353" t="str">
        <f t="shared" si="6"/>
        <v/>
      </c>
      <c r="AB23" s="355">
        <f t="shared" si="8"/>
        <v>0</v>
      </c>
    </row>
    <row r="24" spans="1:28" ht="30" customHeight="1" x14ac:dyDescent="0.2">
      <c r="A24" s="424"/>
      <c r="B24" s="403"/>
      <c r="C24" s="404"/>
      <c r="D24" s="404"/>
      <c r="E24" s="405"/>
      <c r="F24" s="368" t="str">
        <f t="shared" si="9"/>
        <v/>
      </c>
      <c r="G24" s="369"/>
      <c r="H24" s="370"/>
      <c r="I24" s="371"/>
      <c r="J24" s="372"/>
      <c r="K24" s="373">
        <f t="shared" si="0"/>
        <v>0</v>
      </c>
      <c r="L24" s="370"/>
      <c r="M24" s="371"/>
      <c r="N24" s="372"/>
      <c r="O24" s="373">
        <f t="shared" si="1"/>
        <v>0</v>
      </c>
      <c r="P24" s="362">
        <f t="shared" si="2"/>
        <v>0</v>
      </c>
      <c r="Q24" s="374"/>
      <c r="R24" s="375"/>
      <c r="S24" s="376"/>
      <c r="T24" s="377"/>
      <c r="U24" s="378"/>
      <c r="W24" s="353" t="str">
        <f t="shared" si="3"/>
        <v/>
      </c>
      <c r="X24" s="353" t="str">
        <f t="shared" si="4"/>
        <v/>
      </c>
      <c r="Y24" s="355">
        <f t="shared" si="7"/>
        <v>0</v>
      </c>
      <c r="Z24" s="353" t="str">
        <f t="shared" si="5"/>
        <v/>
      </c>
      <c r="AA24" s="353" t="str">
        <f t="shared" si="6"/>
        <v/>
      </c>
      <c r="AB24" s="355">
        <f t="shared" si="8"/>
        <v>0</v>
      </c>
    </row>
    <row r="25" spans="1:28" ht="30" customHeight="1" x14ac:dyDescent="0.2">
      <c r="A25" s="424"/>
      <c r="B25" s="403"/>
      <c r="C25" s="404"/>
      <c r="D25" s="404"/>
      <c r="E25" s="405"/>
      <c r="F25" s="368" t="str">
        <f t="shared" si="9"/>
        <v/>
      </c>
      <c r="G25" s="369"/>
      <c r="H25" s="370"/>
      <c r="I25" s="371"/>
      <c r="J25" s="372"/>
      <c r="K25" s="373">
        <f t="shared" si="0"/>
        <v>0</v>
      </c>
      <c r="L25" s="370"/>
      <c r="M25" s="371"/>
      <c r="N25" s="372"/>
      <c r="O25" s="373">
        <f t="shared" si="1"/>
        <v>0</v>
      </c>
      <c r="P25" s="362">
        <f t="shared" si="2"/>
        <v>0</v>
      </c>
      <c r="Q25" s="374"/>
      <c r="R25" s="375"/>
      <c r="S25" s="376"/>
      <c r="T25" s="377"/>
      <c r="U25" s="378"/>
      <c r="W25" s="353" t="str">
        <f t="shared" si="3"/>
        <v/>
      </c>
      <c r="X25" s="353" t="str">
        <f t="shared" si="4"/>
        <v/>
      </c>
      <c r="Y25" s="355">
        <f t="shared" si="7"/>
        <v>0</v>
      </c>
      <c r="Z25" s="353" t="str">
        <f t="shared" si="5"/>
        <v/>
      </c>
      <c r="AA25" s="353" t="str">
        <f t="shared" si="6"/>
        <v/>
      </c>
      <c r="AB25" s="355">
        <f t="shared" si="8"/>
        <v>0</v>
      </c>
    </row>
    <row r="26" spans="1:28" ht="30" customHeight="1" x14ac:dyDescent="0.2">
      <c r="A26" s="424"/>
      <c r="B26" s="403"/>
      <c r="C26" s="404"/>
      <c r="D26" s="404"/>
      <c r="E26" s="405"/>
      <c r="F26" s="368" t="str">
        <f t="shared" si="9"/>
        <v/>
      </c>
      <c r="G26" s="369"/>
      <c r="H26" s="370"/>
      <c r="I26" s="371"/>
      <c r="J26" s="372"/>
      <c r="K26" s="373">
        <f t="shared" si="0"/>
        <v>0</v>
      </c>
      <c r="L26" s="370"/>
      <c r="M26" s="371"/>
      <c r="N26" s="372"/>
      <c r="O26" s="373">
        <f t="shared" si="1"/>
        <v>0</v>
      </c>
      <c r="P26" s="362">
        <f t="shared" si="2"/>
        <v>0</v>
      </c>
      <c r="Q26" s="374"/>
      <c r="R26" s="375"/>
      <c r="S26" s="376"/>
      <c r="T26" s="377"/>
      <c r="U26" s="378"/>
      <c r="W26" s="353" t="str">
        <f t="shared" si="3"/>
        <v/>
      </c>
      <c r="X26" s="353" t="str">
        <f t="shared" si="4"/>
        <v/>
      </c>
      <c r="Y26" s="355">
        <f t="shared" si="7"/>
        <v>0</v>
      </c>
      <c r="Z26" s="353" t="str">
        <f t="shared" si="5"/>
        <v/>
      </c>
      <c r="AA26" s="353" t="str">
        <f t="shared" si="6"/>
        <v/>
      </c>
      <c r="AB26" s="355">
        <f t="shared" si="8"/>
        <v>0</v>
      </c>
    </row>
    <row r="27" spans="1:28" ht="30" customHeight="1" x14ac:dyDescent="0.2">
      <c r="A27" s="424"/>
      <c r="B27" s="403"/>
      <c r="C27" s="404"/>
      <c r="D27" s="404"/>
      <c r="E27" s="405"/>
      <c r="F27" s="368" t="str">
        <f t="shared" si="9"/>
        <v/>
      </c>
      <c r="G27" s="369"/>
      <c r="H27" s="370"/>
      <c r="I27" s="371"/>
      <c r="J27" s="372"/>
      <c r="K27" s="373">
        <f t="shared" si="0"/>
        <v>0</v>
      </c>
      <c r="L27" s="370"/>
      <c r="M27" s="371"/>
      <c r="N27" s="372"/>
      <c r="O27" s="373">
        <f t="shared" si="1"/>
        <v>0</v>
      </c>
      <c r="P27" s="362">
        <f t="shared" si="2"/>
        <v>0</v>
      </c>
      <c r="Q27" s="374"/>
      <c r="R27" s="375"/>
      <c r="S27" s="376"/>
      <c r="T27" s="377"/>
      <c r="U27" s="378"/>
      <c r="W27" s="353" t="str">
        <f t="shared" si="3"/>
        <v/>
      </c>
      <c r="X27" s="353" t="str">
        <f t="shared" si="4"/>
        <v/>
      </c>
      <c r="Y27" s="355">
        <f t="shared" si="7"/>
        <v>0</v>
      </c>
      <c r="Z27" s="353" t="str">
        <f t="shared" si="5"/>
        <v/>
      </c>
      <c r="AA27" s="353" t="str">
        <f t="shared" si="6"/>
        <v/>
      </c>
      <c r="AB27" s="355">
        <f t="shared" si="8"/>
        <v>0</v>
      </c>
    </row>
    <row r="28" spans="1:28" ht="30" customHeight="1" x14ac:dyDescent="0.2">
      <c r="A28" s="424"/>
      <c r="B28" s="403"/>
      <c r="C28" s="404"/>
      <c r="D28" s="404"/>
      <c r="E28" s="405"/>
      <c r="F28" s="368" t="str">
        <f t="shared" si="9"/>
        <v/>
      </c>
      <c r="G28" s="369"/>
      <c r="H28" s="370"/>
      <c r="I28" s="371"/>
      <c r="J28" s="372"/>
      <c r="K28" s="373">
        <f t="shared" si="0"/>
        <v>0</v>
      </c>
      <c r="L28" s="370"/>
      <c r="M28" s="371"/>
      <c r="N28" s="372"/>
      <c r="O28" s="373">
        <f t="shared" si="1"/>
        <v>0</v>
      </c>
      <c r="P28" s="362">
        <f t="shared" si="2"/>
        <v>0</v>
      </c>
      <c r="Q28" s="374"/>
      <c r="R28" s="375"/>
      <c r="S28" s="376"/>
      <c r="T28" s="377"/>
      <c r="U28" s="378"/>
      <c r="W28" s="353" t="str">
        <f t="shared" si="3"/>
        <v/>
      </c>
      <c r="X28" s="353" t="str">
        <f t="shared" si="4"/>
        <v/>
      </c>
      <c r="Y28" s="355">
        <f t="shared" si="7"/>
        <v>0</v>
      </c>
      <c r="Z28" s="353" t="str">
        <f t="shared" si="5"/>
        <v/>
      </c>
      <c r="AA28" s="353" t="str">
        <f t="shared" si="6"/>
        <v/>
      </c>
      <c r="AB28" s="355">
        <f t="shared" si="8"/>
        <v>0</v>
      </c>
    </row>
    <row r="29" spans="1:28" ht="30" customHeight="1" x14ac:dyDescent="0.2">
      <c r="A29" s="424"/>
      <c r="B29" s="403"/>
      <c r="C29" s="404"/>
      <c r="D29" s="404"/>
      <c r="E29" s="405"/>
      <c r="F29" s="368" t="str">
        <f t="shared" si="9"/>
        <v/>
      </c>
      <c r="G29" s="369"/>
      <c r="H29" s="370"/>
      <c r="I29" s="371"/>
      <c r="J29" s="372"/>
      <c r="K29" s="373">
        <f t="shared" si="0"/>
        <v>0</v>
      </c>
      <c r="L29" s="370"/>
      <c r="M29" s="371"/>
      <c r="N29" s="372"/>
      <c r="O29" s="373">
        <f t="shared" si="1"/>
        <v>0</v>
      </c>
      <c r="P29" s="362">
        <f t="shared" si="2"/>
        <v>0</v>
      </c>
      <c r="Q29" s="374"/>
      <c r="R29" s="375"/>
      <c r="S29" s="376"/>
      <c r="T29" s="377"/>
      <c r="U29" s="378"/>
      <c r="W29" s="353" t="str">
        <f t="shared" si="3"/>
        <v/>
      </c>
      <c r="X29" s="353" t="str">
        <f t="shared" si="4"/>
        <v/>
      </c>
      <c r="Y29" s="355">
        <f t="shared" si="7"/>
        <v>0</v>
      </c>
      <c r="Z29" s="353" t="str">
        <f t="shared" si="5"/>
        <v/>
      </c>
      <c r="AA29" s="353" t="str">
        <f t="shared" si="6"/>
        <v/>
      </c>
      <c r="AB29" s="355">
        <f t="shared" si="8"/>
        <v>0</v>
      </c>
    </row>
    <row r="30" spans="1:28" ht="30" customHeight="1" x14ac:dyDescent="0.2">
      <c r="A30" s="424"/>
      <c r="B30" s="403"/>
      <c r="C30" s="404"/>
      <c r="D30" s="404"/>
      <c r="E30" s="405"/>
      <c r="F30" s="368" t="str">
        <f t="shared" si="9"/>
        <v/>
      </c>
      <c r="G30" s="369"/>
      <c r="H30" s="370"/>
      <c r="I30" s="371"/>
      <c r="J30" s="372"/>
      <c r="K30" s="373">
        <f t="shared" si="0"/>
        <v>0</v>
      </c>
      <c r="L30" s="370"/>
      <c r="M30" s="371"/>
      <c r="N30" s="372"/>
      <c r="O30" s="373">
        <f t="shared" si="1"/>
        <v>0</v>
      </c>
      <c r="P30" s="362">
        <f t="shared" si="2"/>
        <v>0</v>
      </c>
      <c r="Q30" s="374"/>
      <c r="R30" s="375"/>
      <c r="S30" s="376"/>
      <c r="T30" s="377"/>
      <c r="U30" s="378"/>
      <c r="W30" s="353" t="str">
        <f t="shared" si="3"/>
        <v/>
      </c>
      <c r="X30" s="353" t="str">
        <f t="shared" si="4"/>
        <v/>
      </c>
      <c r="Y30" s="355">
        <f t="shared" si="7"/>
        <v>0</v>
      </c>
      <c r="Z30" s="353" t="str">
        <f t="shared" si="5"/>
        <v/>
      </c>
      <c r="AA30" s="353" t="str">
        <f t="shared" si="6"/>
        <v/>
      </c>
      <c r="AB30" s="355">
        <f t="shared" si="8"/>
        <v>0</v>
      </c>
    </row>
    <row r="31" spans="1:28" ht="30" customHeight="1" x14ac:dyDescent="0.2">
      <c r="A31" s="424"/>
      <c r="B31" s="403"/>
      <c r="C31" s="404"/>
      <c r="D31" s="404"/>
      <c r="E31" s="405"/>
      <c r="F31" s="368" t="str">
        <f t="shared" si="9"/>
        <v/>
      </c>
      <c r="G31" s="369"/>
      <c r="H31" s="370"/>
      <c r="I31" s="371"/>
      <c r="J31" s="372"/>
      <c r="K31" s="373">
        <f t="shared" si="0"/>
        <v>0</v>
      </c>
      <c r="L31" s="370"/>
      <c r="M31" s="371"/>
      <c r="N31" s="372"/>
      <c r="O31" s="373">
        <f t="shared" si="1"/>
        <v>0</v>
      </c>
      <c r="P31" s="362">
        <f t="shared" si="2"/>
        <v>0</v>
      </c>
      <c r="Q31" s="374"/>
      <c r="R31" s="375"/>
      <c r="S31" s="376"/>
      <c r="T31" s="377"/>
      <c r="U31" s="378"/>
      <c r="W31" s="353" t="str">
        <f t="shared" si="3"/>
        <v/>
      </c>
      <c r="X31" s="353" t="str">
        <f t="shared" si="4"/>
        <v/>
      </c>
      <c r="Y31" s="355">
        <f t="shared" si="7"/>
        <v>0</v>
      </c>
      <c r="Z31" s="353" t="str">
        <f t="shared" si="5"/>
        <v/>
      </c>
      <c r="AA31" s="353" t="str">
        <f t="shared" si="6"/>
        <v/>
      </c>
      <c r="AB31" s="355">
        <f t="shared" si="8"/>
        <v>0</v>
      </c>
    </row>
    <row r="32" spans="1:28" ht="30" customHeight="1" x14ac:dyDescent="0.2">
      <c r="A32" s="377"/>
      <c r="B32" s="403"/>
      <c r="C32" s="404"/>
      <c r="D32" s="777"/>
      <c r="E32" s="778"/>
      <c r="F32" s="368" t="str">
        <f t="shared" si="9"/>
        <v/>
      </c>
      <c r="G32" s="369"/>
      <c r="H32" s="370"/>
      <c r="I32" s="371"/>
      <c r="J32" s="372"/>
      <c r="K32" s="373">
        <f t="shared" si="0"/>
        <v>0</v>
      </c>
      <c r="L32" s="370"/>
      <c r="M32" s="371"/>
      <c r="N32" s="372"/>
      <c r="O32" s="373">
        <f t="shared" si="1"/>
        <v>0</v>
      </c>
      <c r="P32" s="362">
        <f t="shared" si="2"/>
        <v>0</v>
      </c>
      <c r="Q32" s="380"/>
      <c r="R32" s="375"/>
      <c r="S32" s="376"/>
      <c r="T32" s="377"/>
      <c r="U32" s="378"/>
      <c r="W32" s="353" t="str">
        <f t="shared" si="3"/>
        <v/>
      </c>
      <c r="X32" s="353" t="str">
        <f t="shared" si="4"/>
        <v/>
      </c>
      <c r="Y32" s="355">
        <f t="shared" si="7"/>
        <v>0</v>
      </c>
      <c r="Z32" s="353" t="str">
        <f t="shared" si="5"/>
        <v/>
      </c>
      <c r="AA32" s="353" t="str">
        <f t="shared" si="6"/>
        <v/>
      </c>
      <c r="AB32" s="355">
        <f t="shared" si="8"/>
        <v>0</v>
      </c>
    </row>
    <row r="33" spans="1:28" ht="30" customHeight="1" x14ac:dyDescent="0.2">
      <c r="A33" s="377"/>
      <c r="B33" s="403"/>
      <c r="C33" s="404"/>
      <c r="D33" s="777"/>
      <c r="E33" s="778"/>
      <c r="F33" s="368" t="str">
        <f t="shared" si="9"/>
        <v/>
      </c>
      <c r="G33" s="369"/>
      <c r="H33" s="370"/>
      <c r="I33" s="371"/>
      <c r="J33" s="372"/>
      <c r="K33" s="373">
        <f t="shared" si="0"/>
        <v>0</v>
      </c>
      <c r="L33" s="370"/>
      <c r="M33" s="371"/>
      <c r="N33" s="372"/>
      <c r="O33" s="373">
        <f t="shared" si="1"/>
        <v>0</v>
      </c>
      <c r="P33" s="362">
        <f t="shared" si="2"/>
        <v>0</v>
      </c>
      <c r="Q33" s="380"/>
      <c r="R33" s="375"/>
      <c r="S33" s="376"/>
      <c r="T33" s="377"/>
      <c r="U33" s="378"/>
      <c r="W33" s="353" t="str">
        <f t="shared" si="3"/>
        <v/>
      </c>
      <c r="X33" s="353" t="str">
        <f t="shared" si="4"/>
        <v/>
      </c>
      <c r="Y33" s="355">
        <f t="shared" si="7"/>
        <v>0</v>
      </c>
      <c r="Z33" s="353" t="str">
        <f t="shared" si="5"/>
        <v/>
      </c>
      <c r="AA33" s="353" t="str">
        <f t="shared" si="6"/>
        <v/>
      </c>
      <c r="AB33" s="355">
        <f t="shared" si="8"/>
        <v>0</v>
      </c>
    </row>
    <row r="34" spans="1:28" ht="30" customHeight="1" x14ac:dyDescent="0.2">
      <c r="A34" s="377"/>
      <c r="B34" s="403"/>
      <c r="C34" s="404"/>
      <c r="D34" s="777"/>
      <c r="E34" s="778"/>
      <c r="F34" s="368" t="str">
        <f t="shared" si="9"/>
        <v/>
      </c>
      <c r="G34" s="369"/>
      <c r="H34" s="370"/>
      <c r="I34" s="371"/>
      <c r="J34" s="372"/>
      <c r="K34" s="373">
        <f t="shared" si="0"/>
        <v>0</v>
      </c>
      <c r="L34" s="370"/>
      <c r="M34" s="371"/>
      <c r="N34" s="372"/>
      <c r="O34" s="373">
        <f t="shared" si="1"/>
        <v>0</v>
      </c>
      <c r="P34" s="362">
        <f t="shared" si="2"/>
        <v>0</v>
      </c>
      <c r="Q34" s="380"/>
      <c r="R34" s="375"/>
      <c r="S34" s="376"/>
      <c r="T34" s="377"/>
      <c r="U34" s="378"/>
      <c r="W34" s="353" t="str">
        <f t="shared" si="3"/>
        <v/>
      </c>
      <c r="X34" s="353" t="str">
        <f t="shared" si="4"/>
        <v/>
      </c>
      <c r="Y34" s="355">
        <f t="shared" si="7"/>
        <v>0</v>
      </c>
      <c r="Z34" s="353" t="str">
        <f t="shared" si="5"/>
        <v/>
      </c>
      <c r="AA34" s="353" t="str">
        <f t="shared" si="6"/>
        <v/>
      </c>
      <c r="AB34" s="355">
        <f t="shared" si="8"/>
        <v>0</v>
      </c>
    </row>
    <row r="35" spans="1:28" ht="30" customHeight="1" x14ac:dyDescent="0.2">
      <c r="A35" s="424"/>
      <c r="B35" s="402"/>
      <c r="C35" s="402"/>
      <c r="D35" s="786"/>
      <c r="E35" s="787"/>
      <c r="F35" s="368" t="str">
        <f t="shared" si="9"/>
        <v/>
      </c>
      <c r="G35" s="381"/>
      <c r="H35" s="370"/>
      <c r="I35" s="371"/>
      <c r="J35" s="372"/>
      <c r="K35" s="373">
        <f t="shared" si="0"/>
        <v>0</v>
      </c>
      <c r="L35" s="370"/>
      <c r="M35" s="371"/>
      <c r="N35" s="372"/>
      <c r="O35" s="373">
        <f t="shared" si="1"/>
        <v>0</v>
      </c>
      <c r="P35" s="362">
        <f t="shared" si="2"/>
        <v>0</v>
      </c>
      <c r="Q35" s="382"/>
      <c r="R35" s="383"/>
      <c r="S35" s="376"/>
      <c r="T35" s="377"/>
      <c r="U35" s="384"/>
      <c r="W35" s="353" t="str">
        <f t="shared" si="3"/>
        <v/>
      </c>
      <c r="X35" s="353" t="str">
        <f t="shared" si="4"/>
        <v/>
      </c>
      <c r="Y35" s="355">
        <f t="shared" si="7"/>
        <v>0</v>
      </c>
      <c r="Z35" s="353" t="str">
        <f t="shared" si="5"/>
        <v/>
      </c>
      <c r="AA35" s="353" t="str">
        <f t="shared" si="6"/>
        <v/>
      </c>
      <c r="AB35" s="355">
        <f t="shared" si="8"/>
        <v>0</v>
      </c>
    </row>
    <row r="36" spans="1:28" ht="30" customHeight="1" x14ac:dyDescent="0.2">
      <c r="A36" s="424"/>
      <c r="B36" s="403"/>
      <c r="C36" s="404"/>
      <c r="D36" s="777"/>
      <c r="E36" s="778"/>
      <c r="F36" s="368" t="str">
        <f t="shared" si="9"/>
        <v/>
      </c>
      <c r="G36" s="369"/>
      <c r="H36" s="370"/>
      <c r="I36" s="371"/>
      <c r="J36" s="372"/>
      <c r="K36" s="373">
        <f t="shared" si="0"/>
        <v>0</v>
      </c>
      <c r="L36" s="370"/>
      <c r="M36" s="371"/>
      <c r="N36" s="372"/>
      <c r="O36" s="373">
        <f t="shared" si="1"/>
        <v>0</v>
      </c>
      <c r="P36" s="362">
        <f t="shared" si="2"/>
        <v>0</v>
      </c>
      <c r="Q36" s="374"/>
      <c r="R36" s="375"/>
      <c r="S36" s="376"/>
      <c r="T36" s="377"/>
      <c r="U36" s="378"/>
      <c r="W36" s="353" t="str">
        <f t="shared" si="3"/>
        <v/>
      </c>
      <c r="X36" s="353" t="str">
        <f t="shared" si="4"/>
        <v/>
      </c>
      <c r="Y36" s="355">
        <f t="shared" si="7"/>
        <v>0</v>
      </c>
      <c r="Z36" s="353" t="str">
        <f t="shared" si="5"/>
        <v/>
      </c>
      <c r="AA36" s="353" t="str">
        <f t="shared" si="6"/>
        <v/>
      </c>
      <c r="AB36" s="355">
        <f t="shared" si="8"/>
        <v>0</v>
      </c>
    </row>
    <row r="37" spans="1:28" ht="30" customHeight="1" x14ac:dyDescent="0.2">
      <c r="A37" s="377"/>
      <c r="B37" s="403"/>
      <c r="C37" s="404"/>
      <c r="D37" s="777"/>
      <c r="E37" s="778"/>
      <c r="F37" s="368" t="str">
        <f t="shared" si="9"/>
        <v/>
      </c>
      <c r="G37" s="369"/>
      <c r="H37" s="370"/>
      <c r="I37" s="371"/>
      <c r="J37" s="372"/>
      <c r="K37" s="373">
        <f t="shared" si="0"/>
        <v>0</v>
      </c>
      <c r="L37" s="370"/>
      <c r="M37" s="371"/>
      <c r="N37" s="372"/>
      <c r="O37" s="373">
        <f t="shared" si="1"/>
        <v>0</v>
      </c>
      <c r="P37" s="362">
        <f t="shared" si="2"/>
        <v>0</v>
      </c>
      <c r="Q37" s="380"/>
      <c r="R37" s="375"/>
      <c r="S37" s="376"/>
      <c r="T37" s="377"/>
      <c r="U37" s="378"/>
      <c r="W37" s="353" t="str">
        <f t="shared" si="3"/>
        <v/>
      </c>
      <c r="X37" s="353" t="str">
        <f t="shared" si="4"/>
        <v/>
      </c>
      <c r="Y37" s="355">
        <f t="shared" si="7"/>
        <v>0</v>
      </c>
      <c r="Z37" s="353" t="str">
        <f t="shared" si="5"/>
        <v/>
      </c>
      <c r="AA37" s="353" t="str">
        <f t="shared" si="6"/>
        <v/>
      </c>
      <c r="AB37" s="355">
        <f t="shared" si="8"/>
        <v>0</v>
      </c>
    </row>
    <row r="38" spans="1:28" ht="30" customHeight="1" x14ac:dyDescent="0.2">
      <c r="A38" s="377"/>
      <c r="B38" s="403"/>
      <c r="C38" s="404"/>
      <c r="D38" s="777"/>
      <c r="E38" s="778"/>
      <c r="F38" s="368" t="str">
        <f t="shared" si="9"/>
        <v/>
      </c>
      <c r="G38" s="369"/>
      <c r="H38" s="370"/>
      <c r="I38" s="371"/>
      <c r="J38" s="372"/>
      <c r="K38" s="373">
        <f t="shared" si="0"/>
        <v>0</v>
      </c>
      <c r="L38" s="370"/>
      <c r="M38" s="371"/>
      <c r="N38" s="372"/>
      <c r="O38" s="373">
        <f t="shared" si="1"/>
        <v>0</v>
      </c>
      <c r="P38" s="362">
        <f t="shared" si="2"/>
        <v>0</v>
      </c>
      <c r="Q38" s="380"/>
      <c r="R38" s="375"/>
      <c r="S38" s="376"/>
      <c r="T38" s="377"/>
      <c r="U38" s="378"/>
      <c r="W38" s="353" t="str">
        <f t="shared" si="3"/>
        <v/>
      </c>
      <c r="X38" s="353" t="str">
        <f t="shared" si="4"/>
        <v/>
      </c>
      <c r="Y38" s="355">
        <f t="shared" si="7"/>
        <v>0</v>
      </c>
      <c r="Z38" s="353" t="str">
        <f t="shared" si="5"/>
        <v/>
      </c>
      <c r="AA38" s="353" t="str">
        <f t="shared" si="6"/>
        <v/>
      </c>
      <c r="AB38" s="355">
        <f t="shared" si="8"/>
        <v>0</v>
      </c>
    </row>
    <row r="39" spans="1:28" ht="30" customHeight="1" x14ac:dyDescent="0.2">
      <c r="A39" s="377"/>
      <c r="B39" s="403"/>
      <c r="C39" s="404"/>
      <c r="D39" s="777"/>
      <c r="E39" s="778"/>
      <c r="F39" s="368" t="str">
        <f t="shared" si="9"/>
        <v/>
      </c>
      <c r="G39" s="369"/>
      <c r="H39" s="370"/>
      <c r="I39" s="371"/>
      <c r="J39" s="372"/>
      <c r="K39" s="373">
        <f t="shared" si="0"/>
        <v>0</v>
      </c>
      <c r="L39" s="370"/>
      <c r="M39" s="371"/>
      <c r="N39" s="372"/>
      <c r="O39" s="373">
        <f t="shared" si="1"/>
        <v>0</v>
      </c>
      <c r="P39" s="362">
        <f t="shared" si="2"/>
        <v>0</v>
      </c>
      <c r="Q39" s="380"/>
      <c r="R39" s="375"/>
      <c r="S39" s="376"/>
      <c r="T39" s="377"/>
      <c r="U39" s="378"/>
      <c r="W39" s="353" t="str">
        <f t="shared" si="3"/>
        <v/>
      </c>
      <c r="X39" s="353" t="str">
        <f t="shared" si="4"/>
        <v/>
      </c>
      <c r="Y39" s="355">
        <f t="shared" si="7"/>
        <v>0</v>
      </c>
      <c r="Z39" s="353" t="str">
        <f t="shared" si="5"/>
        <v/>
      </c>
      <c r="AA39" s="353" t="str">
        <f t="shared" si="6"/>
        <v/>
      </c>
      <c r="AB39" s="355">
        <f t="shared" si="8"/>
        <v>0</v>
      </c>
    </row>
    <row r="40" spans="1:28" ht="30" customHeight="1" x14ac:dyDescent="0.2">
      <c r="A40" s="424"/>
      <c r="B40" s="402"/>
      <c r="C40" s="402"/>
      <c r="D40" s="786"/>
      <c r="E40" s="787"/>
      <c r="F40" s="368" t="str">
        <f t="shared" si="9"/>
        <v/>
      </c>
      <c r="G40" s="381"/>
      <c r="H40" s="370"/>
      <c r="I40" s="371"/>
      <c r="J40" s="372"/>
      <c r="K40" s="373">
        <f t="shared" si="0"/>
        <v>0</v>
      </c>
      <c r="L40" s="370"/>
      <c r="M40" s="371"/>
      <c r="N40" s="372"/>
      <c r="O40" s="373">
        <f t="shared" si="1"/>
        <v>0</v>
      </c>
      <c r="P40" s="362">
        <f t="shared" si="2"/>
        <v>0</v>
      </c>
      <c r="Q40" s="382"/>
      <c r="R40" s="383"/>
      <c r="S40" s="376"/>
      <c r="T40" s="377"/>
      <c r="U40" s="384"/>
      <c r="W40" s="353" t="str">
        <f t="shared" si="3"/>
        <v/>
      </c>
      <c r="X40" s="353" t="str">
        <f t="shared" si="4"/>
        <v/>
      </c>
      <c r="Y40" s="355">
        <f t="shared" si="7"/>
        <v>0</v>
      </c>
      <c r="Z40" s="353" t="str">
        <f t="shared" si="5"/>
        <v/>
      </c>
      <c r="AA40" s="353" t="str">
        <f t="shared" si="6"/>
        <v/>
      </c>
      <c r="AB40" s="355">
        <f t="shared" si="8"/>
        <v>0</v>
      </c>
    </row>
    <row r="41" spans="1:28" ht="30" customHeight="1" x14ac:dyDescent="0.2">
      <c r="A41" s="424"/>
      <c r="B41" s="403"/>
      <c r="C41" s="404"/>
      <c r="D41" s="777"/>
      <c r="E41" s="778"/>
      <c r="F41" s="368" t="str">
        <f t="shared" si="9"/>
        <v/>
      </c>
      <c r="G41" s="369"/>
      <c r="H41" s="370"/>
      <c r="I41" s="371"/>
      <c r="J41" s="372"/>
      <c r="K41" s="373">
        <f t="shared" si="0"/>
        <v>0</v>
      </c>
      <c r="L41" s="370"/>
      <c r="M41" s="371"/>
      <c r="N41" s="372"/>
      <c r="O41" s="373">
        <f t="shared" si="1"/>
        <v>0</v>
      </c>
      <c r="P41" s="362">
        <f t="shared" si="2"/>
        <v>0</v>
      </c>
      <c r="Q41" s="374"/>
      <c r="R41" s="375"/>
      <c r="S41" s="376"/>
      <c r="T41" s="377"/>
      <c r="U41" s="378"/>
      <c r="W41" s="353" t="str">
        <f t="shared" si="3"/>
        <v/>
      </c>
      <c r="X41" s="353" t="str">
        <f t="shared" si="4"/>
        <v/>
      </c>
      <c r="Y41" s="355">
        <f t="shared" si="7"/>
        <v>0</v>
      </c>
      <c r="Z41" s="353" t="str">
        <f t="shared" si="5"/>
        <v/>
      </c>
      <c r="AA41" s="353" t="str">
        <f t="shared" si="6"/>
        <v/>
      </c>
      <c r="AB41" s="355">
        <f t="shared" si="8"/>
        <v>0</v>
      </c>
    </row>
    <row r="42" spans="1:28" ht="30" customHeight="1" x14ac:dyDescent="0.2">
      <c r="A42" s="377"/>
      <c r="B42" s="403"/>
      <c r="C42" s="404"/>
      <c r="D42" s="777"/>
      <c r="E42" s="778"/>
      <c r="F42" s="368" t="str">
        <f t="shared" si="9"/>
        <v/>
      </c>
      <c r="G42" s="369"/>
      <c r="H42" s="370"/>
      <c r="I42" s="371"/>
      <c r="J42" s="372"/>
      <c r="K42" s="373">
        <f t="shared" si="0"/>
        <v>0</v>
      </c>
      <c r="L42" s="370"/>
      <c r="M42" s="371"/>
      <c r="N42" s="372"/>
      <c r="O42" s="373">
        <f t="shared" si="1"/>
        <v>0</v>
      </c>
      <c r="P42" s="362">
        <f t="shared" si="2"/>
        <v>0</v>
      </c>
      <c r="Q42" s="380"/>
      <c r="R42" s="375"/>
      <c r="S42" s="376"/>
      <c r="T42" s="377"/>
      <c r="U42" s="378"/>
      <c r="W42" s="353" t="str">
        <f t="shared" si="3"/>
        <v/>
      </c>
      <c r="X42" s="353" t="str">
        <f t="shared" si="4"/>
        <v/>
      </c>
      <c r="Y42" s="355">
        <f t="shared" si="7"/>
        <v>0</v>
      </c>
      <c r="Z42" s="353" t="str">
        <f t="shared" si="5"/>
        <v/>
      </c>
      <c r="AA42" s="353" t="str">
        <f t="shared" si="6"/>
        <v/>
      </c>
      <c r="AB42" s="355">
        <f t="shared" si="8"/>
        <v>0</v>
      </c>
    </row>
    <row r="43" spans="1:28" ht="30" customHeight="1" thickBot="1" x14ac:dyDescent="0.25">
      <c r="A43" s="425"/>
      <c r="B43" s="406"/>
      <c r="C43" s="407"/>
      <c r="D43" s="788"/>
      <c r="E43" s="789"/>
      <c r="F43" s="385"/>
      <c r="G43" s="386"/>
      <c r="H43" s="387"/>
      <c r="I43" s="388"/>
      <c r="J43" s="389"/>
      <c r="K43" s="390">
        <f t="shared" si="0"/>
        <v>0</v>
      </c>
      <c r="L43" s="387"/>
      <c r="M43" s="388"/>
      <c r="N43" s="389"/>
      <c r="O43" s="390">
        <f t="shared" si="1"/>
        <v>0</v>
      </c>
      <c r="P43" s="362">
        <f t="shared" si="2"/>
        <v>0</v>
      </c>
      <c r="Q43" s="391"/>
      <c r="R43" s="392"/>
      <c r="S43" s="393"/>
      <c r="T43" s="394"/>
      <c r="U43" s="395"/>
      <c r="W43" s="353" t="str">
        <f t="shared" si="3"/>
        <v/>
      </c>
      <c r="X43" s="353" t="str">
        <f t="shared" si="4"/>
        <v/>
      </c>
      <c r="Y43" s="355">
        <f t="shared" si="7"/>
        <v>0</v>
      </c>
      <c r="Z43" s="353" t="str">
        <f t="shared" si="5"/>
        <v/>
      </c>
      <c r="AA43" s="353" t="str">
        <f t="shared" si="6"/>
        <v/>
      </c>
      <c r="AB43" s="355">
        <f t="shared" si="8"/>
        <v>0</v>
      </c>
    </row>
    <row r="44" spans="1:28" s="72" customFormat="1" ht="16.5" thickBot="1" x14ac:dyDescent="0.3">
      <c r="A44" s="790" t="s">
        <v>546</v>
      </c>
      <c r="B44" s="791"/>
      <c r="C44" s="791"/>
      <c r="D44" s="791"/>
      <c r="E44" s="792"/>
      <c r="F44" s="396">
        <f>IF(P44=0,0,Q44/P44)</f>
        <v>0</v>
      </c>
      <c r="G44" s="397"/>
      <c r="H44" s="398"/>
      <c r="I44" s="398"/>
      <c r="J44" s="398"/>
      <c r="K44" s="398"/>
      <c r="L44" s="398"/>
      <c r="M44" s="398"/>
      <c r="N44" s="70">
        <f>SUM(N16:N43)</f>
        <v>0</v>
      </c>
      <c r="O44" s="71">
        <f>SUM(O16:O43)</f>
        <v>0</v>
      </c>
      <c r="P44" s="399">
        <f>SUM(P16:P43)</f>
        <v>0</v>
      </c>
      <c r="Q44" s="400">
        <f>SUM(Q16:Q43)</f>
        <v>0</v>
      </c>
      <c r="R44" s="780"/>
      <c r="S44" s="781"/>
      <c r="T44" s="781"/>
      <c r="U44" s="782"/>
      <c r="W44" s="354">
        <f>SUM(W16:W43)</f>
        <v>0</v>
      </c>
      <c r="X44" s="354"/>
      <c r="Y44" s="355">
        <f>SUM(Y16:Y43)</f>
        <v>0</v>
      </c>
      <c r="Z44" s="354">
        <f>SUM(Z16:Z43)</f>
        <v>0</v>
      </c>
      <c r="AA44" s="354"/>
      <c r="AB44" s="355">
        <f>SUM(AB16:AB43)</f>
        <v>0</v>
      </c>
    </row>
    <row r="47" spans="1:28" hidden="1" x14ac:dyDescent="0.2">
      <c r="A47" s="35" t="s">
        <v>547</v>
      </c>
    </row>
    <row r="48" spans="1:28" hidden="1" x14ac:dyDescent="0.2"/>
    <row r="49" spans="2:5" ht="13.5" hidden="1" thickBot="1" x14ac:dyDescent="0.25">
      <c r="B49" s="783" t="s">
        <v>548</v>
      </c>
      <c r="C49" s="784"/>
      <c r="D49" s="784"/>
      <c r="E49" s="785"/>
    </row>
    <row r="50" spans="2:5" hidden="1" x14ac:dyDescent="0.2">
      <c r="B50" s="73" t="s">
        <v>549</v>
      </c>
      <c r="C50" s="74" t="s">
        <v>550</v>
      </c>
      <c r="D50" s="75"/>
      <c r="E50" s="76" t="s">
        <v>551</v>
      </c>
    </row>
    <row r="51" spans="2:5" ht="18" hidden="1" x14ac:dyDescent="0.25">
      <c r="B51" s="77" t="s">
        <v>503</v>
      </c>
      <c r="C51" s="215">
        <v>0.15</v>
      </c>
      <c r="D51" s="216"/>
      <c r="E51" s="202" t="s">
        <v>552</v>
      </c>
    </row>
    <row r="52" spans="2:5" ht="18" hidden="1" x14ac:dyDescent="0.25">
      <c r="B52" s="77" t="s">
        <v>553</v>
      </c>
      <c r="C52" s="217">
        <v>0.1</v>
      </c>
      <c r="D52" s="216"/>
      <c r="E52" s="202" t="s">
        <v>554</v>
      </c>
    </row>
    <row r="53" spans="2:5" ht="13.5" hidden="1" thickBot="1" x14ac:dyDescent="0.25">
      <c r="B53" s="218"/>
      <c r="C53" s="219">
        <v>0.1</v>
      </c>
      <c r="D53" s="220"/>
      <c r="E53" s="221" t="s">
        <v>555</v>
      </c>
    </row>
    <row r="54" spans="2:5" hidden="1" x14ac:dyDescent="0.2">
      <c r="B54" s="73" t="s">
        <v>556</v>
      </c>
    </row>
    <row r="55" spans="2:5" hidden="1" x14ac:dyDescent="0.2">
      <c r="B55" s="222" t="s">
        <v>99</v>
      </c>
    </row>
    <row r="56" spans="2:5" ht="13.5" hidden="1" thickBot="1" x14ac:dyDescent="0.25">
      <c r="B56" s="223" t="s">
        <v>108</v>
      </c>
    </row>
  </sheetData>
  <dataConsolidate/>
  <mergeCells count="38">
    <mergeCell ref="C7:E7"/>
    <mergeCell ref="F4:P4"/>
    <mergeCell ref="R5:U5"/>
    <mergeCell ref="R6:U6"/>
    <mergeCell ref="D18:E18"/>
    <mergeCell ref="C8:F8"/>
    <mergeCell ref="R8:U8"/>
    <mergeCell ref="R10:T10"/>
    <mergeCell ref="A13:E13"/>
    <mergeCell ref="F13:P13"/>
    <mergeCell ref="Q13:S13"/>
    <mergeCell ref="T13:U13"/>
    <mergeCell ref="H14:K14"/>
    <mergeCell ref="L14:O14"/>
    <mergeCell ref="D15:E15"/>
    <mergeCell ref="D16:E16"/>
    <mergeCell ref="D17:E17"/>
    <mergeCell ref="D34:E34"/>
    <mergeCell ref="D35:E35"/>
    <mergeCell ref="D36:E36"/>
    <mergeCell ref="D37:E37"/>
    <mergeCell ref="D33:E33"/>
    <mergeCell ref="D38:E38"/>
    <mergeCell ref="A1:U1"/>
    <mergeCell ref="H3:I3"/>
    <mergeCell ref="R44:U44"/>
    <mergeCell ref="B49:E49"/>
    <mergeCell ref="D40:E40"/>
    <mergeCell ref="D41:E41"/>
    <mergeCell ref="D42:E42"/>
    <mergeCell ref="D43:E43"/>
    <mergeCell ref="A44:E44"/>
    <mergeCell ref="D39:E39"/>
    <mergeCell ref="D19:E19"/>
    <mergeCell ref="D20:E20"/>
    <mergeCell ref="D21:E21"/>
    <mergeCell ref="D22:E22"/>
    <mergeCell ref="D32:E32"/>
  </mergeCells>
  <dataValidations count="2">
    <dataValidation type="list" allowBlank="1" showInputMessage="1" showErrorMessage="1" sqref="H3" xr:uid="{00000000-0002-0000-0400-000000000000}">
      <formula1>$B$51:$B$52</formula1>
    </dataValidation>
    <dataValidation type="list" allowBlank="1" showInputMessage="1" showErrorMessage="1" sqref="O11" xr:uid="{00000000-0002-0000-0400-000001000000}">
      <formula1>$C$51:$C$52</formula1>
    </dataValidation>
  </dataValidations>
  <pageMargins left="0.47" right="0.390625" top="0.59895833333333337" bottom="0.55000000000000004" header="0.10416666666666667" footer="0.33"/>
  <pageSetup scale="49" fitToWidth="2" orientation="landscape" horizontalDpi="4294967293" r:id="rId1"/>
  <headerFooter>
    <oddHeader>&amp;L&amp;G&amp;C&amp;"Arial,Bold"&amp;14
Summary of Energy Efficiency Meaure(s) (EEM)</oddHeader>
    <oddFooter>&amp;LEEM Summary Table - 2026.1&amp;RPage &amp;P of &amp;N</oddFooter>
  </headerFooter>
  <legacy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2000000}">
          <x14:formula1>
            <xm:f>Hidden!$B$3:$B$6</xm:f>
          </x14:formula1>
          <xm:sqref>E10</xm:sqref>
        </x14:dataValidation>
        <x14:dataValidation type="list" allowBlank="1" showInputMessage="1" showErrorMessage="1" xr:uid="{4210B9C8-28DA-42C9-B156-E80CA05E27DB}">
          <x14:formula1>
            <xm:f>Hidden!$F$30:$F$43</xm:f>
          </x14:formula1>
          <xm:sqref>R6:U6</xm:sqref>
        </x14:dataValidation>
        <x14:dataValidation type="list" allowBlank="1" showInputMessage="1" showErrorMessage="1" xr:uid="{A8A9CAA1-AA84-4993-8ECF-1D4DEA5324F0}">
          <x14:formula1>
            <xm:f>Hidden!$B$24:$B$42</xm:f>
          </x14:formula1>
          <xm:sqref>R5:U5</xm:sqref>
        </x14:dataValidation>
        <x14:dataValidation type="list" allowBlank="1" showInputMessage="1" showErrorMessage="1" xr:uid="{8D4F047A-8A99-44A1-A013-4A5C8321B10A}">
          <x14:formula1>
            <xm:f>Hidden!$I$10:$I$11</xm:f>
          </x14:formula1>
          <xm:sqref>S16:T43 G16:G43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37</vt:i4>
      </vt:variant>
    </vt:vector>
  </HeadingPairs>
  <TitlesOfParts>
    <vt:vector size="50" baseType="lpstr">
      <vt:lpstr>ChangeLog</vt:lpstr>
      <vt:lpstr>Hidden</vt:lpstr>
      <vt:lpstr>Project Path</vt:lpstr>
      <vt:lpstr>Instructions</vt:lpstr>
      <vt:lpstr>SoW</vt:lpstr>
      <vt:lpstr>Pre-screen+Assessment</vt:lpstr>
      <vt:lpstr>IncentiveEst</vt:lpstr>
      <vt:lpstr>Cx_Schedule</vt:lpstr>
      <vt:lpstr>EEI_SummaryTable</vt:lpstr>
      <vt:lpstr>Persistence_Checks</vt:lpstr>
      <vt:lpstr>Implementation_Cost</vt:lpstr>
      <vt:lpstr>Performance_Changes</vt:lpstr>
      <vt:lpstr>Training_Tracking</vt:lpstr>
      <vt:lpstr>IncentiveEst!AdjCost</vt:lpstr>
      <vt:lpstr>AnnualkWhs</vt:lpstr>
      <vt:lpstr>AnnualMaint</vt:lpstr>
      <vt:lpstr>AnnualTherms</vt:lpstr>
      <vt:lpstr>Assessment_Incentive</vt:lpstr>
      <vt:lpstr>IncentiveEst!Base_Elec</vt:lpstr>
      <vt:lpstr>IncentiveEst!Base_Gas</vt:lpstr>
      <vt:lpstr>IncentiveEst!Base_Incentive</vt:lpstr>
      <vt:lpstr>Hidden!Customer_Type</vt:lpstr>
      <vt:lpstr>IncentiveEst!Customer_Type</vt:lpstr>
      <vt:lpstr>CxPath</vt:lpstr>
      <vt:lpstr>DiscountRate</vt:lpstr>
      <vt:lpstr>ElecFAC</vt:lpstr>
      <vt:lpstr>ElecPerfRate</vt:lpstr>
      <vt:lpstr>Est_MIN</vt:lpstr>
      <vt:lpstr>Est_Y1</vt:lpstr>
      <vt:lpstr>IncentiveEst!Est_Y2</vt:lpstr>
      <vt:lpstr>GasFAC</vt:lpstr>
      <vt:lpstr>GasPerfRate</vt:lpstr>
      <vt:lpstr>Implementation_Cost</vt:lpstr>
      <vt:lpstr>IncentiveTable</vt:lpstr>
      <vt:lpstr>Min_XDomain</vt:lpstr>
      <vt:lpstr>Min_YRange</vt:lpstr>
      <vt:lpstr>Cx_Schedule!Print_Area</vt:lpstr>
      <vt:lpstr>EEI_SummaryTable!Print_Area</vt:lpstr>
      <vt:lpstr>Implementation_Cost!Print_Area</vt:lpstr>
      <vt:lpstr>IncentiveEst!Print_Area</vt:lpstr>
      <vt:lpstr>'Pre-screen+Assessment'!Print_Area</vt:lpstr>
      <vt:lpstr>Training_Tracking!Print_Area</vt:lpstr>
      <vt:lpstr>Implementation_Cost!Print_Titles</vt:lpstr>
      <vt:lpstr>Performance_Changes!Print_Titles</vt:lpstr>
      <vt:lpstr>Persistence_Checks!Print_Titles</vt:lpstr>
      <vt:lpstr>'Pre-screen+Assessment'!Print_Titles</vt:lpstr>
      <vt:lpstr>PSEelec_Y_N</vt:lpstr>
      <vt:lpstr>PSEgas_Y_N</vt:lpstr>
      <vt:lpstr>IncentiveEst!sqft</vt:lpstr>
      <vt:lpstr>IncentiveEst!TotCost</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jason.hyatt@pse.com</dc:creator>
  <cp:keywords/>
  <dc:description/>
  <cp:lastModifiedBy>Doutre, Austin</cp:lastModifiedBy>
  <cp:revision/>
  <cp:lastPrinted>2025-12-06T01:15:36Z</cp:lastPrinted>
  <dcterms:created xsi:type="dcterms:W3CDTF">2011-03-30T21:14:38Z</dcterms:created>
  <dcterms:modified xsi:type="dcterms:W3CDTF">2026-01-05T23:10:56Z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89cc04-6351-41d8-9f1d-a834e5351c1d_Enabled">
    <vt:lpwstr>true</vt:lpwstr>
  </property>
  <property fmtid="{D5CDD505-2E9C-101B-9397-08002B2CF9AE}" pid="3" name="MSIP_Label_b689cc04-6351-41d8-9f1d-a834e5351c1d_SetDate">
    <vt:lpwstr>2024-11-26T19:45:04Z</vt:lpwstr>
  </property>
  <property fmtid="{D5CDD505-2E9C-101B-9397-08002B2CF9AE}" pid="4" name="MSIP_Label_b689cc04-6351-41d8-9f1d-a834e5351c1d_Method">
    <vt:lpwstr>Standard</vt:lpwstr>
  </property>
  <property fmtid="{D5CDD505-2E9C-101B-9397-08002B2CF9AE}" pid="5" name="MSIP_Label_b689cc04-6351-41d8-9f1d-a834e5351c1d_Name">
    <vt:lpwstr>Internal Use Only</vt:lpwstr>
  </property>
  <property fmtid="{D5CDD505-2E9C-101B-9397-08002B2CF9AE}" pid="6" name="MSIP_Label_b689cc04-6351-41d8-9f1d-a834e5351c1d_SiteId">
    <vt:lpwstr>58e8b525-6212-4087-a0d0-fa755583444b</vt:lpwstr>
  </property>
  <property fmtid="{D5CDD505-2E9C-101B-9397-08002B2CF9AE}" pid="7" name="MSIP_Label_b689cc04-6351-41d8-9f1d-a834e5351c1d_ActionId">
    <vt:lpwstr>0e6d8386-b430-4e23-8aeb-b678daceff63</vt:lpwstr>
  </property>
  <property fmtid="{D5CDD505-2E9C-101B-9397-08002B2CF9AE}" pid="8" name="MSIP_Label_b689cc04-6351-41d8-9f1d-a834e5351c1d_ContentBits">
    <vt:lpwstr>0</vt:lpwstr>
  </property>
</Properties>
</file>