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estdpt1.puget.com\Sopscci\4-Energy Efficiency\BEM\_Grants\250- CI Retro\_Commissioning\01_Monitoring Based (MBCx)\00_Onboarding\"/>
    </mc:Choice>
  </mc:AlternateContent>
  <workbookProtection workbookPassword="C6FB" lockStructure="1"/>
  <bookViews>
    <workbookView xWindow="0" yWindow="0" windowWidth="24000" windowHeight="9000" tabRatio="796"/>
  </bookViews>
  <sheets>
    <sheet name="Instructions" sheetId="24" r:id="rId1"/>
    <sheet name="Pre-screen" sheetId="10" r:id="rId2"/>
    <sheet name="MBCx_Schedule" sheetId="21" r:id="rId3"/>
    <sheet name="IncentiveEst (optional)" sheetId="14" r:id="rId4"/>
    <sheet name="EEI_SummaryTable " sheetId="23" r:id="rId5"/>
    <sheet name="Performance_Changes" sheetId="5" r:id="rId6"/>
    <sheet name="Hidden" sheetId="12" state="hidden" r:id="rId7"/>
    <sheet name="Training Tracking" sheetId="22" r:id="rId8"/>
    <sheet name="Implementation_Cost" sheetId="6" r:id="rId9"/>
  </sheets>
  <externalReferences>
    <externalReference r:id="rId10"/>
    <externalReference r:id="rId11"/>
    <externalReference r:id="rId12"/>
    <externalReference r:id="rId13"/>
    <externalReference r:id="rId14"/>
  </externalReferences>
  <definedNames>
    <definedName name="_xlnm._FilterDatabase" localSheetId="4" hidden="1">'EEI_SummaryTable '!#REF!</definedName>
    <definedName name="Actual_Est" localSheetId="4">'[1]IncentiveEst (optional)'!$H$38</definedName>
    <definedName name="Actual_Est" localSheetId="6">[2]IncentiveGoals_4!$G$38</definedName>
    <definedName name="Actual_Est" localSheetId="3">'IncentiveEst (optional)'!$G$38</definedName>
    <definedName name="Actual_Est" localSheetId="0">[3]IncentiveGoals_4!$G$38</definedName>
    <definedName name="Actual_Est" localSheetId="2">'[4]IncentiveEst (Optional)'!$H$38</definedName>
    <definedName name="Actual_Est" localSheetId="7">'[4]IncentiveEst (Optional)'!$H$38</definedName>
    <definedName name="Actual_Est">[5]Hidden!$G$38</definedName>
    <definedName name="AdjCost" localSheetId="4">'[1]IncentiveEst (optional)'!$B$10</definedName>
    <definedName name="AdjCost" localSheetId="6">[2]IncentiveGoals_4!$B$9</definedName>
    <definedName name="AdjCost" localSheetId="3">'IncentiveEst (optional)'!$B$9</definedName>
    <definedName name="AdjCost" localSheetId="0">[3]IncentiveGoals_4!$B$9</definedName>
    <definedName name="AdjCost" localSheetId="2">'[4]IncentiveEst (Optional)'!$B$10</definedName>
    <definedName name="AdjCost" localSheetId="7">'[4]IncentiveEst (Optional)'!$B$10</definedName>
    <definedName name="AdjCost">[5]Hidden!$B$9</definedName>
    <definedName name="AnnualkWhs">'IncentiveEst (optional)'!$B$13</definedName>
    <definedName name="AnnualTherms">'IncentiveEst (optional)'!$B$12</definedName>
    <definedName name="BaseIncentive" localSheetId="4">'[1]IncentiveEst (optional)'!#REF!</definedName>
    <definedName name="BaseIncentive" localSheetId="6">[2]IncentiveGoals_4!#REF!</definedName>
    <definedName name="BaseIncentive" localSheetId="3">'IncentiveEst (optional)'!#REF!</definedName>
    <definedName name="BaseIncentive" localSheetId="0">[3]IncentiveGoals_4!#REF!</definedName>
    <definedName name="BaseIncentive" localSheetId="2">'[4]IncentiveEst (Optional)'!#REF!</definedName>
    <definedName name="BaseIncentive" localSheetId="1">[5]Hidden!#REF!</definedName>
    <definedName name="BaseIncentive" localSheetId="7">'[4]IncentiveEst (Optional)'!#REF!</definedName>
    <definedName name="BaseIncentive">[5]Hidden!#REF!</definedName>
    <definedName name="ElecBase" localSheetId="4">'[1]IncentiveEst (optional)'!#REF!</definedName>
    <definedName name="ElecBase" localSheetId="6">[2]IncentiveGoals_4!#REF!</definedName>
    <definedName name="ElecBase" localSheetId="3">'IncentiveEst (optional)'!#REF!</definedName>
    <definedName name="ElecBase" localSheetId="0">[3]IncentiveGoals_4!#REF!</definedName>
    <definedName name="ElecBase" localSheetId="2">'[4]IncentiveEst (Optional)'!#REF!</definedName>
    <definedName name="ElecBase" localSheetId="1">[5]Hidden!#REF!</definedName>
    <definedName name="ElecBase" localSheetId="7">'[4]IncentiveEst (Optional)'!#REF!</definedName>
    <definedName name="ElecBase">[5]Hidden!#REF!</definedName>
    <definedName name="ElecFAC">'IncentiveEst (optional)'!$S$10</definedName>
    <definedName name="GasBase" localSheetId="4">'[1]IncentiveEst (optional)'!#REF!</definedName>
    <definedName name="GasBase" localSheetId="6">[2]IncentiveGoals_4!#REF!</definedName>
    <definedName name="GasBase" localSheetId="3">'IncentiveEst (optional)'!#REF!</definedName>
    <definedName name="GasBase" localSheetId="0">[3]IncentiveGoals_4!#REF!</definedName>
    <definedName name="GasBase" localSheetId="2">'[4]IncentiveEst (Optional)'!#REF!</definedName>
    <definedName name="GasBase" localSheetId="1">[5]Hidden!#REF!</definedName>
    <definedName name="GasBase" localSheetId="7">'[4]IncentiveEst (Optional)'!#REF!</definedName>
    <definedName name="GasBase">[5]Hidden!#REF!</definedName>
    <definedName name="GasFAC">'IncentiveEst (optional)'!$W$11</definedName>
    <definedName name="Implementaion_Cost">'IncentiveEst (optional)'!$B$9</definedName>
    <definedName name="Implementation_cost">'IncentiveEst (optional)'!$B$9</definedName>
    <definedName name="IncentiveTable">'IncentiveEst (optional)'!$E$12:$I$25</definedName>
    <definedName name="Min_XDomain">'IncentiveEst (optional)'!$J$13:$J$15</definedName>
    <definedName name="Min_YRange">'IncentiveEst (optional)'!$K$13:$K$15</definedName>
    <definedName name="Percent_Est" localSheetId="4">'[1]IncentiveEst (optional)'!$H$37</definedName>
    <definedName name="Percent_Est" localSheetId="6">[2]IncentiveGoals_4!$G$37</definedName>
    <definedName name="Percent_Est" localSheetId="3">'IncentiveEst (optional)'!$G$36</definedName>
    <definedName name="Percent_Est" localSheetId="0">[3]IncentiveGoals_4!$G$37</definedName>
    <definedName name="Percent_Est" localSheetId="2">'[4]IncentiveEst (Optional)'!$H$37</definedName>
    <definedName name="Percent_Est" localSheetId="7">'[4]IncentiveEst (Optional)'!$H$37</definedName>
    <definedName name="Percent_Est">[5]Hidden!$G$37</definedName>
    <definedName name="PercentEst">'IncentiveEst (optional)'!$G$36</definedName>
    <definedName name="_xlnm.Print_Area" localSheetId="4">'EEI_SummaryTable '!$A$1:$U$44</definedName>
    <definedName name="_xlnm.Print_Area" localSheetId="8">Implementation_Cost!$A$1:$J$41</definedName>
    <definedName name="_xlnm.Print_Area" localSheetId="3">'IncentiveEst (optional)'!$A$1:$I$60</definedName>
    <definedName name="_xlnm.Print_Area" localSheetId="1">'Pre-screen'!$A$2:$N$99</definedName>
    <definedName name="_xlnm.Print_Area" localSheetId="7">'Training Tracking'!$A$1:$F$53</definedName>
    <definedName name="_xlnm.Print_Titles" localSheetId="8">Implementation_Cost!#REF!</definedName>
    <definedName name="_xlnm.Print_Titles" localSheetId="5">Performance_Changes!$1:$4</definedName>
    <definedName name="Project_Type" localSheetId="4">'[1]IncentiveEst (optional)'!$B$6</definedName>
    <definedName name="Project_Type" localSheetId="6">[2]IncentiveGoals_4!$B$6</definedName>
    <definedName name="Project_Type" localSheetId="3">'IncentiveEst (optional)'!$B$6</definedName>
    <definedName name="Project_Type" localSheetId="0">[3]IncentiveGoals_4!$B$6</definedName>
    <definedName name="Project_Type" localSheetId="2">'[4]IncentiveEst (Optional)'!$B$6</definedName>
    <definedName name="Project_Type" localSheetId="7">'[4]IncentiveEst (Optional)'!$B$6</definedName>
    <definedName name="Project_Type">[5]Hidden!$B$6</definedName>
    <definedName name="sqft" localSheetId="4">'[1]IncentiveEst (optional)'!$D$9</definedName>
    <definedName name="sqft" localSheetId="6">[2]IncentiveGoals_4!$B$10</definedName>
    <definedName name="sqft" localSheetId="3">'IncentiveEst (optional)'!$B$10</definedName>
    <definedName name="sqft" localSheetId="0">[3]IncentiveGoals_4!$B$10</definedName>
    <definedName name="sqft" localSheetId="2">'[4]IncentiveEst (Optional)'!$D$9</definedName>
    <definedName name="sqft" localSheetId="7">'[4]IncentiveEst (Optional)'!$D$9</definedName>
    <definedName name="sqft">[5]Hidden!$B$10</definedName>
    <definedName name="Table_Base" localSheetId="4">OFFSET('[1]IncentiveEst (optional)'!$J$13:$J$26,,,COUNT('[1]IncentiveEst (optional)'!$F:$F),1)</definedName>
    <definedName name="Table_Base" localSheetId="6">OFFSET([2]IncentiveGoals_4!$J$13:$J$26,,,COUNT([2]IncentiveGoals_4!$F:$F),1)</definedName>
    <definedName name="Table_Base" localSheetId="3">OFFSET('IncentiveEst (optional)'!$J$13:$J$25,,,COUNT('IncentiveEst (optional)'!$F:$F),1)</definedName>
    <definedName name="Table_Base" localSheetId="0">OFFSET([3]IncentiveGoals_4!$J$13:$J$26,,,COUNT([3]IncentiveGoals_4!$F:$F),1)</definedName>
    <definedName name="Table_Base" localSheetId="2">OFFSET('[4]IncentiveEst (Optional)'!$J$13:$J$26,,,COUNT('[4]IncentiveEst (Optional)'!$F:$F),1)</definedName>
    <definedName name="Table_Base" localSheetId="7">OFFSET('[4]IncentiveEst (Optional)'!$J$13:$J$26,,,COUNT('[4]IncentiveEst (Optional)'!$F:$F),1)</definedName>
    <definedName name="Table_Base">OFFSET([5]Hidden!$J$13:$J$26,,,COUNT([5]Hidden!$F:$F),1)</definedName>
    <definedName name="Table_EstA" localSheetId="4">OFFSET('[1]IncentiveEst (optional)'!$K$13:$K$26,,,COUNT('[1]IncentiveEst (optional)'!$G:$G),1)</definedName>
    <definedName name="Table_EstA" localSheetId="6">OFFSET([2]IncentiveGoals_4!$K$13:$K$26,,,COUNT([2]IncentiveGoals_4!$G:$G),1)</definedName>
    <definedName name="Table_EstA" localSheetId="3">OFFSET('IncentiveEst (optional)'!$K$13:$K$19,,,COUNT('IncentiveEst (optional)'!$G:$G),1)</definedName>
    <definedName name="Table_EstA" localSheetId="0">OFFSET([3]IncentiveGoals_4!$K$13:$K$26,,,COUNT([3]IncentiveGoals_4!$G:$G),1)</definedName>
    <definedName name="Table_EstA" localSheetId="2">OFFSET('[4]IncentiveEst (Optional)'!$K$13:$K$26,,,COUNT('[4]IncentiveEst (Optional)'!$G:$G),1)</definedName>
    <definedName name="Table_EstA" localSheetId="7">OFFSET('[4]IncentiveEst (Optional)'!$K$13:$K$26,,,COUNT('[4]IncentiveEst (Optional)'!$G:$G),1)</definedName>
    <definedName name="Table_EstA">OFFSET([5]Hidden!$K$13:$K$26,,,COUNT([5]Hidden!$G:$G),1)</definedName>
    <definedName name="Table_EstB" localSheetId="4">OFFSET('[1]IncentiveEst (optional)'!$L$13:$L$26,,,COUNT('[1]IncentiveEst (optional)'!$H:$H),1)</definedName>
    <definedName name="Table_EstB" localSheetId="6">OFFSET([2]IncentiveGoals_4!$L$13:$L$26,,,COUNT([2]IncentiveGoals_4!$H:$H),1)</definedName>
    <definedName name="Table_EstB" localSheetId="3">OFFSET('IncentiveEst (optional)'!$L$13:$L$19,,,COUNT('IncentiveEst (optional)'!$H:$H),1)</definedName>
    <definedName name="Table_EstB" localSheetId="0">OFFSET([3]IncentiveGoals_4!$L$13:$L$26,,,COUNT([3]IncentiveGoals_4!$H:$H),1)</definedName>
    <definedName name="Table_EstB" localSheetId="2">OFFSET('[4]IncentiveEst (Optional)'!$L$13:$L$26,,,COUNT('[4]IncentiveEst (Optional)'!$H:$H),1)</definedName>
    <definedName name="Table_EstB" localSheetId="7">OFFSET('[4]IncentiveEst (Optional)'!$L$13:$L$26,,,COUNT('[4]IncentiveEst (Optional)'!$H:$H),1)</definedName>
    <definedName name="Table_EstB">OFFSET([5]Hidden!$L$13:$L$26,,,COUNT([5]Hidden!$H:$H),1)</definedName>
    <definedName name="Table_MinPerf" localSheetId="4">OFFSET('[1]IncentiveEst (optional)'!$N$13:$N$26,,,COUNT('[1]IncentiveEst (optional)'!$J:$J),1)</definedName>
    <definedName name="Table_MinPerf" localSheetId="6">OFFSET([2]IncentiveGoals_4!$N$13:$N$26,,,COUNT([2]IncentiveGoals_4!$J:$J),1)</definedName>
    <definedName name="Table_MinPerf" localSheetId="3">OFFSET('IncentiveEst (optional)'!$N$13:$N$19,,,COUNT('IncentiveEst (optional)'!$J:$J),1)</definedName>
    <definedName name="Table_MinPerf" localSheetId="0">OFFSET([3]IncentiveGoals_4!$N$13:$N$26,,,COUNT([3]IncentiveGoals_4!$J:$J),1)</definedName>
    <definedName name="Table_MinPerf" localSheetId="2">OFFSET('[4]IncentiveEst (Optional)'!$N$13:$N$26,,,COUNT('[4]IncentiveEst (Optional)'!$J:$J),1)</definedName>
    <definedName name="Table_MinPerf" localSheetId="7">OFFSET('[4]IncentiveEst (Optional)'!$N$13:$N$26,,,COUNT('[4]IncentiveEst (Optional)'!$J:$J),1)</definedName>
    <definedName name="Table_MinPerf">OFFSET([5]Hidden!$N$13:$N$26,,,COUNT([5]Hidden!$J:$J),1)</definedName>
    <definedName name="Table_perf" localSheetId="4">OFFSET('[1]IncentiveEst (optional)'!$M$13:$M$26,,,COUNT('[1]IncentiveEst (optional)'!$I:$I),1)</definedName>
    <definedName name="Table_perf" localSheetId="6">OFFSET([2]IncentiveGoals_4!$M$13:$M$26,,,COUNT([2]IncentiveGoals_4!$I:$I),1)</definedName>
    <definedName name="Table_perf" localSheetId="3">OFFSET('IncentiveEst (optional)'!$M$13:$M$19,,,COUNT('IncentiveEst (optional)'!$I:$I),1)</definedName>
    <definedName name="Table_perf" localSheetId="0">OFFSET([3]IncentiveGoals_4!$M$13:$M$26,,,COUNT([3]IncentiveGoals_4!$I:$I),1)</definedName>
    <definedName name="Table_perf" localSheetId="2">OFFSET('[4]IncentiveEst (Optional)'!$M$13:$M$26,,,COUNT('[4]IncentiveEst (Optional)'!$I:$I),1)</definedName>
    <definedName name="Table_perf" localSheetId="7">OFFSET('[4]IncentiveEst (Optional)'!$M$13:$M$26,,,COUNT('[4]IncentiveEst (Optional)'!$I:$I),1)</definedName>
    <definedName name="Table_perf">OFFSET([5]Hidden!$M$13:$M$26,,,COUNT([5]Hidden!$I:$I),1)</definedName>
    <definedName name="Table_xAxis" localSheetId="4">OFFSET('[1]IncentiveEst (optional)'!$E$13:$E$26,,,COUNT('[1]IncentiveEst (optional)'!$E:$E),1)</definedName>
    <definedName name="Table_xAxis" localSheetId="6">OFFSET([2]IncentiveGoals_4!$E$13:$E$26,,,COUNT([2]IncentiveGoals_4!$E:$E),1)</definedName>
    <definedName name="Table_xAxis" localSheetId="3">OFFSET('IncentiveEst (optional)'!$E$13:$E$25,,,COUNT('IncentiveEst (optional)'!$E:$E),1)</definedName>
    <definedName name="Table_xAxis" localSheetId="0">OFFSET([3]IncentiveGoals_4!$E$13:$E$26,,,COUNT([3]IncentiveGoals_4!$E:$E),1)</definedName>
    <definedName name="Table_xAxis" localSheetId="2">OFFSET('[4]IncentiveEst (Optional)'!$E$13:$E$26,,,COUNT('[4]IncentiveEst (Optional)'!$E:$E),1)</definedName>
    <definedName name="Table_xAxis" localSheetId="7">OFFSET('[4]IncentiveEst (Optional)'!$E$13:$E$26,,,COUNT('[4]IncentiveEst (Optional)'!$E:$E),1)</definedName>
    <definedName name="Table_xAxis">OFFSET([5]Hidden!$E$13:$E$26,,,COUNT([5]Hidden!$E:$E),1)</definedName>
    <definedName name="TotCost" localSheetId="4">'[1]IncentiveEst (optional)'!$B$9</definedName>
    <definedName name="TotCost" localSheetId="6">[2]IncentiveGoals_4!$B$8</definedName>
    <definedName name="TotCost" localSheetId="3">'IncentiveEst (optional)'!$B$8</definedName>
    <definedName name="TotCost" localSheetId="0">[3]IncentiveGoals_4!$B$8</definedName>
    <definedName name="TotCost" localSheetId="2">'[4]IncentiveEst (Optional)'!$B$9</definedName>
    <definedName name="TotCost" localSheetId="7">'[4]IncentiveEst (Optional)'!$B$9</definedName>
    <definedName name="TotCost">[5]Hidden!$B$8</definedName>
  </definedNames>
  <calcPr calcId="162913"/>
</workbook>
</file>

<file path=xl/calcChain.xml><?xml version="1.0" encoding="utf-8"?>
<calcChain xmlns="http://schemas.openxmlformats.org/spreadsheetml/2006/main">
  <c r="F41" i="14" l="1"/>
  <c r="Q43" i="23" l="1"/>
  <c r="N43" i="23"/>
  <c r="AA42" i="23"/>
  <c r="AB42" i="23" s="1"/>
  <c r="Z42" i="23"/>
  <c r="X42" i="23"/>
  <c r="Y42" i="23" s="1"/>
  <c r="W42" i="23"/>
  <c r="O42" i="23"/>
  <c r="K42" i="23"/>
  <c r="AA41" i="23"/>
  <c r="AB41" i="23" s="1"/>
  <c r="Z41" i="23"/>
  <c r="X41" i="23"/>
  <c r="Y41" i="23" s="1"/>
  <c r="W41" i="23"/>
  <c r="O41" i="23"/>
  <c r="K41" i="23"/>
  <c r="P41" i="23" s="1"/>
  <c r="F41" i="23" s="1"/>
  <c r="AA40" i="23"/>
  <c r="AB40" i="23" s="1"/>
  <c r="Z40" i="23"/>
  <c r="Y40" i="23"/>
  <c r="X40" i="23"/>
  <c r="W40" i="23"/>
  <c r="O40" i="23"/>
  <c r="K40" i="23"/>
  <c r="AA39" i="23"/>
  <c r="AB39" i="23" s="1"/>
  <c r="Z39" i="23"/>
  <c r="X39" i="23"/>
  <c r="Y39" i="23" s="1"/>
  <c r="W39" i="23"/>
  <c r="O39" i="23"/>
  <c r="K39" i="23"/>
  <c r="P39" i="23" s="1"/>
  <c r="F39" i="23" s="1"/>
  <c r="AA38" i="23"/>
  <c r="AB38" i="23" s="1"/>
  <c r="Z38" i="23"/>
  <c r="Y38" i="23"/>
  <c r="X38" i="23"/>
  <c r="W38" i="23"/>
  <c r="O38" i="23"/>
  <c r="K38" i="23"/>
  <c r="AA37" i="23"/>
  <c r="AB37" i="23" s="1"/>
  <c r="Z37" i="23"/>
  <c r="X37" i="23"/>
  <c r="Y37" i="23" s="1"/>
  <c r="W37" i="23"/>
  <c r="O37" i="23"/>
  <c r="K37" i="23"/>
  <c r="P37" i="23" s="1"/>
  <c r="F37" i="23" s="1"/>
  <c r="AA36" i="23"/>
  <c r="AB36" i="23" s="1"/>
  <c r="Z36" i="23"/>
  <c r="Y36" i="23"/>
  <c r="X36" i="23"/>
  <c r="W36" i="23"/>
  <c r="O36" i="23"/>
  <c r="K36" i="23"/>
  <c r="AA35" i="23"/>
  <c r="AB35" i="23" s="1"/>
  <c r="Z35" i="23"/>
  <c r="X35" i="23"/>
  <c r="Y35" i="23" s="1"/>
  <c r="W35" i="23"/>
  <c r="O35" i="23"/>
  <c r="K35" i="23"/>
  <c r="P35" i="23" s="1"/>
  <c r="F35" i="23" s="1"/>
  <c r="AA34" i="23"/>
  <c r="AB34" i="23" s="1"/>
  <c r="Z34" i="23"/>
  <c r="Y34" i="23"/>
  <c r="X34" i="23"/>
  <c r="W34" i="23"/>
  <c r="O34" i="23"/>
  <c r="K34" i="23"/>
  <c r="AA33" i="23"/>
  <c r="AB33" i="23" s="1"/>
  <c r="Z33" i="23"/>
  <c r="X33" i="23"/>
  <c r="Y33" i="23" s="1"/>
  <c r="W33" i="23"/>
  <c r="O33" i="23"/>
  <c r="K33" i="23"/>
  <c r="P33" i="23" s="1"/>
  <c r="F33" i="23" s="1"/>
  <c r="AA32" i="23"/>
  <c r="AB32" i="23" s="1"/>
  <c r="Z32" i="23"/>
  <c r="Y32" i="23"/>
  <c r="X32" i="23"/>
  <c r="W32" i="23"/>
  <c r="O32" i="23"/>
  <c r="K32" i="23"/>
  <c r="AA31" i="23"/>
  <c r="AB31" i="23" s="1"/>
  <c r="Z31" i="23"/>
  <c r="X31" i="23"/>
  <c r="Y31" i="23" s="1"/>
  <c r="W31" i="23"/>
  <c r="O31" i="23"/>
  <c r="K31" i="23"/>
  <c r="P31" i="23" s="1"/>
  <c r="F31" i="23" s="1"/>
  <c r="AA30" i="23"/>
  <c r="AB30" i="23" s="1"/>
  <c r="Z30" i="23"/>
  <c r="Y30" i="23"/>
  <c r="X30" i="23"/>
  <c r="W30" i="23"/>
  <c r="O30" i="23"/>
  <c r="K30" i="23"/>
  <c r="AA29" i="23"/>
  <c r="AB29" i="23" s="1"/>
  <c r="Z29" i="23"/>
  <c r="X29" i="23"/>
  <c r="Y29" i="23" s="1"/>
  <c r="W29" i="23"/>
  <c r="O29" i="23"/>
  <c r="K29" i="23"/>
  <c r="P29" i="23" s="1"/>
  <c r="F29" i="23" s="1"/>
  <c r="AA28" i="23"/>
  <c r="AB28" i="23" s="1"/>
  <c r="Z28" i="23"/>
  <c r="Y28" i="23"/>
  <c r="X28" i="23"/>
  <c r="W28" i="23"/>
  <c r="O28" i="23"/>
  <c r="P28" i="23" s="1"/>
  <c r="F28" i="23" s="1"/>
  <c r="K28" i="23"/>
  <c r="AA27" i="23"/>
  <c r="AB27" i="23" s="1"/>
  <c r="Z27" i="23"/>
  <c r="X27" i="23"/>
  <c r="Y27" i="23" s="1"/>
  <c r="W27" i="23"/>
  <c r="O27" i="23"/>
  <c r="K27" i="23"/>
  <c r="P27" i="23" s="1"/>
  <c r="F27" i="23" s="1"/>
  <c r="AB26" i="23"/>
  <c r="AA26" i="23"/>
  <c r="Z26" i="23"/>
  <c r="Y26" i="23"/>
  <c r="X26" i="23"/>
  <c r="W26" i="23"/>
  <c r="O26" i="23"/>
  <c r="P26" i="23" s="1"/>
  <c r="F26" i="23" s="1"/>
  <c r="K26" i="23"/>
  <c r="AA25" i="23"/>
  <c r="AB25" i="23" s="1"/>
  <c r="Z25" i="23"/>
  <c r="X25" i="23"/>
  <c r="Y25" i="23" s="1"/>
  <c r="W25" i="23"/>
  <c r="O25" i="23"/>
  <c r="K25" i="23"/>
  <c r="P25" i="23" s="1"/>
  <c r="F25" i="23" s="1"/>
  <c r="AB24" i="23"/>
  <c r="AA24" i="23"/>
  <c r="Z24" i="23"/>
  <c r="Y24" i="23"/>
  <c r="X24" i="23"/>
  <c r="W24" i="23"/>
  <c r="O24" i="23"/>
  <c r="P24" i="23" s="1"/>
  <c r="F24" i="23" s="1"/>
  <c r="K24" i="23"/>
  <c r="AA23" i="23"/>
  <c r="AB23" i="23" s="1"/>
  <c r="Z23" i="23"/>
  <c r="X23" i="23"/>
  <c r="Y23" i="23" s="1"/>
  <c r="W23" i="23"/>
  <c r="O23" i="23"/>
  <c r="K23" i="23"/>
  <c r="P23" i="23" s="1"/>
  <c r="F23" i="23" s="1"/>
  <c r="AB22" i="23"/>
  <c r="AA22" i="23"/>
  <c r="Z22" i="23"/>
  <c r="Y22" i="23"/>
  <c r="X22" i="23"/>
  <c r="W22" i="23"/>
  <c r="O22" i="23"/>
  <c r="P22" i="23" s="1"/>
  <c r="F22" i="23" s="1"/>
  <c r="K22" i="23"/>
  <c r="AA21" i="23"/>
  <c r="AB21" i="23" s="1"/>
  <c r="Z21" i="23"/>
  <c r="X21" i="23"/>
  <c r="Y21" i="23" s="1"/>
  <c r="W21" i="23"/>
  <c r="O21" i="23"/>
  <c r="K21" i="23"/>
  <c r="P21" i="23" s="1"/>
  <c r="F21" i="23" s="1"/>
  <c r="AB20" i="23"/>
  <c r="AA20" i="23"/>
  <c r="Z20" i="23"/>
  <c r="Y20" i="23"/>
  <c r="X20" i="23"/>
  <c r="W20" i="23"/>
  <c r="O20" i="23"/>
  <c r="P20" i="23" s="1"/>
  <c r="F20" i="23" s="1"/>
  <c r="K20" i="23"/>
  <c r="AA19" i="23"/>
  <c r="AB19" i="23" s="1"/>
  <c r="Z19" i="23"/>
  <c r="X19" i="23"/>
  <c r="Y19" i="23" s="1"/>
  <c r="W19" i="23"/>
  <c r="O19" i="23"/>
  <c r="K19" i="23"/>
  <c r="P19" i="23" s="1"/>
  <c r="F19" i="23" s="1"/>
  <c r="AB18" i="23"/>
  <c r="AA18" i="23"/>
  <c r="Z18" i="23"/>
  <c r="Y18" i="23"/>
  <c r="X18" i="23"/>
  <c r="W18" i="23"/>
  <c r="O18" i="23"/>
  <c r="P18" i="23" s="1"/>
  <c r="F18" i="23" s="1"/>
  <c r="K18" i="23"/>
  <c r="AA17" i="23"/>
  <c r="AB17" i="23" s="1"/>
  <c r="Z17" i="23"/>
  <c r="X17" i="23"/>
  <c r="Y17" i="23" s="1"/>
  <c r="W17" i="23"/>
  <c r="O17" i="23"/>
  <c r="K17" i="23"/>
  <c r="P17" i="23" s="1"/>
  <c r="F17" i="23" s="1"/>
  <c r="AB16" i="23"/>
  <c r="AA16" i="23"/>
  <c r="Z16" i="23"/>
  <c r="Y16" i="23"/>
  <c r="X16" i="23"/>
  <c r="W16" i="23"/>
  <c r="O16" i="23"/>
  <c r="P16" i="23" s="1"/>
  <c r="F16" i="23" s="1"/>
  <c r="K16" i="23"/>
  <c r="AA15" i="23"/>
  <c r="AB15" i="23" s="1"/>
  <c r="Z15" i="23"/>
  <c r="X15" i="23"/>
  <c r="Y15" i="23" s="1"/>
  <c r="W15" i="23"/>
  <c r="O15" i="23"/>
  <c r="K15" i="23"/>
  <c r="P15" i="23" s="1"/>
  <c r="F15" i="23" s="1"/>
  <c r="AB14" i="23"/>
  <c r="AA14" i="23"/>
  <c r="Y14" i="23"/>
  <c r="Y43" i="23" s="1"/>
  <c r="I5" i="23" s="1"/>
  <c r="X14" i="23"/>
  <c r="O14" i="23"/>
  <c r="P14" i="23" s="1"/>
  <c r="K14" i="23"/>
  <c r="W14" i="23" s="1"/>
  <c r="W43" i="23" s="1"/>
  <c r="H5" i="23" s="1"/>
  <c r="R8" i="23"/>
  <c r="P4" i="23"/>
  <c r="P42" i="23" s="1"/>
  <c r="P3" i="23"/>
  <c r="P40" i="23" s="1"/>
  <c r="F40" i="23" s="1"/>
  <c r="F14" i="23" l="1"/>
  <c r="AB43" i="23"/>
  <c r="K5" i="23" s="1"/>
  <c r="Z14" i="23"/>
  <c r="Z43" i="23" s="1"/>
  <c r="J5" i="23" s="1"/>
  <c r="P30" i="23"/>
  <c r="F30" i="23" s="1"/>
  <c r="P32" i="23"/>
  <c r="F32" i="23" s="1"/>
  <c r="P34" i="23"/>
  <c r="F34" i="23" s="1"/>
  <c r="P36" i="23"/>
  <c r="F36" i="23" s="1"/>
  <c r="P38" i="23"/>
  <c r="F38" i="23" s="1"/>
  <c r="O43" i="23"/>
  <c r="P43" i="23" l="1"/>
  <c r="F43" i="23" s="1"/>
  <c r="M7" i="14" l="1"/>
  <c r="M8" i="14"/>
  <c r="M9" i="14"/>
  <c r="N8" i="14"/>
  <c r="N9" i="14"/>
  <c r="N7" i="14"/>
  <c r="B19" i="14"/>
  <c r="B21" i="14" s="1"/>
  <c r="B23" i="14" s="1"/>
  <c r="E37" i="14" l="1"/>
  <c r="E38" i="14"/>
  <c r="E37" i="12"/>
  <c r="M14" i="14" l="1"/>
  <c r="O6" i="14" s="1"/>
  <c r="M13" i="14"/>
  <c r="C9" i="14"/>
  <c r="B9" i="14"/>
  <c r="C23" i="14" s="1"/>
  <c r="A60" i="14"/>
  <c r="E32" i="14"/>
  <c r="E31" i="14"/>
  <c r="E30" i="14"/>
  <c r="E29" i="14"/>
  <c r="B42" i="14" s="1"/>
  <c r="C13" i="14"/>
  <c r="C12" i="14"/>
  <c r="C7" i="14"/>
  <c r="A7" i="14"/>
  <c r="H1" i="14"/>
  <c r="O5" i="14" l="1"/>
  <c r="D23" i="14"/>
  <c r="D57" i="14"/>
  <c r="D53" i="14"/>
  <c r="B41" i="14"/>
  <c r="D36" i="14" s="1"/>
  <c r="I56" i="14"/>
  <c r="C36" i="14"/>
  <c r="B38" i="14"/>
  <c r="I53" i="14"/>
  <c r="L12" i="14"/>
  <c r="N4" i="14" s="1"/>
  <c r="F36" i="14"/>
  <c r="H36" i="14" s="1"/>
  <c r="I57" i="14"/>
  <c r="I58" i="14"/>
  <c r="I52" i="14"/>
  <c r="M15" i="14"/>
  <c r="O7" i="14" s="1"/>
  <c r="C14" i="14"/>
  <c r="I54" i="14"/>
  <c r="A39" i="14"/>
  <c r="B40" i="14" s="1"/>
  <c r="B37" i="14" l="1"/>
  <c r="C21" i="14" s="1"/>
  <c r="E36" i="14"/>
  <c r="D56" i="14"/>
  <c r="D54" i="14"/>
  <c r="E54" i="14" s="1"/>
  <c r="D58" i="14"/>
  <c r="E58" i="14" s="1"/>
  <c r="F56" i="14"/>
  <c r="E41" i="14"/>
  <c r="F57" i="14"/>
  <c r="F58" i="14" s="1"/>
  <c r="K90" i="14" s="1"/>
  <c r="F52" i="14"/>
  <c r="F53" i="14"/>
  <c r="M12" i="14"/>
  <c r="M16" i="14"/>
  <c r="O8" i="14" s="1"/>
  <c r="O4" i="14" l="1"/>
  <c r="F54" i="14"/>
  <c r="K89" i="14" s="1"/>
  <c r="M17" i="14"/>
  <c r="O9" i="14" s="1"/>
  <c r="N15" i="14"/>
  <c r="R15" i="14" l="1"/>
  <c r="O15" i="14"/>
  <c r="N16" i="14"/>
  <c r="N17" i="14"/>
  <c r="R17" i="14" l="1"/>
  <c r="O17" i="14"/>
  <c r="O16" i="14"/>
  <c r="R16" i="14"/>
  <c r="L34" i="10" l="1"/>
  <c r="J34" i="10"/>
  <c r="T19" i="12"/>
  <c r="S19" i="12"/>
  <c r="T18" i="12"/>
  <c r="S18" i="12"/>
  <c r="T17" i="12"/>
  <c r="S17" i="12"/>
  <c r="T16" i="12"/>
  <c r="S16" i="12"/>
  <c r="T15" i="12"/>
  <c r="S15" i="12"/>
  <c r="T14" i="12"/>
  <c r="S14" i="12"/>
  <c r="T13" i="12"/>
  <c r="S13" i="12"/>
  <c r="T12" i="12"/>
  <c r="S12" i="12"/>
  <c r="T11" i="12"/>
  <c r="S11" i="12"/>
  <c r="T10" i="12"/>
  <c r="S10" i="12"/>
  <c r="T9" i="12"/>
  <c r="S9" i="12"/>
  <c r="T7" i="12"/>
  <c r="S7" i="12"/>
  <c r="T6" i="12"/>
  <c r="S6" i="12"/>
  <c r="T5" i="12"/>
  <c r="S5" i="12"/>
  <c r="T4" i="12"/>
  <c r="S4" i="12"/>
  <c r="G34" i="10" l="1"/>
  <c r="G8" i="6"/>
  <c r="D8" i="6" s="1"/>
  <c r="J33" i="10"/>
  <c r="L33" i="10"/>
  <c r="G33" i="10" l="1"/>
  <c r="B41" i="6"/>
  <c r="I36" i="14"/>
  <c r="D52" i="14"/>
  <c r="K12" i="14" l="1"/>
  <c r="M4" i="14" s="1"/>
  <c r="E53" i="14"/>
  <c r="E52" i="14"/>
  <c r="E57" i="14"/>
  <c r="H56" i="14"/>
  <c r="H52" i="14"/>
  <c r="G56" i="14"/>
  <c r="G52" i="14"/>
  <c r="E56" i="14"/>
  <c r="G53" i="14"/>
  <c r="H53" i="14"/>
  <c r="G38" i="14" l="1"/>
  <c r="G37" i="14"/>
  <c r="H57" i="14"/>
  <c r="G57" i="14"/>
  <c r="K13" i="14"/>
  <c r="M5" i="14" s="1"/>
  <c r="H58" i="14"/>
  <c r="G58" i="14"/>
  <c r="K14" i="14"/>
  <c r="M6" i="14" s="1"/>
  <c r="H54" i="14"/>
  <c r="G54" i="14"/>
  <c r="D59" i="14"/>
  <c r="D21" i="14" l="1"/>
  <c r="Q14" i="14" s="1"/>
  <c r="H38" i="14"/>
  <c r="I38" i="14" s="1"/>
  <c r="L13" i="14"/>
  <c r="H37" i="14"/>
  <c r="I37" i="14" s="1"/>
  <c r="E59" i="14"/>
  <c r="Q12" i="14"/>
  <c r="R12" i="14" s="1"/>
  <c r="N5" i="14" l="1"/>
  <c r="N13" i="14"/>
  <c r="L14" i="14"/>
  <c r="N6" i="14" s="1"/>
  <c r="N14" i="14"/>
  <c r="R14" i="14" s="1"/>
  <c r="R13" i="14" l="1"/>
  <c r="O13" i="14"/>
  <c r="Q4" i="14"/>
  <c r="O14" i="14"/>
  <c r="P19" i="14" s="1"/>
  <c r="I41" i="14" s="1"/>
  <c r="H41" i="14"/>
  <c r="G41" i="14"/>
  <c r="Q5" i="14" l="1"/>
</calcChain>
</file>

<file path=xl/comments1.xml><?xml version="1.0" encoding="utf-8"?>
<comments xmlns="http://schemas.openxmlformats.org/spreadsheetml/2006/main">
  <authors>
    <author>Jason Hyatt</author>
  </authors>
  <commentList>
    <comment ref="H40" authorId="0" shapeId="0">
      <text>
        <r>
          <rPr>
            <b/>
            <sz val="9"/>
            <color indexed="81"/>
            <rFont val="Tahoma"/>
            <family val="2"/>
          </rPr>
          <t>Jason Hyatt:</t>
        </r>
        <r>
          <rPr>
            <sz val="9"/>
            <color indexed="81"/>
            <rFont val="Tahoma"/>
            <family val="2"/>
          </rPr>
          <t xml:space="preserve">
AVE net cash inflow /
Initial investment</t>
        </r>
      </text>
    </comment>
    <comment ref="E51" authorId="0" shapeId="0">
      <text>
        <r>
          <rPr>
            <b/>
            <sz val="9"/>
            <color indexed="81"/>
            <rFont val="Tahoma"/>
            <family val="2"/>
          </rPr>
          <t>Jason Hyatt:</t>
        </r>
        <r>
          <rPr>
            <sz val="9"/>
            <color indexed="81"/>
            <rFont val="Tahoma"/>
            <family val="2"/>
          </rPr>
          <t xml:space="preserve">
PSE grant is based on the $0.05/kWh and $0.80/therm incentive rate and the "gross" savings.</t>
        </r>
      </text>
    </comment>
    <comment ref="F51" authorId="0" shapeId="0">
      <text>
        <r>
          <rPr>
            <b/>
            <sz val="9"/>
            <color indexed="81"/>
            <rFont val="Tahoma"/>
            <family val="2"/>
          </rPr>
          <t>Jason Hyatt:</t>
        </r>
        <r>
          <rPr>
            <sz val="9"/>
            <color indexed="81"/>
            <rFont val="Tahoma"/>
            <family val="2"/>
          </rPr>
          <t xml:space="preserve">
"net" savings are recorded savings by PSE.</t>
        </r>
      </text>
    </comment>
  </commentList>
</comments>
</file>

<file path=xl/comments2.xml><?xml version="1.0" encoding="utf-8"?>
<comments xmlns="http://schemas.openxmlformats.org/spreadsheetml/2006/main">
  <authors>
    <author xml:space="preserve">Holly R. Townes, Puget Sound Energy </author>
  </authors>
  <commentList>
    <comment ref="E8" authorId="0" shapeId="0">
      <text>
        <r>
          <rPr>
            <b/>
            <sz val="10"/>
            <color indexed="81"/>
            <rFont val="Tahoma"/>
            <family val="2"/>
          </rPr>
          <t>All PSE customer:       $0.15/sqft</t>
        </r>
        <r>
          <rPr>
            <sz val="10"/>
            <color indexed="81"/>
            <rFont val="Tahoma"/>
            <family val="2"/>
          </rPr>
          <t xml:space="preserve">
</t>
        </r>
        <r>
          <rPr>
            <b/>
            <sz val="10"/>
            <color indexed="81"/>
            <rFont val="Tahoma"/>
            <family val="2"/>
          </rPr>
          <t>PSE elec (gas other): $0.10/sqft
PSE gas (elec other): $0.10/sqft
SCL elec (no gas):      $0.10/sq.ft.
PSE and SCL:              $0.15/sq.ft
PSE only (Seattle):    $0.05/sq.ft.</t>
        </r>
      </text>
    </comment>
  </commentList>
</comments>
</file>

<file path=xl/sharedStrings.xml><?xml version="1.0" encoding="utf-8"?>
<sst xmlns="http://schemas.openxmlformats.org/spreadsheetml/2006/main" count="563" uniqueCount="433">
  <si>
    <t>Application Date:</t>
  </si>
  <si>
    <t>Senior Operations:</t>
  </si>
  <si>
    <t>Management:</t>
  </si>
  <si>
    <t>Minimum Qualifications:</t>
  </si>
  <si>
    <t xml:space="preserve">Building is at least 75% occupied </t>
  </si>
  <si>
    <t>Total kBTU/sq.ft.</t>
  </si>
  <si>
    <t>kWh/sq.ft.</t>
  </si>
  <si>
    <t>Therms/sq.ft</t>
  </si>
  <si>
    <t>Duct static/discharge air temperature/HW/CW/CHW reset based on load</t>
  </si>
  <si>
    <t>Deadband for room temp setpoints</t>
  </si>
  <si>
    <t>Optimum start/stop</t>
  </si>
  <si>
    <t>VFDs</t>
  </si>
  <si>
    <t>Other?</t>
  </si>
  <si>
    <t>Cx Agent:</t>
  </si>
  <si>
    <t>Ventilation rate has never been checked and there are no indoor air problems.</t>
  </si>
  <si>
    <t>Building has had a lot of comfort, other issues, and/or does not seem to work right.</t>
  </si>
  <si>
    <t>HVAC systems have a BAS or DDC system. Last upgrade:</t>
  </si>
  <si>
    <t>HVAC systems are complex systems:</t>
  </si>
  <si>
    <t>Central hot water (boiler plant)</t>
  </si>
  <si>
    <t>Central chilled water (chiller plant)</t>
  </si>
  <si>
    <t>Variable Air Volume (VAV)</t>
  </si>
  <si>
    <t>Multi-zone RTU</t>
  </si>
  <si>
    <t xml:space="preserve">Major Reasons to Proceed: </t>
  </si>
  <si>
    <r>
      <t xml:space="preserve">Give basic description of facility: </t>
    </r>
    <r>
      <rPr>
        <sz val="10"/>
        <rFont val="Arial"/>
        <family val="2"/>
      </rPr>
      <t xml:space="preserve"># of buildings/systems in project, general hours of operation, HVAC type, lighting controls type, use of building, are there a lot of computers used, % of space for server rooms. </t>
    </r>
  </si>
  <si>
    <r>
      <rPr>
        <b/>
        <sz val="10"/>
        <rFont val="Arial"/>
        <family val="2"/>
      </rPr>
      <t>List changes in use or equipment in the past year and expected for the next 5 years.</t>
    </r>
    <r>
      <rPr>
        <sz val="10"/>
        <rFont val="Arial"/>
        <family val="2"/>
      </rPr>
      <t xml:space="preserve"> Explain briefly how one would easily adjust for this change in a billing savings analysis:</t>
    </r>
  </si>
  <si>
    <t xml:space="preserve">Other PSE Program that would help customer save energy: </t>
  </si>
  <si>
    <r>
      <rPr>
        <b/>
        <sz val="10"/>
        <rFont val="Arial"/>
        <family val="2"/>
      </rPr>
      <t>Other Comments/Notes:</t>
    </r>
    <r>
      <rPr>
        <sz val="10"/>
        <rFont val="Arial"/>
        <family val="2"/>
      </rPr>
      <t xml:space="preserve"> </t>
    </r>
  </si>
  <si>
    <t>Facility:</t>
  </si>
  <si>
    <t>$</t>
  </si>
  <si>
    <t>Drop Down Lists</t>
  </si>
  <si>
    <t>PSE $/sqft requirement</t>
  </si>
  <si>
    <t>PSE utilities</t>
  </si>
  <si>
    <t>All PSE</t>
  </si>
  <si>
    <t>PSE elec (other gas)</t>
  </si>
  <si>
    <t>PSE gas (other elec)</t>
  </si>
  <si>
    <t>UPGRADES</t>
  </si>
  <si>
    <t>Y</t>
  </si>
  <si>
    <t>N</t>
  </si>
  <si>
    <t>Cost ($)</t>
  </si>
  <si>
    <t>Sch_Elec (10-01-17)</t>
  </si>
  <si>
    <t>Rates_Elec (¢ / kWh)</t>
  </si>
  <si>
    <t>Demand ($ / kW)</t>
  </si>
  <si>
    <t xml:space="preserve">Sch 25 (&lt;20,000 kWh/mo) </t>
  </si>
  <si>
    <t xml:space="preserve">Sch 25 (&gt;20,000 kWh/mo) </t>
  </si>
  <si>
    <t>Sch 26 - Primary</t>
  </si>
  <si>
    <t>Sch 26 - Secondary</t>
  </si>
  <si>
    <t>Sch 31</t>
  </si>
  <si>
    <t>Sch 40-HV</t>
  </si>
  <si>
    <t>Sch 40-Primary</t>
  </si>
  <si>
    <t>Sch 40-Secondary</t>
  </si>
  <si>
    <t>Sch 43</t>
  </si>
  <si>
    <t>Sch 46</t>
  </si>
  <si>
    <t>Sch 49</t>
  </si>
  <si>
    <t>Sch_NG (10-01-17)</t>
  </si>
  <si>
    <t>Rates_NG ($ / therm)</t>
  </si>
  <si>
    <t>Sch 41 &lt; 5,000</t>
  </si>
  <si>
    <t>Sch 41 &gt; 5,000</t>
  </si>
  <si>
    <t>Sch 85 Interruptible &lt;25k</t>
  </si>
  <si>
    <t>Sch 85 Interruptible 25-50k</t>
  </si>
  <si>
    <t>Sch 85 Interruptible &gt;50k</t>
  </si>
  <si>
    <t>Sch 86 Interruptible &lt;1,000</t>
  </si>
  <si>
    <t>Sch 86 Interruptible &gt;1,000</t>
  </si>
  <si>
    <t>Sch 87 Interruptible &lt;25k</t>
  </si>
  <si>
    <t>Sch 87 Interruptible 25-50k</t>
  </si>
  <si>
    <t>Sch 87 Interruptible 50-100k</t>
  </si>
  <si>
    <t>Sch 87 Interruptible 100-200k</t>
  </si>
  <si>
    <t>Sch 87 Interruptible 200-500k</t>
  </si>
  <si>
    <t>Sch 87 Interruptible &gt;500k</t>
  </si>
  <si>
    <t>PSE</t>
  </si>
  <si>
    <t>SCL/PSE</t>
  </si>
  <si>
    <t xml:space="preserve">SCL </t>
  </si>
  <si>
    <t>SCL Rates</t>
  </si>
  <si>
    <t>Small GS</t>
  </si>
  <si>
    <t>Medium GS</t>
  </si>
  <si>
    <t>Large GS</t>
  </si>
  <si>
    <t>High Demand GS</t>
  </si>
  <si>
    <t>sched.</t>
  </si>
  <si>
    <t>PSE Rates</t>
  </si>
  <si>
    <t>Implementation Cost</t>
  </si>
  <si>
    <t>Describe how the change or event affects energy use. Estimate energy use impact (kWh/year, Therms/yr)</t>
  </si>
  <si>
    <t>Description of Change or Event (e.g. occupancy changes, new equipment or tenant loads, production schedule, occupied hours etc.)</t>
  </si>
  <si>
    <t>Date or Date Range:</t>
  </si>
  <si>
    <t>Date end of 1st year Performance :</t>
  </si>
  <si>
    <t xml:space="preserve">Person Completing Report: </t>
  </si>
  <si>
    <t>Date of This Report:</t>
  </si>
  <si>
    <t>Owner:</t>
  </si>
  <si>
    <t xml:space="preserve">Facility: </t>
  </si>
  <si>
    <t>1. Only include eligible improvements items. Review guidelines for what is considered an eligible improvement item/expenses and only include items that are eligible</t>
  </si>
  <si>
    <t xml:space="preserve">2. Track the cost of implementing the improvements </t>
  </si>
  <si>
    <t xml:space="preserve">3. Attach appropriate invoices to match costs for each item list &amp; note EEI # that this item is for. </t>
  </si>
  <si>
    <t xml:space="preserve">4. Note if item was already in owner's/ O&amp;M stock </t>
  </si>
  <si>
    <t>NOTE: Up to pre-determined maximum cost is required</t>
  </si>
  <si>
    <t xml:space="preserve">Maximum Required Cost: </t>
  </si>
  <si>
    <t xml:space="preserve">Facility sqft: </t>
  </si>
  <si>
    <t>Required $/sqft:</t>
  </si>
  <si>
    <t>EEI#</t>
  </si>
  <si>
    <t>Item in Stock</t>
  </si>
  <si>
    <t xml:space="preserve">Description </t>
  </si>
  <si>
    <t>TOTAL</t>
  </si>
  <si>
    <t>CUSTOMER IMPLEMENTATION COST</t>
  </si>
  <si>
    <t>HVAC/lighting controls are not regularly tested, only basic maintenance has been done (e.g. change filters/belts).</t>
  </si>
  <si>
    <t>Building(s) is ≥ 1.5 year old.</t>
  </si>
  <si>
    <r>
      <t xml:space="preserve">Main HVAC system is </t>
    </r>
    <r>
      <rPr>
        <b/>
        <i/>
        <sz val="10"/>
        <rFont val="Arial"/>
        <family val="2"/>
      </rPr>
      <t>NOT</t>
    </r>
    <r>
      <rPr>
        <sz val="10"/>
        <rFont val="Arial"/>
        <family val="2"/>
      </rPr>
      <t xml:space="preserve"> single zone packaged RTUs with wall stats.</t>
    </r>
  </si>
  <si>
    <t>If it has, date of last commissioning (Cx):</t>
  </si>
  <si>
    <t>Building has never been commissioned by a third party (new or existing).</t>
  </si>
  <si>
    <t>Staging of chiller or boilers based on unit efficiency</t>
  </si>
  <si>
    <r>
      <t xml:space="preserve">Building does </t>
    </r>
    <r>
      <rPr>
        <b/>
        <i/>
        <sz val="10"/>
        <rFont val="Arial"/>
        <family val="2"/>
      </rPr>
      <t>NOT</t>
    </r>
    <r>
      <rPr>
        <sz val="10"/>
        <rFont val="Arial"/>
        <family val="2"/>
      </rPr>
      <t xml:space="preserve"> have some of the energy efficient control sequences listed below (mark missing features): </t>
    </r>
  </si>
  <si>
    <t>Building has had several changes in use, or several different tenants since it was constructed.</t>
  </si>
  <si>
    <t>Avg. for similar buildings:</t>
  </si>
  <si>
    <t>Current:</t>
  </si>
  <si>
    <t>Building Energy Use Index:</t>
  </si>
  <si>
    <t>Building energy use is &gt; average for typical building of this type. Be sure to consider whether high use is controllable (associated with HVAC) or not (may include server rooms, DHW, Laundry, or other process loads).</t>
  </si>
  <si>
    <t>Additional Considerations to Qualify:</t>
  </si>
  <si>
    <t>No plans for controls system replacement or major upgrades within the next 5 years.</t>
  </si>
  <si>
    <t xml:space="preserve">No major upgrades anticipated that will change how the equipment is operated (e.g. replacing constant volume HVAC with VAV, replacing controls). 
</t>
  </si>
  <si>
    <t>Building(s) collectively have ≥ 50,000 conditioned square footage OR use significantly more energy than a typical office building (e.g.: 24/7 facility, museum, medical facility, MOB).</t>
  </si>
  <si>
    <t>PSE gas only customers must use gas for space heating (e.g.: uses a condensing boiler, ventilation or make-up air heated by gas, not just for tempering the supply air)</t>
  </si>
  <si>
    <t>PSE Electric</t>
  </si>
  <si>
    <t>PSE Gas</t>
  </si>
  <si>
    <t>Building(s) use</t>
  </si>
  <si>
    <t>PSE Application</t>
  </si>
  <si>
    <t>Other:</t>
  </si>
  <si>
    <t>Weekend:</t>
  </si>
  <si>
    <t>Weekday:</t>
  </si>
  <si>
    <t>End (PM)</t>
  </si>
  <si>
    <t>Start (AM)</t>
  </si>
  <si>
    <t>Occupied</t>
  </si>
  <si>
    <t>therms</t>
  </si>
  <si>
    <t>kWh</t>
  </si>
  <si>
    <t>Annual Usage:</t>
  </si>
  <si>
    <t>Office</t>
  </si>
  <si>
    <t>Space type:</t>
  </si>
  <si>
    <t>Total Area:</t>
  </si>
  <si>
    <t>Building Details</t>
  </si>
  <si>
    <t>List for Program Grant Amounts</t>
  </si>
  <si>
    <t>Customer Type</t>
  </si>
  <si>
    <t xml:space="preserve">Implementation $/sf </t>
  </si>
  <si>
    <t xml:space="preserve">CX provider $/sf </t>
  </si>
  <si>
    <t>Assessment</t>
  </si>
  <si>
    <t>Initial Grant Calc.</t>
  </si>
  <si>
    <t>PSE Electric EUI (kWh/SF)</t>
  </si>
  <si>
    <t>PSE Gas EUI (therms)</t>
  </si>
  <si>
    <t>All PSE (gas/elec)</t>
  </si>
  <si>
    <t>Performance Calc.</t>
  </si>
  <si>
    <t>Type</t>
  </si>
  <si>
    <t>Median</t>
  </si>
  <si>
    <t>Q1</t>
  </si>
  <si>
    <t>Q3</t>
  </si>
  <si>
    <t>All PSE (all elec)</t>
  </si>
  <si>
    <t>Assembly</t>
  </si>
  <si>
    <t>PSE elec/other gas</t>
  </si>
  <si>
    <t>Grocery</t>
  </si>
  <si>
    <t>PSE gas/other elec</t>
  </si>
  <si>
    <t>Lodging</t>
  </si>
  <si>
    <t>elec savings</t>
  </si>
  <si>
    <t>gas savings</t>
  </si>
  <si>
    <t>Other</t>
  </si>
  <si>
    <t>Therm</t>
  </si>
  <si>
    <t>None</t>
  </si>
  <si>
    <t>Residential Care</t>
  </si>
  <si>
    <t>Electric</t>
  </si>
  <si>
    <t>Food Service</t>
  </si>
  <si>
    <t>Retail</t>
  </si>
  <si>
    <t>Gas</t>
  </si>
  <si>
    <t>School</t>
  </si>
  <si>
    <t>Warehouse</t>
  </si>
  <si>
    <t>Electric Cost Effectiveness Standard
2014/2015 
Cents per KWH</t>
  </si>
  <si>
    <t>Gas Conservation Cost Effectiveness Standard, 2014/2015</t>
  </si>
  <si>
    <t>Measure</t>
  </si>
  <si>
    <t>Electric
Space
Heating</t>
  </si>
  <si>
    <t>Misc.</t>
  </si>
  <si>
    <t>Summer
Cooling</t>
  </si>
  <si>
    <t>Space Heating
(Retrofit)</t>
  </si>
  <si>
    <t>Hot Water
(DHW)</t>
  </si>
  <si>
    <t>Process</t>
  </si>
  <si>
    <t>Life</t>
  </si>
  <si>
    <t>Note: These costs include the conservation credit.</t>
  </si>
  <si>
    <t>Note: These costs do not include a conservation credit.</t>
  </si>
  <si>
    <t>Sch 8</t>
  </si>
  <si>
    <t>Sch_NG (11-01-13)</t>
  </si>
  <si>
    <t xml:space="preserve">Sch 11 (&lt;20,000 kWh/mo) </t>
  </si>
  <si>
    <t xml:space="preserve">Sch 11 (&gt;20,000 kWh/mo) </t>
  </si>
  <si>
    <t>Sch 12 - Primary</t>
  </si>
  <si>
    <t>Sch 12 - Secondary</t>
  </si>
  <si>
    <t>Sch 24</t>
  </si>
  <si>
    <t xml:space="preserve">Sch 29 (&lt;20,000 kWh/mo) </t>
  </si>
  <si>
    <t xml:space="preserve">Sch 29 (&gt;20,000 kWh/mo) </t>
  </si>
  <si>
    <t>2019 CBSA Data - Typical PSE Comparison</t>
  </si>
  <si>
    <t>Project Name:</t>
  </si>
  <si>
    <t>Customer:</t>
  </si>
  <si>
    <t>PSE Customer</t>
  </si>
  <si>
    <t>Address:</t>
  </si>
  <si>
    <t>Renton, WA 98057</t>
  </si>
  <si>
    <t>Project Type</t>
  </si>
  <si>
    <t>Date:</t>
  </si>
  <si>
    <t>Provider Cost:</t>
  </si>
  <si>
    <t>Implementation Cost:</t>
  </si>
  <si>
    <t>SF:</t>
  </si>
  <si>
    <t>Utility Data and Investment Variables</t>
  </si>
  <si>
    <t>Years</t>
  </si>
  <si>
    <t>Invested</t>
  </si>
  <si>
    <t>Incentive</t>
  </si>
  <si>
    <t>Energy Savings</t>
  </si>
  <si>
    <t>Initial investment</t>
  </si>
  <si>
    <t>IRR Calc MIN</t>
  </si>
  <si>
    <t>Annual Therms:</t>
  </si>
  <si>
    <t>th./sq.ft. /yr.</t>
  </si>
  <si>
    <t xml:space="preserve">Yr 0 </t>
  </si>
  <si>
    <t>Annual kWhs:</t>
  </si>
  <si>
    <t>kWh/sq.ft./yr.</t>
  </si>
  <si>
    <t xml:space="preserve">Yr 1 </t>
  </si>
  <si>
    <t>Total Building Energy Use</t>
  </si>
  <si>
    <t>kBTU/sq.ft./yr.</t>
  </si>
  <si>
    <t>Yr 2</t>
  </si>
  <si>
    <t>Prefered Discount Rate:</t>
  </si>
  <si>
    <t>(NPV Calc.)</t>
  </si>
  <si>
    <t>Yr 3</t>
  </si>
  <si>
    <t>Yr 4</t>
  </si>
  <si>
    <t>Yr 5</t>
  </si>
  <si>
    <t>Incentive Estimates</t>
  </si>
  <si>
    <t>Incentives</t>
  </si>
  <si>
    <t>Calculate Major Process Loads (Loads &gt; 1%)</t>
  </si>
  <si>
    <t>Process Load Type</t>
  </si>
  <si>
    <r>
      <t xml:space="preserve">Load </t>
    </r>
    <r>
      <rPr>
        <u/>
        <sz val="10"/>
        <color theme="1"/>
        <rFont val="Arial"/>
        <family val="2"/>
      </rPr>
      <t>kW</t>
    </r>
    <r>
      <rPr>
        <sz val="10"/>
        <rFont val="Arial"/>
        <family val="2"/>
      </rPr>
      <t xml:space="preserve"> or </t>
    </r>
    <r>
      <rPr>
        <u/>
        <sz val="10"/>
        <color theme="1"/>
        <rFont val="Arial"/>
        <family val="2"/>
      </rPr>
      <t>therm/hr.</t>
    </r>
  </si>
  <si>
    <t xml:space="preserve">Annual Hours </t>
  </si>
  <si>
    <t>Annual Use</t>
  </si>
  <si>
    <t>UOM</t>
  </si>
  <si>
    <t>Description</t>
  </si>
  <si>
    <t>Data Center</t>
  </si>
  <si>
    <t>Large DHW</t>
  </si>
  <si>
    <t>Refrigeration</t>
  </si>
  <si>
    <t>Other (describe)</t>
  </si>
  <si>
    <t>Performance Incentive Estimate Calculation</t>
  </si>
  <si>
    <t>Percent Savings</t>
  </si>
  <si>
    <t>kbtus</t>
  </si>
  <si>
    <t>Base Incentive</t>
  </si>
  <si>
    <t>Performance Incentive</t>
  </si>
  <si>
    <t>Percent Incentive</t>
  </si>
  <si>
    <t>Economic Analysis</t>
  </si>
  <si>
    <t>Annual Cost Savings</t>
  </si>
  <si>
    <t>Simple Payback (SPB)</t>
  </si>
  <si>
    <t>Internal Rate of Return (IRR)</t>
  </si>
  <si>
    <t>Accounting Rate of Return (ARR)</t>
  </si>
  <si>
    <t>Net Present Value (NPV)*</t>
  </si>
  <si>
    <t>*Uses a discount rate of 7.8% for the energy savings and a 3% inflation in energy cost throughout the 5 year measure life beginning in year 2 (net 4.8% decrease).</t>
  </si>
  <si>
    <t xml:space="preserve">Project Notes: </t>
  </si>
  <si>
    <t>PSE Internal Use Only  - Allocation by Measure</t>
  </si>
  <si>
    <t>Measure Description</t>
  </si>
  <si>
    <t>Measure Cost</t>
  </si>
  <si>
    <t>PSE Grant</t>
  </si>
  <si>
    <t>Load Type</t>
  </si>
  <si>
    <t>TRC</t>
  </si>
  <si>
    <t>Baseline Use</t>
  </si>
  <si>
    <t>Totals</t>
  </si>
  <si>
    <t>Pool</t>
  </si>
  <si>
    <t>Initial Grant</t>
  </si>
  <si>
    <t>Final True-up*</t>
  </si>
  <si>
    <t>Onboarding</t>
  </si>
  <si>
    <t>MBCx Base (elec)</t>
  </si>
  <si>
    <t xml:space="preserve">MBCx Year 1 Perfromance (elec) </t>
  </si>
  <si>
    <t xml:space="preserve">MBCx Year 2 Perfromance (elec) </t>
  </si>
  <si>
    <t xml:space="preserve">MBCx Year 2 Perfromance (gas) </t>
  </si>
  <si>
    <t>MBCx Base (gas)</t>
  </si>
  <si>
    <t>Year 1</t>
  </si>
  <si>
    <t>Year 2</t>
  </si>
  <si>
    <t>Project Cash Flow</t>
  </si>
  <si>
    <t>PSE Customer, Building Name - MBCx</t>
  </si>
  <si>
    <t xml:space="preserve">Net Annual </t>
  </si>
  <si>
    <t>PV Rate</t>
  </si>
  <si>
    <t>Savings (net)</t>
  </si>
  <si>
    <t>kWhs (gross)</t>
  </si>
  <si>
    <t>Therms(gross)</t>
  </si>
  <si>
    <t xml:space="preserve">MBCx Year 1 Perfromance (gas) </t>
  </si>
  <si>
    <t>gas</t>
  </si>
  <si>
    <t>elec</t>
  </si>
  <si>
    <t>SPB</t>
  </si>
  <si>
    <t>x</t>
  </si>
  <si>
    <t>y</t>
  </si>
  <si>
    <t>Phase Incentive</t>
  </si>
  <si>
    <t>1st Year Performance</t>
  </si>
  <si>
    <t>2nd Year Performance</t>
  </si>
  <si>
    <t>MBCx Incentive with &lt; 6% Savings</t>
  </si>
  <si>
    <t xml:space="preserve">Maximum MBCx Incentive </t>
  </si>
  <si>
    <t>N/A</t>
  </si>
  <si>
    <t>MBCx Incentive Estimate</t>
  </si>
  <si>
    <r>
      <rPr>
        <b/>
        <sz val="10"/>
        <color theme="1"/>
        <rFont val="Arial"/>
        <family val="2"/>
      </rPr>
      <t>INSTRUCTIONS:</t>
    </r>
    <r>
      <rPr>
        <sz val="10"/>
        <rFont val="Arial"/>
        <family val="2"/>
      </rPr>
      <t xml:space="preserve"> In order to determine the estimated savings and incentive for your project all yellow cells must be populated as needed. If there are any process loads within the building that are largerer than 1% of the annual energy use, they must be account for below in the section labeled "Calculate Major Process Loads". </t>
    </r>
  </si>
  <si>
    <t>2. PSE Energy Management Engineer (EME) will evaluate the documentation and current utility billing information to determine eligibility.</t>
  </si>
  <si>
    <t>Program Incentive Structure</t>
  </si>
  <si>
    <t>Base Incentive &gt;&gt;</t>
  </si>
  <si>
    <t>$0.80/therm</t>
  </si>
  <si>
    <t>$0.05/kWh</t>
  </si>
  <si>
    <t>(period of 10-12 months)</t>
  </si>
  <si>
    <t>PSE Monitoring-Based Cx Process:</t>
  </si>
  <si>
    <t>$0.10/sq.ft.</t>
  </si>
  <si>
    <t>PSE Gas (other Elec.)</t>
  </si>
  <si>
    <t>PSE Electric (other gas)</t>
  </si>
  <si>
    <t>All PSE (Gas &amp; Elec.  or Elec. only)</t>
  </si>
  <si>
    <t>Performance Incentive 1 &gt;&gt;</t>
  </si>
  <si>
    <t>Performance Incentive 2 &gt;&gt;</t>
  </si>
  <si>
    <t>(period of 20-24 months)</t>
  </si>
  <si>
    <t>7. The PSE EME will confirm the project completion and prepare a payment request for the base grant amount. The performance period, 10-12 and 20-24 months, begins at this point.</t>
  </si>
  <si>
    <t>4. Contract created between PSE and the customer OR contractor.</t>
  </si>
  <si>
    <t>$0.05/sq.ft.</t>
  </si>
  <si>
    <t>$0.15/sq.ft.</t>
  </si>
  <si>
    <t>The PSE Monitoring-Based Commisssioning (MBCx) program takes commissioning to the next leve by using software to collect, analyze and report data to optimize builidng energy performance and efficiency.</t>
  </si>
  <si>
    <t>a. "Pre-Screen" tab</t>
  </si>
  <si>
    <t>This document serves as an initial screening tool to determine whether the building(s) would be a good candidate for this program or other programs within the PSE energy efficiency portfolio. Please mark the statements below that apply and submit to your PSE representative with a PSE Application for consideration.</t>
  </si>
  <si>
    <r>
      <t xml:space="preserve">List other reasons this building(s) is a good candidate. </t>
    </r>
    <r>
      <rPr>
        <sz val="10"/>
        <rFont val="Arial"/>
        <family val="2"/>
      </rPr>
      <t>Include HVAC/lighting/controls issues building has had, findings from walk-through</t>
    </r>
    <r>
      <rPr>
        <b/>
        <sz val="10"/>
        <rFont val="Arial"/>
        <family val="2"/>
      </rPr>
      <t xml:space="preserve">: </t>
    </r>
  </si>
  <si>
    <t xml:space="preserve">Directions: Note changes that have a major impact on energy use but were not a result of the commissioning (Cx) process. </t>
  </si>
  <si>
    <t>Date of Start of Cx Process:</t>
  </si>
  <si>
    <t>Date of Final Cx Report:</t>
  </si>
  <si>
    <t xml:space="preserve">1. Customer or Cx Professional to complete the following tabs and submit pdf copies to: commissioning@pse.com: </t>
  </si>
  <si>
    <t>3. Kickoff meeting with PSE, the customer, and the Cx Professional to discuss program commitments, benefits, and performance/grant targets</t>
  </si>
  <si>
    <t>5. The Cx Professional performs an initial review of your building’s systems to identify and report both O&amp;M and potential capital opportunities for evaluation and implementation.</t>
  </si>
  <si>
    <t>Project Name/Facility:</t>
  </si>
  <si>
    <t>Traininer(s)</t>
  </si>
  <si>
    <t>Hands on Training  OR Other O&amp;M Staff Time</t>
  </si>
  <si>
    <t>Date</t>
  </si>
  <si>
    <t>Hours</t>
  </si>
  <si>
    <t>Staff Name (First/Last)</t>
  </si>
  <si>
    <t>Title</t>
  </si>
  <si>
    <t>Activity/Topic</t>
  </si>
  <si>
    <t>Training Met Needs (y/n)</t>
  </si>
  <si>
    <t>Facility Guide Training</t>
  </si>
  <si>
    <t>INVESTIGATION</t>
  </si>
  <si>
    <t xml:space="preserve"> REPORT </t>
  </si>
  <si>
    <t>Energy Rates $</t>
  </si>
  <si>
    <t>kWh:</t>
  </si>
  <si>
    <t>Schedule</t>
  </si>
  <si>
    <t>kWh Savings</t>
  </si>
  <si>
    <t>kWh std. dev.</t>
  </si>
  <si>
    <t>Therm Savings</t>
  </si>
  <si>
    <t>Therm std. dev.</t>
  </si>
  <si>
    <t>Therm:</t>
  </si>
  <si>
    <t>Owner Max Required Implementation Cost:</t>
  </si>
  <si>
    <t>Facility Conditioned Sqft</t>
  </si>
  <si>
    <t>required $/sqft</t>
  </si>
  <si>
    <t>Max Required Implementation Cost</t>
  </si>
  <si>
    <t>IMPROVEMENT</t>
  </si>
  <si>
    <t>ESTIMATED SAVINGS</t>
  </si>
  <si>
    <t>IMPLEMENTATION</t>
  </si>
  <si>
    <t>VERIFIED?</t>
  </si>
  <si>
    <t>Electric Savings</t>
  </si>
  <si>
    <t>Gas Savings</t>
  </si>
  <si>
    <t>Electric Stats</t>
  </si>
  <si>
    <t>Gas Stats</t>
  </si>
  <si>
    <t>EEI #</t>
  </si>
  <si>
    <t>Existing Condition (Pre)</t>
  </si>
  <si>
    <t>Proposed Condition (Post)</t>
  </si>
  <si>
    <t>SPB (yrs)</t>
  </si>
  <si>
    <t>Calc. (y/n)</t>
  </si>
  <si>
    <t>Pessimistic est. (kWhs)</t>
  </si>
  <si>
    <t>Optimistic est. (kWhs)</t>
  </si>
  <si>
    <t>Most Likely est. (kWhs)</t>
  </si>
  <si>
    <t>Expected Value (kWhs)</t>
  </si>
  <si>
    <t>Pessimistic est. (therms)</t>
  </si>
  <si>
    <t>Optimistic est. (therms)</t>
  </si>
  <si>
    <t>Most Likely est. (therms)</t>
  </si>
  <si>
    <t>Expected Value (therms)</t>
  </si>
  <si>
    <t>Cost Savings ($)</t>
  </si>
  <si>
    <t>Date Done</t>
  </si>
  <si>
    <t>Y/N</t>
  </si>
  <si>
    <t>Std. Deviation (σ)</t>
  </si>
  <si>
    <t>Variance (σ²)</t>
  </si>
  <si>
    <t>SUMMARY</t>
  </si>
  <si>
    <t>SUPPORTING DATA FOR SPREADSHEET:</t>
  </si>
  <si>
    <t>REPORT TYPE</t>
  </si>
  <si>
    <t>FINAL</t>
  </si>
  <si>
    <t xml:space="preserve">Directions: Add in dates based on max requirements; add notes as needed, complete participant information, update with actual completion dates  </t>
  </si>
  <si>
    <t>TASKS</t>
  </si>
  <si>
    <t>DATES OF COMPLETION</t>
  </si>
  <si>
    <r>
      <t xml:space="preserve">Suggested &amp; Maximum Time Frames &amp; Notes
 </t>
    </r>
    <r>
      <rPr>
        <sz val="10"/>
        <rFont val="Arial"/>
        <family val="2"/>
      </rPr>
      <t>(*PSE Review Max 2 weeks after submittal)</t>
    </r>
  </si>
  <si>
    <t>CX Provider</t>
  </si>
  <si>
    <t>PSE Review*</t>
  </si>
  <si>
    <t>Owner</t>
  </si>
  <si>
    <t>2. Install sub-metering if needed</t>
  </si>
  <si>
    <r>
      <t xml:space="preserve">Min 2 months </t>
    </r>
    <r>
      <rPr>
        <sz val="10"/>
        <rFont val="Arial"/>
        <family val="2"/>
      </rPr>
      <t>prior to Investigation</t>
    </r>
  </si>
  <si>
    <t xml:space="preserve">3 months </t>
  </si>
  <si>
    <r>
      <rPr>
        <b/>
        <sz val="11"/>
        <color indexed="8"/>
        <rFont val="Calibri"/>
        <family val="2"/>
      </rPr>
      <t>0.5 months</t>
    </r>
    <r>
      <rPr>
        <sz val="10"/>
        <rFont val="Arial"/>
        <family val="2"/>
      </rPr>
      <t xml:space="preserve"> after Facility Guide </t>
    </r>
  </si>
  <si>
    <t xml:space="preserve">PARTICIPANTS </t>
  </si>
  <si>
    <t>Role</t>
  </si>
  <si>
    <t>Name &amp; Title</t>
  </si>
  <si>
    <t>Contact Info (phone &amp; e-mail)</t>
  </si>
  <si>
    <t>PSE Engineer</t>
  </si>
  <si>
    <t>CX Professional Lead</t>
  </si>
  <si>
    <t>CX Professional Other</t>
  </si>
  <si>
    <t>Owner Lead</t>
  </si>
  <si>
    <t xml:space="preserve">Owner Training Participants </t>
  </si>
  <si>
    <t>Prior to grant</t>
  </si>
  <si>
    <t xml:space="preserve">     a. Scope of Work (incl. cost)</t>
  </si>
  <si>
    <t xml:space="preserve">     b. Initial CX Plan</t>
  </si>
  <si>
    <t>1. Proposal</t>
  </si>
  <si>
    <t>3. MBCx Planning Phase</t>
  </si>
  <si>
    <t xml:space="preserve">     a. Create/Update CFR</t>
  </si>
  <si>
    <t xml:space="preserve">     b. Create MAP</t>
  </si>
  <si>
    <t xml:space="preserve">     c. Create training plan</t>
  </si>
  <si>
    <t xml:space="preserve">     b. Calibrate sensors</t>
  </si>
  <si>
    <t>4. EMIS Configure Phase</t>
  </si>
  <si>
    <t xml:space="preserve">     a. Define data configuration requirements</t>
  </si>
  <si>
    <t xml:space="preserve">     c. Configure FDD</t>
  </si>
  <si>
    <t xml:space="preserve">     d. Implement anomaly tracking</t>
  </si>
  <si>
    <t>5. Implementation Phase</t>
  </si>
  <si>
    <t xml:space="preserve">     a. Identify issues and opportunities</t>
  </si>
  <si>
    <t xml:space="preserve">     b. Investigate and analze </t>
  </si>
  <si>
    <t xml:space="preserve">     c. Identify and implement actions</t>
  </si>
  <si>
    <t xml:space="preserve">     d. Verify improvements</t>
  </si>
  <si>
    <t xml:space="preserve">     b. Quarterly meeting/reporting</t>
  </si>
  <si>
    <t xml:space="preserve">     a. Updated MBCx plan</t>
  </si>
  <si>
    <t xml:space="preserve">     b. Reporting (TBD)</t>
  </si>
  <si>
    <t>6. Facility Guide</t>
  </si>
  <si>
    <t>7. Formal Training</t>
  </si>
  <si>
    <t xml:space="preserve">9. 1st &amp; 2nd Year Performance Bonus </t>
  </si>
  <si>
    <t xml:space="preserve">     c. Implementation cost tracking</t>
  </si>
  <si>
    <t xml:space="preserve">     a. Issues/anomalies log</t>
  </si>
  <si>
    <t>All items a through d are discussed during the quarterly</t>
  </si>
  <si>
    <t>meetings and tracked</t>
  </si>
  <si>
    <t xml:space="preserve">Min 3 months (quarterly/iterative) </t>
  </si>
  <si>
    <r>
      <rPr>
        <b/>
        <sz val="11"/>
        <color indexed="8"/>
        <rFont val="Calibri"/>
        <family val="2"/>
      </rPr>
      <t xml:space="preserve">Max 1 month </t>
    </r>
    <r>
      <rPr>
        <sz val="10"/>
        <rFont val="Arial"/>
        <family val="2"/>
      </rPr>
      <t>after first verification cycle</t>
    </r>
  </si>
  <si>
    <t>prior to performance payments</t>
  </si>
  <si>
    <t>During 1st &amp; 2nd year after Facility Guide completion and</t>
  </si>
  <si>
    <t xml:space="preserve"> CX Provider (individual/company):</t>
  </si>
  <si>
    <t>6. The Cx Professional completes implementation work and provides documentation to PSE and the customer (MBCx Plan) along with quarterly (MIN) reporting on the MBCx process.</t>
  </si>
  <si>
    <t>8. Following the performance period, PSE EME will evaluate the annual energy savings and submit a payment request for the appropriate performance grant amount.</t>
  </si>
  <si>
    <r>
      <t>MBCx Sheet Descriptions</t>
    </r>
    <r>
      <rPr>
        <b/>
        <sz val="10"/>
        <rFont val="Arial"/>
        <family val="2"/>
      </rPr>
      <t>:</t>
    </r>
  </si>
  <si>
    <t>• Prescreen sheet is to be completed and submitted with application for preapproval.</t>
  </si>
  <si>
    <t>• IncentiveEst can be used by any party to quantify savings and incentive levels.</t>
  </si>
  <si>
    <t>• EEI_SummaryTable is used during the investigation phase of commissioning.</t>
  </si>
  <si>
    <t>• Cx_Schedule should be provided by Cx Professional with Cx plan.</t>
  </si>
  <si>
    <t>•The implementation cost and training tracking should be used through the Cx phase and provide to PSE for payment.</t>
  </si>
  <si>
    <t>• Performance_Changes should be provided at the end of the performance period for payment.</t>
  </si>
  <si>
    <t>c. PSE project application form</t>
  </si>
  <si>
    <t xml:space="preserve">b. Cx Professional application </t>
  </si>
  <si>
    <t>Monitoring-Based Cx Incentive/Goals: Calculator - Ver 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</si>
</sst>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000"/>
    <numFmt numFmtId="167" formatCode="&quot;$&quot;#,##0.0000_);[Red]\(&quot;$&quot;#,##0.0000\)"/>
    <numFmt numFmtId="168" formatCode="###,##0&quot; sq.ft.&quot;"/>
    <numFmt numFmtId="169" formatCode="_(* #,##0.0000_);_(* \(#,##0.0000\);_(* &quot;-&quot;??_);_(@_)"/>
    <numFmt numFmtId="170" formatCode="_(&quot;$&quot;* #,##0.0000_);_(&quot;$&quot;* \(#,##0.0000\);_(&quot;$&quot;* &quot;-&quot;??_);_(@_)"/>
    <numFmt numFmtId="171" formatCode="0.0000%"/>
    <numFmt numFmtId="172" formatCode="_(* #,##0_);_(* \(#,##0\);_(* &quot;-&quot;??_);_(@_)"/>
    <numFmt numFmtId="173" formatCode="_(* #,##0.0_);_(* \(#,##0.0\);_(* &quot;-&quot;??_);_(@_)"/>
    <numFmt numFmtId="174" formatCode="0.00000"/>
    <numFmt numFmtId="175" formatCode="0.0%"/>
    <numFmt numFmtId="176" formatCode="0.00000%"/>
    <numFmt numFmtId="177" formatCode="_(&quot;$&quot;* #,##0.000_);_(&quot;$&quot;* \(#,##0.000\);_(&quot;$&quot;* &quot;-&quot;??_);_(@_)"/>
    <numFmt numFmtId="178" formatCode="_(* #,##0.000_);_(* \(#,##0.000\);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4"/>
      <name val="Arial"/>
      <family val="2"/>
    </font>
    <font>
      <sz val="10"/>
      <name val="Arial"/>
      <family val="2"/>
    </font>
    <font>
      <b/>
      <sz val="10"/>
      <name val="Arial"/>
      <family val="2"/>
    </font>
    <font>
      <b/>
      <u/>
      <sz val="10"/>
      <name val="Arial"/>
      <family val="2"/>
    </font>
    <font>
      <sz val="9"/>
      <name val="Arial"/>
      <family val="2"/>
    </font>
    <font>
      <b/>
      <sz val="9"/>
      <name val="Arial"/>
      <family val="2"/>
    </font>
    <font>
      <sz val="10"/>
      <color theme="0"/>
      <name val="Arial"/>
      <family val="2"/>
    </font>
    <font>
      <u/>
      <sz val="10"/>
      <name val="Arial"/>
      <family val="2"/>
    </font>
    <font>
      <sz val="10"/>
      <color theme="1"/>
      <name val="Arial"/>
      <family val="2"/>
    </font>
    <font>
      <b/>
      <i/>
      <sz val="10"/>
      <name val="Arial"/>
      <family val="2"/>
    </font>
    <font>
      <i/>
      <sz val="10"/>
      <color theme="1" tint="0.249977111117893"/>
      <name val="Arial"/>
      <family val="2"/>
    </font>
    <font>
      <sz val="10"/>
      <color rgb="FF333333"/>
      <name val="Arial"/>
      <family val="2"/>
    </font>
    <font>
      <u/>
      <sz val="11"/>
      <color theme="10"/>
      <name val="Calibri"/>
      <family val="2"/>
      <scheme val="minor"/>
    </font>
    <font>
      <i/>
      <sz val="10"/>
      <name val="Arial"/>
      <family val="2"/>
    </font>
    <font>
      <sz val="10"/>
      <name val="Arial"/>
      <family val="2"/>
    </font>
    <font>
      <b/>
      <sz val="11"/>
      <color theme="1"/>
      <name val="Calibri"/>
      <family val="2"/>
      <scheme val="minor"/>
    </font>
    <font>
      <sz val="11"/>
      <color theme="0"/>
      <name val="Calibri"/>
      <family val="2"/>
      <scheme val="minor"/>
    </font>
    <font>
      <b/>
      <sz val="18"/>
      <color theme="0"/>
      <name val="Arial"/>
      <family val="2"/>
    </font>
    <font>
      <sz val="11"/>
      <name val="Calibri"/>
      <family val="2"/>
      <scheme val="minor"/>
    </font>
    <font>
      <b/>
      <sz val="10"/>
      <color theme="1"/>
      <name val="Arial"/>
      <family val="2"/>
    </font>
    <font>
      <i/>
      <sz val="10"/>
      <color theme="1"/>
      <name val="Arial"/>
      <family val="2"/>
    </font>
    <font>
      <b/>
      <sz val="12"/>
      <color theme="0"/>
      <name val="Arial"/>
      <family val="2"/>
    </font>
    <font>
      <u/>
      <sz val="10"/>
      <color theme="1"/>
      <name val="Arial"/>
      <family val="2"/>
    </font>
    <font>
      <sz val="10"/>
      <color theme="1"/>
      <name val="Calibri"/>
      <family val="2"/>
      <scheme val="minor"/>
    </font>
    <font>
      <b/>
      <sz val="10"/>
      <color theme="0"/>
      <name val="Arial"/>
      <family val="2"/>
    </font>
    <font>
      <b/>
      <sz val="9"/>
      <color theme="1"/>
      <name val="Arial"/>
      <family val="2"/>
    </font>
    <font>
      <sz val="9"/>
      <color theme="1"/>
      <name val="Arial"/>
      <family val="2"/>
    </font>
    <font>
      <b/>
      <sz val="9"/>
      <color indexed="81"/>
      <name val="Tahoma"/>
      <family val="2"/>
    </font>
    <font>
      <sz val="9"/>
      <color indexed="81"/>
      <name val="Tahoma"/>
      <family val="2"/>
    </font>
    <font>
      <sz val="11"/>
      <color theme="1"/>
      <name val="Arial"/>
      <family val="2"/>
    </font>
    <font>
      <b/>
      <sz val="14"/>
      <name val="Garamond"/>
      <family val="1"/>
    </font>
    <font>
      <b/>
      <sz val="14"/>
      <name val="Arial"/>
      <family val="2"/>
    </font>
    <font>
      <sz val="10"/>
      <name val="Calibri"/>
      <family val="2"/>
    </font>
    <font>
      <sz val="11"/>
      <name val="Arial"/>
      <family val="2"/>
    </font>
    <font>
      <sz val="12"/>
      <name val="Arial"/>
      <family val="2"/>
    </font>
    <font>
      <b/>
      <sz val="10"/>
      <color indexed="81"/>
      <name val="Tahoma"/>
      <family val="2"/>
    </font>
    <font>
      <sz val="10"/>
      <color indexed="81"/>
      <name val="Tahoma"/>
      <family val="2"/>
    </font>
    <font>
      <b/>
      <sz val="14"/>
      <color theme="1"/>
      <name val="Garamond"/>
      <family val="1"/>
    </font>
    <font>
      <sz val="11"/>
      <color theme="1"/>
      <name val="Cambria"/>
      <family val="1"/>
      <scheme val="major"/>
    </font>
    <font>
      <b/>
      <sz val="11"/>
      <color indexed="8"/>
      <name val="Calibri"/>
      <family val="2"/>
    </font>
    <font>
      <sz val="11"/>
      <color theme="1"/>
      <name val="Calibri"/>
      <family val="2"/>
    </font>
    <font>
      <sz val="11"/>
      <color rgb="FFFF0000"/>
      <name val="Cambria"/>
      <family val="1"/>
      <scheme val="major"/>
    </font>
    <font>
      <b/>
      <u val="singleAccounting"/>
      <sz val="10"/>
      <name val="Arial"/>
      <family val="2"/>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0D816E"/>
        <bgColor indexed="64"/>
      </patternFill>
    </fill>
    <fill>
      <patternFill patternType="solid">
        <fgColor indexed="9"/>
        <bgColor indexed="64"/>
      </patternFill>
    </fill>
    <fill>
      <patternFill patternType="solid">
        <fgColor rgb="FFFFFF99"/>
        <bgColor indexed="64"/>
      </patternFill>
    </fill>
    <fill>
      <patternFill patternType="solid">
        <fgColor theme="0" tint="-4.9989318521683403E-2"/>
        <bgColor indexed="64"/>
      </patternFill>
    </fill>
    <fill>
      <patternFill patternType="lightDown">
        <bgColor theme="0" tint="-0.249977111117893"/>
      </patternFill>
    </fill>
    <fill>
      <patternFill patternType="solid">
        <fgColor theme="8" tint="0.39997558519241921"/>
        <bgColor indexed="64"/>
      </patternFill>
    </fill>
    <fill>
      <patternFill patternType="solid">
        <fgColor theme="0" tint="-0.14999847407452621"/>
        <bgColor indexed="64"/>
      </patternFill>
    </fill>
    <fill>
      <patternFill patternType="solid">
        <fgColor indexed="22"/>
        <bgColor indexed="64"/>
      </patternFill>
    </fill>
    <fill>
      <patternFill patternType="solid">
        <fgColor theme="6" tint="0.59999389629810485"/>
        <bgColor indexed="64"/>
      </patternFill>
    </fill>
  </fills>
  <borders count="75">
    <border>
      <left/>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4">
    <xf numFmtId="0" fontId="0" fillId="0" borderId="0"/>
    <xf numFmtId="43" fontId="12" fillId="0" borderId="0" applyFont="0" applyFill="0" applyBorder="0" applyAlignment="0" applyProtection="0"/>
    <xf numFmtId="44" fontId="12" fillId="0" borderId="0" applyFont="0" applyFill="0" applyBorder="0" applyAlignment="0" applyProtection="0"/>
    <xf numFmtId="0" fontId="12" fillId="0" borderId="0"/>
    <xf numFmtId="0" fontId="8" fillId="0" borderId="0"/>
    <xf numFmtId="0" fontId="7" fillId="0" borderId="0"/>
    <xf numFmtId="0" fontId="9" fillId="0" borderId="0"/>
    <xf numFmtId="0" fontId="23" fillId="0" borderId="0" applyNumberFormat="0" applyFill="0" applyBorder="0" applyAlignment="0" applyProtection="0"/>
    <xf numFmtId="43" fontId="9" fillId="0" borderId="0" applyFont="0" applyFill="0" applyBorder="0" applyAlignment="0" applyProtection="0"/>
    <xf numFmtId="0" fontId="6" fillId="0" borderId="0"/>
    <xf numFmtId="0" fontId="9" fillId="0" borderId="0"/>
    <xf numFmtId="44" fontId="9" fillId="0" borderId="0" applyFont="0" applyFill="0" applyBorder="0" applyAlignment="0" applyProtection="0"/>
    <xf numFmtId="9" fontId="6" fillId="0" borderId="0" applyFont="0" applyFill="0" applyBorder="0" applyAlignment="0" applyProtection="0"/>
    <xf numFmtId="0" fontId="9" fillId="0" borderId="0"/>
    <xf numFmtId="44" fontId="9" fillId="0" borderId="0" applyFont="0" applyFill="0" applyBorder="0" applyAlignment="0" applyProtection="0"/>
    <xf numFmtId="0" fontId="5" fillId="0" borderId="0"/>
    <xf numFmtId="9" fontId="5" fillId="0" borderId="0" applyFont="0" applyFill="0" applyBorder="0" applyAlignment="0" applyProtection="0"/>
    <xf numFmtId="44" fontId="2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2" fillId="0" borderId="0"/>
    <xf numFmtId="0" fontId="9" fillId="0" borderId="0"/>
  </cellStyleXfs>
  <cellXfs count="827">
    <xf numFmtId="0" fontId="0" fillId="0" borderId="0" xfId="0"/>
    <xf numFmtId="0" fontId="12" fillId="0" borderId="0" xfId="3"/>
    <xf numFmtId="0" fontId="12" fillId="0" borderId="0" xfId="3" applyBorder="1"/>
    <xf numFmtId="0" fontId="12" fillId="0" borderId="6" xfId="3" applyBorder="1"/>
    <xf numFmtId="0" fontId="13" fillId="0" borderId="9" xfId="3" applyFont="1" applyBorder="1" applyAlignment="1">
      <alignment horizontal="center"/>
    </xf>
    <xf numFmtId="0" fontId="13" fillId="0" borderId="20" xfId="3" applyFont="1" applyBorder="1"/>
    <xf numFmtId="0" fontId="13" fillId="0" borderId="1" xfId="3" applyFont="1" applyBorder="1"/>
    <xf numFmtId="0" fontId="13" fillId="0" borderId="21" xfId="3" applyFont="1" applyBorder="1"/>
    <xf numFmtId="8" fontId="12" fillId="0" borderId="26" xfId="3" applyNumberFormat="1" applyBorder="1"/>
    <xf numFmtId="8" fontId="12" fillId="0" borderId="0" xfId="3" applyNumberFormat="1" applyBorder="1"/>
    <xf numFmtId="0" fontId="12" fillId="0" borderId="10" xfId="3" applyBorder="1"/>
    <xf numFmtId="8" fontId="12" fillId="0" borderId="45" xfId="3" applyNumberFormat="1" applyBorder="1"/>
    <xf numFmtId="0" fontId="12" fillId="0" borderId="16" xfId="3" applyBorder="1"/>
    <xf numFmtId="8" fontId="12" fillId="0" borderId="40" xfId="3" applyNumberFormat="1" applyBorder="1"/>
    <xf numFmtId="8" fontId="12" fillId="0" borderId="6" xfId="3" applyNumberFormat="1" applyBorder="1"/>
    <xf numFmtId="0" fontId="12" fillId="0" borderId="17" xfId="3" applyBorder="1"/>
    <xf numFmtId="0" fontId="12" fillId="0" borderId="44" xfId="3" applyBorder="1" applyAlignment="1">
      <alignment horizontal="center"/>
    </xf>
    <xf numFmtId="0" fontId="12" fillId="0" borderId="16" xfId="3" applyBorder="1" applyAlignment="1">
      <alignment horizontal="center"/>
    </xf>
    <xf numFmtId="0" fontId="12" fillId="0" borderId="0" xfId="3" applyBorder="1" applyAlignment="1">
      <alignment horizontal="center"/>
    </xf>
    <xf numFmtId="0" fontId="12" fillId="0" borderId="0" xfId="3" applyBorder="1" applyAlignment="1">
      <alignment horizontal="right"/>
    </xf>
    <xf numFmtId="0" fontId="12" fillId="0" borderId="8" xfId="3" applyBorder="1"/>
    <xf numFmtId="0" fontId="12" fillId="0" borderId="18" xfId="3" applyBorder="1"/>
    <xf numFmtId="0" fontId="12" fillId="0" borderId="7" xfId="3" applyBorder="1" applyAlignment="1">
      <alignment horizontal="center" vertical="center"/>
    </xf>
    <xf numFmtId="0" fontId="12" fillId="0" borderId="0" xfId="3" applyAlignment="1"/>
    <xf numFmtId="0" fontId="12" fillId="0" borderId="17" xfId="3" applyBorder="1" applyAlignment="1">
      <alignment horizontal="center"/>
    </xf>
    <xf numFmtId="0" fontId="12" fillId="0" borderId="6" xfId="3" applyBorder="1" applyAlignment="1"/>
    <xf numFmtId="0" fontId="13" fillId="0" borderId="15" xfId="3" applyFont="1" applyBorder="1" applyAlignment="1">
      <alignment vertical="center"/>
    </xf>
    <xf numFmtId="0" fontId="12" fillId="0" borderId="0" xfId="3" applyBorder="1" applyAlignment="1"/>
    <xf numFmtId="0" fontId="13" fillId="0" borderId="11" xfId="3" applyFont="1" applyBorder="1" applyAlignment="1">
      <alignment vertical="center"/>
    </xf>
    <xf numFmtId="0" fontId="13" fillId="0" borderId="0" xfId="3" applyFont="1" applyBorder="1"/>
    <xf numFmtId="0" fontId="12" fillId="0" borderId="0" xfId="3" applyBorder="1" applyAlignment="1">
      <alignment vertical="center" wrapText="1"/>
    </xf>
    <xf numFmtId="0" fontId="13" fillId="0" borderId="11" xfId="3" applyFont="1" applyBorder="1"/>
    <xf numFmtId="0" fontId="13" fillId="0" borderId="2" xfId="3" applyFont="1" applyBorder="1" applyAlignment="1">
      <alignment horizontal="right"/>
    </xf>
    <xf numFmtId="0" fontId="12" fillId="0" borderId="2" xfId="3" applyBorder="1" applyAlignment="1"/>
    <xf numFmtId="0" fontId="12" fillId="0" borderId="2" xfId="3" applyFont="1" applyBorder="1"/>
    <xf numFmtId="0" fontId="12" fillId="0" borderId="2" xfId="3" applyBorder="1" applyAlignment="1">
      <alignment vertical="center" wrapText="1"/>
    </xf>
    <xf numFmtId="0" fontId="13" fillId="0" borderId="37" xfId="3" applyFont="1" applyBorder="1"/>
    <xf numFmtId="0" fontId="13" fillId="0" borderId="8" xfId="3" applyFont="1" applyBorder="1" applyAlignment="1">
      <alignment horizontal="right"/>
    </xf>
    <xf numFmtId="0" fontId="13" fillId="0" borderId="7" xfId="3" applyFont="1" applyBorder="1" applyAlignment="1">
      <alignment vertical="center"/>
    </xf>
    <xf numFmtId="0" fontId="11" fillId="0" borderId="0" xfId="3" applyFont="1" applyBorder="1" applyAlignment="1">
      <alignment horizontal="center" wrapText="1"/>
    </xf>
    <xf numFmtId="0" fontId="12" fillId="0" borderId="0" xfId="3" applyBorder="1" applyAlignment="1">
      <alignment horizontal="left" wrapText="1"/>
    </xf>
    <xf numFmtId="0" fontId="12" fillId="0" borderId="0" xfId="3" applyBorder="1" applyAlignment="1">
      <alignment horizontal="left"/>
    </xf>
    <xf numFmtId="0" fontId="12" fillId="0" borderId="7" xfId="3" applyBorder="1" applyAlignment="1">
      <alignment horizontal="left"/>
    </xf>
    <xf numFmtId="0" fontId="12" fillId="0" borderId="8" xfId="3" applyBorder="1" applyAlignment="1">
      <alignment horizontal="left"/>
    </xf>
    <xf numFmtId="0" fontId="12" fillId="0" borderId="18" xfId="3" applyBorder="1" applyAlignment="1">
      <alignment horizontal="left"/>
    </xf>
    <xf numFmtId="0" fontId="12" fillId="0" borderId="0" xfId="3" applyFont="1" applyBorder="1" applyAlignment="1">
      <alignment horizontal="right"/>
    </xf>
    <xf numFmtId="0" fontId="12" fillId="0" borderId="11" xfId="3" applyBorder="1"/>
    <xf numFmtId="0" fontId="13" fillId="0" borderId="47" xfId="3" applyFont="1" applyBorder="1" applyAlignment="1">
      <alignment horizontal="center"/>
    </xf>
    <xf numFmtId="0" fontId="13" fillId="0" borderId="48" xfId="3" applyFont="1" applyBorder="1" applyAlignment="1">
      <alignment horizontal="center"/>
    </xf>
    <xf numFmtId="0" fontId="13" fillId="0" borderId="43" xfId="3" applyFont="1" applyBorder="1" applyAlignment="1">
      <alignment horizontal="center" wrapText="1"/>
    </xf>
    <xf numFmtId="0" fontId="13" fillId="0" borderId="0" xfId="3" applyFont="1" applyBorder="1" applyAlignment="1">
      <alignment horizontal="left"/>
    </xf>
    <xf numFmtId="8" fontId="12" fillId="0" borderId="0" xfId="3" applyNumberFormat="1"/>
    <xf numFmtId="0" fontId="13" fillId="0" borderId="40" xfId="3" applyFont="1" applyBorder="1"/>
    <xf numFmtId="44" fontId="13" fillId="0" borderId="41" xfId="3" applyNumberFormat="1" applyFont="1" applyBorder="1"/>
    <xf numFmtId="0" fontId="9" fillId="0" borderId="0" xfId="6" applyFont="1"/>
    <xf numFmtId="0" fontId="14" fillId="0" borderId="0" xfId="6" applyFont="1"/>
    <xf numFmtId="0" fontId="9" fillId="0" borderId="0" xfId="6" applyFont="1" applyBorder="1"/>
    <xf numFmtId="0" fontId="9" fillId="0" borderId="2" xfId="6" applyFont="1" applyBorder="1"/>
    <xf numFmtId="0" fontId="9" fillId="0" borderId="0" xfId="6" applyFont="1" applyFill="1" applyBorder="1"/>
    <xf numFmtId="0" fontId="9" fillId="0" borderId="0" xfId="6" applyFont="1" applyFill="1"/>
    <xf numFmtId="0" fontId="9" fillId="0" borderId="0" xfId="6" applyFont="1" applyBorder="1" applyAlignment="1">
      <alignment horizontal="right"/>
    </xf>
    <xf numFmtId="0" fontId="9" fillId="0" borderId="2" xfId="6" applyFont="1" applyBorder="1" applyAlignment="1"/>
    <xf numFmtId="0" fontId="9" fillId="0" borderId="0" xfId="6" applyFont="1" applyBorder="1" applyAlignment="1"/>
    <xf numFmtId="0" fontId="21" fillId="0" borderId="0" xfId="6" applyFont="1" applyFill="1" applyBorder="1"/>
    <xf numFmtId="165" fontId="21" fillId="0" borderId="0" xfId="6" applyNumberFormat="1" applyFont="1" applyFill="1"/>
    <xf numFmtId="0" fontId="21" fillId="0" borderId="0" xfId="6" applyFont="1" applyFill="1"/>
    <xf numFmtId="165" fontId="9" fillId="4" borderId="5" xfId="6" applyNumberFormat="1" applyFont="1" applyFill="1" applyBorder="1" applyProtection="1">
      <protection locked="0"/>
    </xf>
    <xf numFmtId="165" fontId="9" fillId="0" borderId="5" xfId="6" applyNumberFormat="1" applyFont="1" applyBorder="1"/>
    <xf numFmtId="0" fontId="9" fillId="0" borderId="0" xfId="6" applyFont="1" applyAlignment="1">
      <alignment horizontal="right"/>
    </xf>
    <xf numFmtId="0" fontId="22" fillId="0" borderId="0" xfId="6" applyFont="1"/>
    <xf numFmtId="0" fontId="17" fillId="0" borderId="0" xfId="6" applyFont="1" applyFill="1"/>
    <xf numFmtId="0" fontId="9" fillId="0" borderId="0" xfId="6" applyFont="1" applyAlignment="1">
      <alignment horizontal="left" wrapText="1"/>
    </xf>
    <xf numFmtId="0" fontId="23" fillId="0" borderId="0" xfId="7" applyFill="1" applyAlignment="1">
      <alignment horizontal="left" wrapText="1"/>
    </xf>
    <xf numFmtId="0" fontId="23" fillId="0" borderId="0" xfId="7" applyFill="1" applyAlignment="1">
      <alignment wrapText="1"/>
    </xf>
    <xf numFmtId="0" fontId="9" fillId="0" borderId="0" xfId="6" applyFont="1" applyBorder="1" applyAlignment="1">
      <alignment horizontal="left"/>
    </xf>
    <xf numFmtId="0" fontId="9" fillId="0" borderId="0" xfId="6" applyFont="1" applyAlignment="1">
      <alignment vertical="top" wrapText="1"/>
    </xf>
    <xf numFmtId="0" fontId="9" fillId="0" borderId="0" xfId="6" applyFont="1" applyFill="1" applyBorder="1" applyAlignment="1"/>
    <xf numFmtId="0" fontId="24" fillId="0" borderId="0" xfId="6" applyFont="1"/>
    <xf numFmtId="0" fontId="9" fillId="4" borderId="3" xfId="6" applyFont="1" applyFill="1" applyBorder="1" applyAlignment="1" applyProtection="1">
      <alignment horizontal="center"/>
      <protection locked="0"/>
    </xf>
    <xf numFmtId="41" fontId="19" fillId="0" borderId="0" xfId="8" applyNumberFormat="1" applyFont="1" applyBorder="1" applyAlignment="1"/>
    <xf numFmtId="0" fontId="9" fillId="0" borderId="0" xfId="6" applyFont="1" applyAlignment="1">
      <alignment horizontal="right" vertical="center" wrapText="1"/>
    </xf>
    <xf numFmtId="0" fontId="9" fillId="4" borderId="2" xfId="6" applyFont="1" applyFill="1" applyBorder="1" applyAlignment="1" applyProtection="1">
      <alignment horizontal="center"/>
      <protection locked="0"/>
    </xf>
    <xf numFmtId="0" fontId="18" fillId="0" borderId="0" xfId="6" applyFont="1" applyBorder="1"/>
    <xf numFmtId="0" fontId="18" fillId="0" borderId="0" xfId="6" applyFont="1"/>
    <xf numFmtId="0" fontId="9" fillId="0" borderId="0" xfId="6" applyFont="1" applyAlignment="1">
      <alignment vertical="center" wrapText="1"/>
    </xf>
    <xf numFmtId="0" fontId="24" fillId="0" borderId="0" xfId="6" applyFont="1" applyAlignment="1"/>
    <xf numFmtId="0" fontId="9" fillId="4" borderId="2" xfId="6" applyFont="1" applyFill="1" applyBorder="1" applyAlignment="1" applyProtection="1">
      <protection locked="0"/>
    </xf>
    <xf numFmtId="168" fontId="19" fillId="4" borderId="2" xfId="8" applyNumberFormat="1" applyFont="1" applyFill="1" applyBorder="1" applyAlignment="1" applyProtection="1">
      <protection locked="0"/>
    </xf>
    <xf numFmtId="0" fontId="9" fillId="0" borderId="0" xfId="6" applyFont="1" applyAlignment="1"/>
    <xf numFmtId="0" fontId="9" fillId="0" borderId="0" xfId="6" applyFont="1" applyAlignment="1">
      <alignment wrapText="1"/>
    </xf>
    <xf numFmtId="14" fontId="9" fillId="4" borderId="2" xfId="6" applyNumberFormat="1" applyFont="1" applyFill="1" applyBorder="1" applyAlignment="1" applyProtection="1">
      <protection locked="0"/>
    </xf>
    <xf numFmtId="0" fontId="9" fillId="0" borderId="0" xfId="6"/>
    <xf numFmtId="0" fontId="16" fillId="0" borderId="0" xfId="10" applyFont="1" applyAlignment="1" applyProtection="1">
      <alignment horizontal="center"/>
    </xf>
    <xf numFmtId="0" fontId="9" fillId="0" borderId="0" xfId="10"/>
    <xf numFmtId="0" fontId="13" fillId="0" borderId="29" xfId="6" applyFont="1" applyBorder="1" applyAlignment="1">
      <alignment horizontal="center" wrapText="1"/>
    </xf>
    <xf numFmtId="0" fontId="9" fillId="0" borderId="29" xfId="6" applyFont="1" applyBorder="1" applyAlignment="1">
      <alignment horizontal="left" wrapText="1"/>
    </xf>
    <xf numFmtId="0" fontId="15" fillId="3" borderId="5" xfId="10" applyFont="1" applyFill="1" applyBorder="1" applyProtection="1"/>
    <xf numFmtId="166" fontId="15" fillId="3" borderId="5" xfId="10" applyNumberFormat="1" applyFont="1" applyFill="1" applyBorder="1" applyAlignment="1" applyProtection="1">
      <alignment horizontal="center"/>
    </xf>
    <xf numFmtId="2" fontId="15" fillId="3" borderId="5" xfId="10" applyNumberFormat="1" applyFont="1" applyFill="1" applyBorder="1" applyAlignment="1" applyProtection="1">
      <alignment horizontal="center"/>
    </xf>
    <xf numFmtId="0" fontId="9" fillId="0" borderId="0" xfId="10" applyFont="1"/>
    <xf numFmtId="0" fontId="13" fillId="0" borderId="5" xfId="6" applyFont="1" applyBorder="1"/>
    <xf numFmtId="44" fontId="0" fillId="0" borderId="5" xfId="11" applyFont="1" applyBorder="1" applyAlignment="1">
      <alignment horizontal="left"/>
    </xf>
    <xf numFmtId="8" fontId="9" fillId="0" borderId="5" xfId="6" applyNumberFormat="1" applyBorder="1" applyAlignment="1"/>
    <xf numFmtId="6" fontId="9" fillId="0" borderId="5" xfId="6" applyNumberFormat="1" applyBorder="1" applyAlignment="1">
      <alignment horizontal="left"/>
    </xf>
    <xf numFmtId="0" fontId="13" fillId="0" borderId="5" xfId="10" applyFont="1" applyBorder="1"/>
    <xf numFmtId="0" fontId="9" fillId="0" borderId="5" xfId="10" applyBorder="1"/>
    <xf numFmtId="167" fontId="9" fillId="0" borderId="5" xfId="10" applyNumberFormat="1" applyBorder="1"/>
    <xf numFmtId="0" fontId="16" fillId="0" borderId="4" xfId="10" applyFont="1" applyFill="1" applyBorder="1" applyAlignment="1" applyProtection="1">
      <alignment horizontal="center"/>
    </xf>
    <xf numFmtId="0" fontId="16" fillId="0" borderId="4" xfId="10" applyFont="1" applyBorder="1" applyAlignment="1" applyProtection="1">
      <alignment horizontal="center"/>
    </xf>
    <xf numFmtId="0" fontId="15" fillId="0" borderId="0" xfId="10" applyFont="1" applyBorder="1" applyProtection="1"/>
    <xf numFmtId="0" fontId="9" fillId="0" borderId="0" xfId="13"/>
    <xf numFmtId="0" fontId="15" fillId="0" borderId="0" xfId="10" applyFont="1" applyProtection="1"/>
    <xf numFmtId="0" fontId="9" fillId="0" borderId="33" xfId="13" applyBorder="1" applyAlignment="1">
      <alignment horizontal="center"/>
    </xf>
    <xf numFmtId="170" fontId="9" fillId="7" borderId="5" xfId="11" applyNumberFormat="1" applyFill="1" applyBorder="1"/>
    <xf numFmtId="170" fontId="9" fillId="0" borderId="5" xfId="11" applyNumberFormat="1" applyFill="1" applyBorder="1"/>
    <xf numFmtId="0" fontId="9" fillId="0" borderId="0" xfId="13" applyProtection="1"/>
    <xf numFmtId="0" fontId="9" fillId="0" borderId="0" xfId="13" applyFont="1"/>
    <xf numFmtId="0" fontId="9" fillId="2" borderId="0" xfId="10" applyFont="1" applyFill="1" applyBorder="1"/>
    <xf numFmtId="167" fontId="9" fillId="2" borderId="0" xfId="10" applyNumberFormat="1" applyFont="1" applyFill="1" applyBorder="1"/>
    <xf numFmtId="44" fontId="0" fillId="0" borderId="0" xfId="14" applyNumberFormat="1" applyFont="1"/>
    <xf numFmtId="0" fontId="9" fillId="0" borderId="0" xfId="6" applyFont="1" applyFill="1" applyAlignment="1">
      <alignment wrapText="1"/>
    </xf>
    <xf numFmtId="44" fontId="0" fillId="4" borderId="29" xfId="2" applyFont="1" applyFill="1" applyBorder="1"/>
    <xf numFmtId="0" fontId="12" fillId="4" borderId="34" xfId="3" applyFill="1" applyBorder="1"/>
    <xf numFmtId="44" fontId="0" fillId="4" borderId="31" xfId="2" applyFont="1" applyFill="1" applyBorder="1"/>
    <xf numFmtId="44" fontId="0" fillId="4" borderId="5" xfId="2" applyFont="1" applyFill="1" applyBorder="1"/>
    <xf numFmtId="0" fontId="12" fillId="4" borderId="22" xfId="3" applyFill="1" applyBorder="1"/>
    <xf numFmtId="44" fontId="0" fillId="4" borderId="39" xfId="2" applyFont="1" applyFill="1" applyBorder="1"/>
    <xf numFmtId="44" fontId="0" fillId="4" borderId="23" xfId="2" applyFont="1" applyFill="1" applyBorder="1"/>
    <xf numFmtId="0" fontId="9" fillId="0" borderId="0" xfId="6" applyFont="1" applyAlignment="1">
      <alignment horizontal="center"/>
    </xf>
    <xf numFmtId="0" fontId="5" fillId="0" borderId="0" xfId="15"/>
    <xf numFmtId="2" fontId="9" fillId="0" borderId="0" xfId="6" applyNumberFormat="1"/>
    <xf numFmtId="0" fontId="5" fillId="0" borderId="0" xfId="15" applyProtection="1"/>
    <xf numFmtId="0" fontId="13" fillId="0" borderId="7" xfId="15" applyFont="1" applyBorder="1" applyAlignment="1" applyProtection="1">
      <alignment horizontal="center"/>
    </xf>
    <xf numFmtId="0" fontId="13" fillId="0" borderId="30" xfId="15" applyFont="1" applyBorder="1" applyAlignment="1">
      <alignment horizontal="center" wrapText="1"/>
    </xf>
    <xf numFmtId="0" fontId="13" fillId="0" borderId="29" xfId="15" applyFont="1" applyBorder="1" applyAlignment="1">
      <alignment horizontal="center" wrapText="1"/>
    </xf>
    <xf numFmtId="0" fontId="13" fillId="0" borderId="28" xfId="15" applyFont="1" applyBorder="1" applyAlignment="1">
      <alignment horizontal="center" wrapText="1"/>
    </xf>
    <xf numFmtId="0" fontId="13" fillId="0" borderId="46" xfId="15" applyFont="1" applyBorder="1" applyAlignment="1" applyProtection="1">
      <alignment horizontal="center"/>
    </xf>
    <xf numFmtId="0" fontId="13" fillId="0" borderId="51" xfId="15" applyFont="1" applyBorder="1" applyAlignment="1" applyProtection="1">
      <alignment horizontal="center" wrapText="1"/>
    </xf>
    <xf numFmtId="0" fontId="13" fillId="0" borderId="52" xfId="15" applyFont="1" applyBorder="1" applyAlignment="1" applyProtection="1">
      <alignment horizontal="center" wrapText="1"/>
    </xf>
    <xf numFmtId="0" fontId="13" fillId="0" borderId="53" xfId="15" applyFont="1" applyBorder="1" applyAlignment="1" applyProtection="1">
      <alignment horizontal="center" wrapText="1"/>
    </xf>
    <xf numFmtId="0" fontId="13" fillId="0" borderId="15" xfId="15" applyFont="1" applyBorder="1" applyAlignment="1" applyProtection="1">
      <alignment horizontal="center"/>
    </xf>
    <xf numFmtId="0" fontId="13" fillId="0" borderId="26" xfId="15" applyFont="1" applyBorder="1" applyAlignment="1">
      <alignment horizontal="center"/>
    </xf>
    <xf numFmtId="0" fontId="13" fillId="0" borderId="27" xfId="15" applyFont="1" applyBorder="1" applyAlignment="1">
      <alignment horizontal="center"/>
    </xf>
    <xf numFmtId="0" fontId="13" fillId="0" borderId="54" xfId="15" applyFont="1" applyBorder="1" applyAlignment="1">
      <alignment horizontal="center"/>
    </xf>
    <xf numFmtId="0" fontId="13" fillId="0" borderId="44" xfId="15" applyFont="1" applyBorder="1" applyAlignment="1" applyProtection="1">
      <alignment horizontal="center"/>
    </xf>
    <xf numFmtId="0" fontId="13" fillId="0" borderId="51" xfId="15" applyFont="1" applyBorder="1" applyAlignment="1" applyProtection="1">
      <alignment horizontal="center"/>
    </xf>
    <xf numFmtId="0" fontId="13" fillId="0" borderId="52" xfId="15" applyFont="1" applyBorder="1" applyAlignment="1" applyProtection="1">
      <alignment horizontal="center"/>
    </xf>
    <xf numFmtId="0" fontId="13" fillId="0" borderId="53" xfId="15" applyFont="1" applyBorder="1" applyAlignment="1" applyProtection="1">
      <alignment horizontal="center"/>
    </xf>
    <xf numFmtId="169" fontId="5" fillId="0" borderId="5" xfId="15" applyNumberFormat="1" applyFill="1" applyBorder="1"/>
    <xf numFmtId="0" fontId="5" fillId="7" borderId="5" xfId="15" applyFill="1" applyBorder="1"/>
    <xf numFmtId="0" fontId="5" fillId="0" borderId="5" xfId="15" applyFill="1" applyBorder="1" applyProtection="1"/>
    <xf numFmtId="0" fontId="5" fillId="0" borderId="5" xfId="15" applyBorder="1" applyAlignment="1" applyProtection="1">
      <alignment horizontal="center"/>
    </xf>
    <xf numFmtId="0" fontId="15" fillId="3" borderId="5" xfId="15" applyFont="1" applyFill="1" applyBorder="1" applyProtection="1"/>
    <xf numFmtId="166" fontId="15" fillId="3" borderId="5" xfId="15" applyNumberFormat="1" applyFont="1" applyFill="1" applyBorder="1" applyAlignment="1" applyProtection="1">
      <alignment horizontal="center"/>
    </xf>
    <xf numFmtId="0" fontId="16" fillId="0" borderId="4" xfId="15" applyFont="1" applyFill="1" applyBorder="1" applyAlignment="1" applyProtection="1">
      <alignment horizontal="center"/>
    </xf>
    <xf numFmtId="0" fontId="16" fillId="0" borderId="4" xfId="15" applyFont="1" applyBorder="1" applyAlignment="1" applyProtection="1">
      <alignment horizontal="center"/>
    </xf>
    <xf numFmtId="2" fontId="15" fillId="3" borderId="5" xfId="15" applyNumberFormat="1" applyFont="1" applyFill="1" applyBorder="1" applyAlignment="1" applyProtection="1">
      <alignment horizontal="center"/>
    </xf>
    <xf numFmtId="0" fontId="27" fillId="0" borderId="0" xfId="18" applyFont="1" applyAlignment="1"/>
    <xf numFmtId="0" fontId="27" fillId="0" borderId="0" xfId="18" applyFont="1"/>
    <xf numFmtId="0" fontId="29" fillId="0" borderId="0" xfId="18" applyFont="1"/>
    <xf numFmtId="0" fontId="4" fillId="0" borderId="0" xfId="18"/>
    <xf numFmtId="0" fontId="13" fillId="9" borderId="7" xfId="18" applyFont="1" applyFill="1" applyBorder="1" applyAlignment="1">
      <alignment horizontal="left" vertical="top"/>
    </xf>
    <xf numFmtId="0" fontId="4" fillId="0" borderId="8" xfId="18" applyBorder="1"/>
    <xf numFmtId="0" fontId="4" fillId="0" borderId="18" xfId="18" applyBorder="1"/>
    <xf numFmtId="0" fontId="27" fillId="0" borderId="0" xfId="18" quotePrefix="1" applyFont="1"/>
    <xf numFmtId="0" fontId="13" fillId="9" borderId="33" xfId="18" applyFont="1" applyFill="1" applyBorder="1" applyAlignment="1">
      <alignment horizontal="left" vertical="top"/>
    </xf>
    <xf numFmtId="0" fontId="4" fillId="0" borderId="0" xfId="18" applyBorder="1"/>
    <xf numFmtId="0" fontId="4" fillId="0" borderId="10" xfId="18" applyBorder="1"/>
    <xf numFmtId="0" fontId="4" fillId="0" borderId="6" xfId="18" applyBorder="1"/>
    <xf numFmtId="0" fontId="4" fillId="0" borderId="17" xfId="18" applyBorder="1"/>
    <xf numFmtId="0" fontId="13" fillId="9" borderId="33" xfId="18" applyFont="1" applyFill="1" applyBorder="1" applyAlignment="1">
      <alignment vertical="top" wrapText="1"/>
    </xf>
    <xf numFmtId="0" fontId="30" fillId="10" borderId="31" xfId="18" applyFont="1" applyFill="1" applyBorder="1" applyAlignment="1" applyProtection="1">
      <alignment wrapText="1"/>
      <protection locked="0"/>
    </xf>
    <xf numFmtId="0" fontId="30" fillId="0" borderId="5" xfId="18" applyFont="1" applyBorder="1" applyAlignment="1">
      <alignment horizontal="right"/>
    </xf>
    <xf numFmtId="14" fontId="19" fillId="10" borderId="35" xfId="19" applyNumberFormat="1" applyFont="1" applyFill="1" applyBorder="1" applyAlignment="1" applyProtection="1">
      <protection locked="0"/>
    </xf>
    <xf numFmtId="0" fontId="27" fillId="0" borderId="0" xfId="18" applyFont="1" applyBorder="1"/>
    <xf numFmtId="0" fontId="13" fillId="9" borderId="11" xfId="18" applyFont="1" applyFill="1" applyBorder="1" applyAlignment="1">
      <alignment horizontal="right" vertical="top"/>
    </xf>
    <xf numFmtId="0" fontId="19" fillId="10" borderId="5" xfId="18" applyFont="1" applyFill="1" applyBorder="1" applyAlignment="1" applyProtection="1">
      <alignment horizontal="left" wrapText="1"/>
      <protection locked="0"/>
    </xf>
    <xf numFmtId="0" fontId="19" fillId="10" borderId="35" xfId="18" applyFont="1" applyFill="1" applyBorder="1" applyAlignment="1" applyProtection="1">
      <alignment wrapText="1"/>
      <protection locked="0"/>
    </xf>
    <xf numFmtId="0" fontId="29" fillId="0" borderId="0" xfId="18" applyFont="1" applyAlignment="1"/>
    <xf numFmtId="0" fontId="29" fillId="0" borderId="0" xfId="18" applyFont="1" applyBorder="1"/>
    <xf numFmtId="0" fontId="13" fillId="9" borderId="33" xfId="18" applyFont="1" applyFill="1" applyBorder="1" applyAlignment="1">
      <alignment horizontal="right" vertical="top" wrapText="1"/>
    </xf>
    <xf numFmtId="164" fontId="19" fillId="10" borderId="5" xfId="14" applyNumberFormat="1" applyFont="1" applyFill="1" applyBorder="1" applyAlignment="1" applyProtection="1">
      <alignment horizontal="center"/>
      <protection locked="0"/>
    </xf>
    <xf numFmtId="0" fontId="19" fillId="0" borderId="0" xfId="18" applyFont="1" applyBorder="1"/>
    <xf numFmtId="0" fontId="19" fillId="0" borderId="10" xfId="18" applyFont="1" applyBorder="1"/>
    <xf numFmtId="44" fontId="29" fillId="0" borderId="0" xfId="21" applyFont="1" applyBorder="1"/>
    <xf numFmtId="0" fontId="26" fillId="0" borderId="33" xfId="18" applyFont="1" applyBorder="1" applyAlignment="1">
      <alignment wrapText="1"/>
    </xf>
    <xf numFmtId="164" fontId="19" fillId="0" borderId="5" xfId="21" applyNumberFormat="1" applyFont="1" applyFill="1" applyBorder="1" applyAlignment="1" applyProtection="1">
      <alignment wrapText="1"/>
    </xf>
    <xf numFmtId="0" fontId="27" fillId="0" borderId="0" xfId="18" applyFont="1" applyFill="1" applyBorder="1"/>
    <xf numFmtId="0" fontId="29" fillId="0" borderId="0" xfId="18" applyFont="1" applyFill="1" applyBorder="1"/>
    <xf numFmtId="0" fontId="13" fillId="9" borderId="22" xfId="18" applyFont="1" applyFill="1" applyBorder="1" applyAlignment="1">
      <alignment horizontal="right" vertical="top" wrapText="1"/>
    </xf>
    <xf numFmtId="172" fontId="19" fillId="10" borderId="23" xfId="19" applyNumberFormat="1" applyFont="1" applyFill="1" applyBorder="1" applyAlignment="1" applyProtection="1">
      <protection locked="0"/>
    </xf>
    <xf numFmtId="0" fontId="19" fillId="0" borderId="6" xfId="18" applyFont="1" applyBorder="1"/>
    <xf numFmtId="0" fontId="19" fillId="0" borderId="17" xfId="18" applyFont="1" applyBorder="1"/>
    <xf numFmtId="0" fontId="4" fillId="11" borderId="13" xfId="18" applyFill="1" applyBorder="1" applyAlignment="1">
      <alignment vertical="top"/>
    </xf>
    <xf numFmtId="0" fontId="4" fillId="11" borderId="14" xfId="18" applyFill="1" applyBorder="1" applyAlignment="1">
      <alignment vertical="top"/>
    </xf>
    <xf numFmtId="172" fontId="27" fillId="0" borderId="0" xfId="18" applyNumberFormat="1" applyFont="1" applyBorder="1"/>
    <xf numFmtId="0" fontId="4" fillId="0" borderId="11" xfId="18" applyBorder="1"/>
    <xf numFmtId="0" fontId="19" fillId="0" borderId="20" xfId="18" applyFont="1" applyBorder="1" applyAlignment="1">
      <alignment horizontal="right" wrapText="1"/>
    </xf>
    <xf numFmtId="172" fontId="19" fillId="10" borderId="55" xfId="19" applyNumberFormat="1" applyFont="1" applyFill="1" applyBorder="1" applyAlignment="1" applyProtection="1">
      <alignment wrapText="1"/>
      <protection locked="0"/>
    </xf>
    <xf numFmtId="2" fontId="19" fillId="0" borderId="55" xfId="18" applyNumberFormat="1" applyFont="1" applyBorder="1" applyAlignment="1" applyProtection="1">
      <alignment horizontal="right" wrapText="1"/>
    </xf>
    <xf numFmtId="0" fontId="19" fillId="0" borderId="56" xfId="18" applyFont="1" applyBorder="1"/>
    <xf numFmtId="172" fontId="27" fillId="0" borderId="0" xfId="18" applyNumberFormat="1" applyFont="1"/>
    <xf numFmtId="0" fontId="19" fillId="0" borderId="33" xfId="18" applyFont="1" applyBorder="1" applyAlignment="1">
      <alignment horizontal="right" wrapText="1"/>
    </xf>
    <xf numFmtId="37" fontId="19" fillId="10" borderId="5" xfId="19" applyNumberFormat="1" applyFont="1" applyFill="1" applyBorder="1" applyAlignment="1" applyProtection="1">
      <alignment wrapText="1"/>
      <protection locked="0"/>
    </xf>
    <xf numFmtId="165" fontId="19" fillId="0" borderId="5" xfId="18" applyNumberFormat="1" applyFont="1" applyBorder="1" applyAlignment="1" applyProtection="1">
      <alignment horizontal="right" wrapText="1"/>
    </xf>
    <xf numFmtId="165" fontId="19" fillId="0" borderId="35" xfId="18" applyNumberFormat="1" applyFont="1" applyBorder="1" applyAlignment="1">
      <alignment horizontal="left" wrapText="1"/>
    </xf>
    <xf numFmtId="165" fontId="19" fillId="0" borderId="5" xfId="18" applyNumberFormat="1" applyFont="1" applyBorder="1" applyAlignment="1" applyProtection="1">
      <alignment wrapText="1"/>
    </xf>
    <xf numFmtId="0" fontId="19" fillId="0" borderId="35" xfId="18" applyFont="1" applyBorder="1"/>
    <xf numFmtId="174" fontId="27" fillId="0" borderId="0" xfId="18" applyNumberFormat="1" applyFont="1" applyBorder="1"/>
    <xf numFmtId="9" fontId="19" fillId="10" borderId="5" xfId="20" applyFont="1" applyFill="1" applyBorder="1" applyAlignment="1" applyProtection="1">
      <alignment wrapText="1"/>
      <protection locked="0"/>
    </xf>
    <xf numFmtId="0" fontId="19" fillId="0" borderId="7" xfId="18" applyFont="1" applyBorder="1"/>
    <xf numFmtId="164" fontId="19" fillId="0" borderId="5" xfId="18" applyNumberFormat="1" applyFont="1" applyBorder="1" applyProtection="1"/>
    <xf numFmtId="44" fontId="27" fillId="0" borderId="0" xfId="21" applyFont="1" applyBorder="1"/>
    <xf numFmtId="0" fontId="19" fillId="0" borderId="55" xfId="18" applyFont="1" applyBorder="1" applyAlignment="1">
      <alignment wrapText="1"/>
    </xf>
    <xf numFmtId="172" fontId="19" fillId="10" borderId="5" xfId="19" applyNumberFormat="1" applyFont="1" applyFill="1" applyBorder="1" applyProtection="1">
      <protection locked="0"/>
    </xf>
    <xf numFmtId="172" fontId="19" fillId="0" borderId="5" xfId="19" applyNumberFormat="1" applyFont="1" applyFill="1" applyBorder="1" applyProtection="1"/>
    <xf numFmtId="0" fontId="19" fillId="10" borderId="5" xfId="18" applyFont="1" applyFill="1" applyBorder="1" applyProtection="1">
      <protection locked="0"/>
    </xf>
    <xf numFmtId="172" fontId="19" fillId="10" borderId="27" xfId="19" applyNumberFormat="1" applyFont="1" applyFill="1" applyBorder="1" applyProtection="1">
      <protection locked="0"/>
    </xf>
    <xf numFmtId="172" fontId="19" fillId="0" borderId="27" xfId="19" applyNumberFormat="1" applyFont="1" applyFill="1" applyBorder="1" applyProtection="1"/>
    <xf numFmtId="0" fontId="31" fillId="0" borderId="11" xfId="18" applyFont="1" applyBorder="1" applyAlignment="1">
      <alignment wrapText="1"/>
    </xf>
    <xf numFmtId="175" fontId="19" fillId="2" borderId="5" xfId="20" applyNumberFormat="1" applyFont="1" applyFill="1" applyBorder="1" applyProtection="1"/>
    <xf numFmtId="172" fontId="19" fillId="10" borderId="5" xfId="19" applyNumberFormat="1" applyFont="1" applyFill="1" applyBorder="1" applyAlignment="1" applyProtection="1">
      <alignment wrapText="1"/>
      <protection locked="0"/>
    </xf>
    <xf numFmtId="172" fontId="19" fillId="0" borderId="5" xfId="19" applyNumberFormat="1" applyFont="1" applyBorder="1" applyProtection="1"/>
    <xf numFmtId="164" fontId="19" fillId="0" borderId="5" xfId="18" applyNumberFormat="1" applyFont="1" applyBorder="1"/>
    <xf numFmtId="164" fontId="19" fillId="0" borderId="5" xfId="18" quotePrefix="1" applyNumberFormat="1" applyFont="1" applyBorder="1" applyProtection="1"/>
    <xf numFmtId="0" fontId="19" fillId="0" borderId="56" xfId="18" applyFont="1" applyBorder="1" applyAlignment="1">
      <alignment wrapText="1"/>
    </xf>
    <xf numFmtId="0" fontId="19" fillId="0" borderId="34" xfId="18" applyFont="1" applyBorder="1"/>
    <xf numFmtId="172" fontId="19" fillId="0" borderId="35" xfId="18" applyNumberFormat="1" applyFont="1" applyBorder="1" applyProtection="1"/>
    <xf numFmtId="164" fontId="19" fillId="0" borderId="23" xfId="21" applyNumberFormat="1" applyFont="1" applyBorder="1"/>
    <xf numFmtId="43" fontId="19" fillId="0" borderId="23" xfId="19" applyFont="1" applyBorder="1"/>
    <xf numFmtId="9" fontId="19" fillId="0" borderId="23" xfId="18" applyNumberFormat="1" applyFont="1" applyBorder="1"/>
    <xf numFmtId="164" fontId="19" fillId="0" borderId="24" xfId="18" applyNumberFormat="1" applyFont="1" applyBorder="1"/>
    <xf numFmtId="0" fontId="13" fillId="10" borderId="59" xfId="10" applyFont="1" applyFill="1" applyBorder="1" applyAlignment="1" applyProtection="1">
      <protection locked="0"/>
    </xf>
    <xf numFmtId="0" fontId="9" fillId="14" borderId="55" xfId="10" applyFont="1" applyFill="1" applyBorder="1" applyAlignment="1">
      <alignment horizontal="left" wrapText="1"/>
    </xf>
    <xf numFmtId="0" fontId="9" fillId="14" borderId="19" xfId="10" applyFont="1" applyFill="1" applyBorder="1" applyAlignment="1">
      <alignment wrapText="1"/>
    </xf>
    <xf numFmtId="0" fontId="9" fillId="14" borderId="55" xfId="10" applyFont="1" applyFill="1" applyBorder="1" applyAlignment="1">
      <alignment wrapText="1"/>
    </xf>
    <xf numFmtId="0" fontId="9" fillId="14" borderId="56" xfId="10" applyFont="1" applyFill="1" applyBorder="1" applyAlignment="1">
      <alignment horizontal="center" wrapText="1"/>
    </xf>
    <xf numFmtId="164" fontId="9" fillId="14" borderId="57" xfId="14" applyNumberFormat="1" applyFont="1" applyFill="1" applyBorder="1" applyAlignment="1"/>
    <xf numFmtId="164" fontId="9" fillId="14" borderId="5" xfId="21" applyNumberFormat="1" applyFont="1" applyFill="1" applyBorder="1" applyAlignment="1"/>
    <xf numFmtId="172" fontId="9" fillId="14" borderId="5" xfId="8" applyNumberFormat="1" applyFont="1" applyFill="1" applyBorder="1" applyAlignment="1"/>
    <xf numFmtId="0" fontId="9" fillId="14" borderId="29" xfId="10" applyFont="1" applyFill="1" applyBorder="1" applyAlignment="1">
      <alignment wrapText="1"/>
    </xf>
    <xf numFmtId="43" fontId="9" fillId="14" borderId="5" xfId="8" applyFont="1" applyFill="1" applyBorder="1"/>
    <xf numFmtId="172" fontId="9" fillId="14" borderId="35" xfId="10" applyNumberFormat="1" applyFont="1" applyFill="1" applyBorder="1" applyAlignment="1">
      <alignment horizontal="center"/>
    </xf>
    <xf numFmtId="0" fontId="4" fillId="0" borderId="0" xfId="18" applyBorder="1" applyAlignment="1">
      <alignment wrapText="1"/>
    </xf>
    <xf numFmtId="0" fontId="27" fillId="0" borderId="0" xfId="18" applyFont="1" applyBorder="1" applyAlignment="1">
      <alignment wrapText="1"/>
    </xf>
    <xf numFmtId="0" fontId="29" fillId="0" borderId="0" xfId="18" applyFont="1" applyBorder="1" applyAlignment="1">
      <alignment wrapText="1"/>
    </xf>
    <xf numFmtId="172" fontId="9" fillId="14" borderId="57" xfId="19" applyNumberFormat="1" applyFont="1" applyFill="1" applyBorder="1" applyAlignment="1"/>
    <xf numFmtId="172" fontId="9" fillId="14" borderId="5" xfId="19" applyNumberFormat="1" applyFont="1" applyFill="1" applyBorder="1" applyAlignment="1">
      <alignment horizontal="left"/>
    </xf>
    <xf numFmtId="43" fontId="9" fillId="14" borderId="5" xfId="10" applyNumberFormat="1" applyFont="1" applyFill="1" applyBorder="1"/>
    <xf numFmtId="172" fontId="9" fillId="14" borderId="35" xfId="10" quotePrefix="1" applyNumberFormat="1" applyFont="1" applyFill="1" applyBorder="1" applyAlignment="1">
      <alignment horizontal="center"/>
    </xf>
    <xf numFmtId="172" fontId="9" fillId="14" borderId="54" xfId="10" applyNumberFormat="1" applyFont="1" applyFill="1" applyBorder="1" applyAlignment="1">
      <alignment horizontal="center"/>
    </xf>
    <xf numFmtId="164" fontId="19" fillId="14" borderId="27" xfId="18" applyNumberFormat="1" applyFont="1" applyFill="1" applyBorder="1"/>
    <xf numFmtId="172" fontId="19" fillId="14" borderId="61" xfId="19" applyNumberFormat="1" applyFont="1" applyFill="1" applyBorder="1"/>
    <xf numFmtId="164" fontId="19" fillId="14" borderId="4" xfId="18" applyNumberFormat="1" applyFont="1" applyFill="1" applyBorder="1"/>
    <xf numFmtId="43" fontId="19" fillId="14" borderId="4" xfId="19" applyFont="1" applyFill="1" applyBorder="1"/>
    <xf numFmtId="172" fontId="19" fillId="14" borderId="38" xfId="19" applyNumberFormat="1" applyFont="1" applyFill="1" applyBorder="1" applyAlignment="1">
      <alignment horizontal="right"/>
    </xf>
    <xf numFmtId="0" fontId="4" fillId="0" borderId="0" xfId="18" applyBorder="1" applyAlignment="1">
      <alignment horizontal="left"/>
    </xf>
    <xf numFmtId="0" fontId="0" fillId="0" borderId="0" xfId="19" applyNumberFormat="1" applyFont="1" applyBorder="1"/>
    <xf numFmtId="9" fontId="27" fillId="0" borderId="0" xfId="20" applyFont="1" applyBorder="1"/>
    <xf numFmtId="171" fontId="27" fillId="0" borderId="0" xfId="20" applyNumberFormat="1" applyFont="1" applyBorder="1"/>
    <xf numFmtId="164" fontId="17" fillId="0" borderId="0" xfId="14" applyNumberFormat="1" applyFont="1" applyBorder="1" applyAlignment="1"/>
    <xf numFmtId="175" fontId="27" fillId="0" borderId="0" xfId="20" applyNumberFormat="1" applyFont="1" applyBorder="1"/>
    <xf numFmtId="43" fontId="27" fillId="0" borderId="0" xfId="18" applyNumberFormat="1" applyFont="1"/>
    <xf numFmtId="173" fontId="27" fillId="0" borderId="0" xfId="18" applyNumberFormat="1" applyFont="1"/>
    <xf numFmtId="0" fontId="27" fillId="0" borderId="0" xfId="18" applyFont="1" applyFill="1"/>
    <xf numFmtId="164" fontId="29" fillId="0" borderId="0" xfId="21" applyNumberFormat="1" applyFont="1" applyBorder="1" applyAlignment="1"/>
    <xf numFmtId="164" fontId="29" fillId="0" borderId="0" xfId="21" applyNumberFormat="1" applyFont="1" applyBorder="1"/>
    <xf numFmtId="164" fontId="29" fillId="0" borderId="0" xfId="18" applyNumberFormat="1" applyFont="1" applyBorder="1"/>
    <xf numFmtId="164" fontId="29" fillId="0" borderId="0" xfId="18" applyNumberFormat="1" applyFont="1" applyAlignment="1"/>
    <xf numFmtId="172" fontId="29" fillId="2" borderId="0" xfId="19" applyNumberFormat="1" applyFont="1" applyFill="1" applyBorder="1"/>
    <xf numFmtId="164" fontId="29" fillId="2" borderId="0" xfId="21" applyNumberFormat="1" applyFont="1" applyFill="1" applyBorder="1"/>
    <xf numFmtId="9" fontId="29" fillId="0" borderId="0" xfId="18" applyNumberFormat="1" applyFont="1" applyBorder="1"/>
    <xf numFmtId="9" fontId="29" fillId="0" borderId="0" xfId="18" applyNumberFormat="1" applyFont="1"/>
    <xf numFmtId="164" fontId="29" fillId="0" borderId="0" xfId="21" applyNumberFormat="1" applyFont="1"/>
    <xf numFmtId="172" fontId="19" fillId="0" borderId="5" xfId="19" applyNumberFormat="1" applyFont="1" applyFill="1" applyBorder="1" applyAlignment="1" applyProtection="1">
      <alignment wrapText="1"/>
    </xf>
    <xf numFmtId="0" fontId="19" fillId="12" borderId="46" xfId="18" applyFont="1" applyFill="1" applyBorder="1"/>
    <xf numFmtId="164" fontId="29" fillId="0" borderId="0" xfId="18" applyNumberFormat="1" applyFont="1"/>
    <xf numFmtId="0" fontId="29" fillId="0" borderId="0" xfId="18" applyFont="1" applyFill="1" applyBorder="1" applyAlignment="1">
      <alignment wrapText="1"/>
    </xf>
    <xf numFmtId="175" fontId="29" fillId="0" borderId="0" xfId="18" quotePrefix="1" applyNumberFormat="1" applyFont="1" applyAlignment="1">
      <alignment horizontal="right"/>
    </xf>
    <xf numFmtId="164" fontId="29" fillId="0" borderId="0" xfId="21" applyNumberFormat="1" applyFont="1" applyFill="1" applyBorder="1"/>
    <xf numFmtId="164" fontId="29" fillId="0" borderId="0" xfId="21" quotePrefix="1" applyNumberFormat="1" applyFont="1" applyFill="1" applyBorder="1"/>
    <xf numFmtId="176" fontId="29" fillId="0" borderId="0" xfId="18" applyNumberFormat="1" applyFont="1" applyFill="1" applyBorder="1"/>
    <xf numFmtId="0" fontId="29" fillId="0" borderId="0" xfId="18" applyFont="1" applyFill="1" applyBorder="1" applyAlignment="1">
      <alignment horizontal="center"/>
    </xf>
    <xf numFmtId="164" fontId="29" fillId="0" borderId="0" xfId="21" applyNumberFormat="1" applyFont="1" applyFill="1"/>
    <xf numFmtId="164" fontId="29" fillId="0" borderId="0" xfId="18" quotePrefix="1" applyNumberFormat="1" applyFont="1"/>
    <xf numFmtId="164" fontId="9" fillId="14" borderId="57" xfId="17" applyNumberFormat="1" applyFont="1" applyFill="1" applyBorder="1" applyAlignment="1"/>
    <xf numFmtId="164" fontId="19" fillId="14" borderId="27" xfId="17" applyNumberFormat="1" applyFont="1" applyFill="1" applyBorder="1"/>
    <xf numFmtId="0" fontId="40" fillId="0" borderId="19" xfId="18" applyFont="1" applyBorder="1" applyAlignment="1">
      <alignment horizontal="center"/>
    </xf>
    <xf numFmtId="0" fontId="40" fillId="0" borderId="21" xfId="18" applyFont="1" applyBorder="1" applyAlignment="1">
      <alignment horizontal="center"/>
    </xf>
    <xf numFmtId="0" fontId="40" fillId="0" borderId="9" xfId="18" applyFont="1" applyBorder="1" applyAlignment="1">
      <alignment horizontal="center"/>
    </xf>
    <xf numFmtId="0" fontId="19" fillId="0" borderId="26" xfId="18" applyFont="1" applyBorder="1"/>
    <xf numFmtId="172" fontId="19" fillId="0" borderId="54" xfId="18" applyNumberFormat="1" applyFont="1" applyBorder="1" applyProtection="1"/>
    <xf numFmtId="0" fontId="19" fillId="12" borderId="11" xfId="18" applyFont="1" applyFill="1" applyBorder="1"/>
    <xf numFmtId="0" fontId="19" fillId="14" borderId="15" xfId="18" applyFont="1" applyFill="1" applyBorder="1"/>
    <xf numFmtId="164" fontId="19" fillId="14" borderId="6" xfId="21" applyNumberFormat="1" applyFont="1" applyFill="1" applyBorder="1"/>
    <xf numFmtId="43" fontId="19" fillId="14" borderId="6" xfId="19" applyFont="1" applyFill="1" applyBorder="1"/>
    <xf numFmtId="9" fontId="19" fillId="14" borderId="6" xfId="18" applyNumberFormat="1" applyFont="1" applyFill="1" applyBorder="1"/>
    <xf numFmtId="9" fontId="19" fillId="14" borderId="6" xfId="20" applyFont="1" applyFill="1" applyBorder="1"/>
    <xf numFmtId="164" fontId="19" fillId="14" borderId="17" xfId="18" applyNumberFormat="1" applyFont="1" applyFill="1" applyBorder="1"/>
    <xf numFmtId="0" fontId="27" fillId="0" borderId="0" xfId="18" applyFont="1" applyBorder="1" applyAlignment="1"/>
    <xf numFmtId="164" fontId="27" fillId="0" borderId="0" xfId="21" applyNumberFormat="1" applyFont="1" applyBorder="1" applyAlignment="1"/>
    <xf numFmtId="0" fontId="3" fillId="0" borderId="0" xfId="15" applyFont="1"/>
    <xf numFmtId="0" fontId="19" fillId="0" borderId="7" xfId="18" applyFont="1" applyBorder="1" applyAlignment="1">
      <alignment wrapText="1"/>
    </xf>
    <xf numFmtId="0" fontId="31" fillId="0" borderId="55" xfId="18" applyFont="1" applyBorder="1" applyAlignment="1">
      <alignment wrapText="1"/>
    </xf>
    <xf numFmtId="9" fontId="31" fillId="0" borderId="55" xfId="20" applyFont="1" applyFill="1" applyBorder="1" applyAlignment="1">
      <alignment wrapText="1"/>
    </xf>
    <xf numFmtId="0" fontId="31" fillId="0" borderId="52" xfId="18" applyFont="1" applyBorder="1" applyAlignment="1">
      <alignment wrapText="1"/>
    </xf>
    <xf numFmtId="0" fontId="31" fillId="0" borderId="18" xfId="18" applyFont="1" applyBorder="1" applyAlignment="1">
      <alignment wrapText="1"/>
    </xf>
    <xf numFmtId="9" fontId="19" fillId="0" borderId="35" xfId="20" applyFont="1" applyBorder="1"/>
    <xf numFmtId="0" fontId="31" fillId="0" borderId="15" xfId="18" applyFont="1" applyBorder="1" applyAlignment="1">
      <alignment wrapText="1"/>
    </xf>
    <xf numFmtId="172" fontId="19" fillId="10" borderId="23" xfId="19" applyNumberFormat="1" applyFont="1" applyFill="1" applyBorder="1" applyAlignment="1" applyProtection="1">
      <alignment wrapText="1"/>
      <protection locked="0"/>
    </xf>
    <xf numFmtId="164" fontId="19" fillId="0" borderId="23" xfId="18" applyNumberFormat="1" applyFont="1" applyBorder="1"/>
    <xf numFmtId="164" fontId="19" fillId="0" borderId="23" xfId="18" applyNumberFormat="1" applyFont="1" applyBorder="1" applyProtection="1"/>
    <xf numFmtId="9" fontId="19" fillId="0" borderId="24" xfId="20" applyFont="1" applyBorder="1"/>
    <xf numFmtId="173" fontId="29" fillId="0" borderId="0" xfId="19" applyNumberFormat="1" applyFont="1" applyFill="1" applyBorder="1"/>
    <xf numFmtId="172" fontId="29" fillId="0" borderId="0" xfId="18" applyNumberFormat="1" applyFont="1" applyBorder="1"/>
    <xf numFmtId="1" fontId="5" fillId="0" borderId="5" xfId="15" applyNumberFormat="1" applyBorder="1"/>
    <xf numFmtId="0" fontId="13" fillId="0" borderId="0" xfId="6" applyFont="1" applyBorder="1"/>
    <xf numFmtId="9" fontId="0" fillId="0" borderId="5" xfId="16" applyFont="1" applyBorder="1"/>
    <xf numFmtId="176" fontId="31" fillId="0" borderId="5" xfId="20" applyNumberFormat="1" applyFont="1" applyBorder="1" applyAlignment="1" applyProtection="1">
      <alignment wrapText="1"/>
    </xf>
    <xf numFmtId="0" fontId="19" fillId="0" borderId="5" xfId="18" applyFont="1" applyBorder="1"/>
    <xf numFmtId="164" fontId="19" fillId="7" borderId="5" xfId="18" applyNumberFormat="1" applyFont="1" applyFill="1" applyBorder="1" applyProtection="1">
      <protection locked="0"/>
    </xf>
    <xf numFmtId="0" fontId="4" fillId="0" borderId="5" xfId="18" applyBorder="1"/>
    <xf numFmtId="0" fontId="30" fillId="0" borderId="5" xfId="18" applyFont="1" applyFill="1" applyBorder="1" applyAlignment="1" applyProtection="1">
      <alignment horizontal="left"/>
    </xf>
    <xf numFmtId="0" fontId="19" fillId="0" borderId="34" xfId="18" applyFont="1" applyBorder="1" applyAlignment="1" applyProtection="1">
      <alignment horizontal="right"/>
    </xf>
    <xf numFmtId="0" fontId="4" fillId="0" borderId="35" xfId="18" applyBorder="1"/>
    <xf numFmtId="0" fontId="4" fillId="0" borderId="34" xfId="18" applyBorder="1"/>
    <xf numFmtId="164" fontId="19" fillId="7" borderId="35" xfId="18" applyNumberFormat="1" applyFont="1" applyFill="1" applyBorder="1" applyProtection="1">
      <protection locked="0"/>
    </xf>
    <xf numFmtId="0" fontId="30" fillId="0" borderId="35" xfId="18" applyFont="1" applyFill="1" applyBorder="1" applyAlignment="1" applyProtection="1">
      <alignment horizontal="left"/>
    </xf>
    <xf numFmtId="0" fontId="19" fillId="0" borderId="5" xfId="18" applyFont="1" applyBorder="1" applyAlignment="1">
      <alignment horizontal="center"/>
    </xf>
    <xf numFmtId="0" fontId="19" fillId="0" borderId="35" xfId="18" applyFont="1" applyBorder="1" applyAlignment="1">
      <alignment horizontal="center"/>
    </xf>
    <xf numFmtId="0" fontId="12" fillId="0" borderId="6" xfId="3" applyBorder="1" applyAlignment="1">
      <alignment horizontal="center"/>
    </xf>
    <xf numFmtId="43" fontId="27" fillId="0" borderId="0" xfId="18" applyNumberFormat="1" applyFont="1" applyBorder="1"/>
    <xf numFmtId="0" fontId="27" fillId="0" borderId="0" xfId="18" quotePrefix="1" applyFont="1" applyBorder="1"/>
    <xf numFmtId="172" fontId="27" fillId="0" borderId="0" xfId="19" applyNumberFormat="1" applyFont="1" applyFill="1" applyBorder="1" applyAlignment="1">
      <alignment horizontal="left"/>
    </xf>
    <xf numFmtId="164" fontId="27" fillId="0" borderId="0" xfId="21" applyNumberFormat="1" applyFont="1" applyBorder="1"/>
    <xf numFmtId="9" fontId="27" fillId="0" borderId="0" xfId="20" applyFont="1"/>
    <xf numFmtId="164" fontId="27" fillId="0" borderId="0" xfId="18" applyNumberFormat="1" applyFont="1" applyBorder="1"/>
    <xf numFmtId="164" fontId="27" fillId="0" borderId="0" xfId="20" quotePrefix="1" applyNumberFormat="1" applyFont="1"/>
    <xf numFmtId="175" fontId="27" fillId="0" borderId="0" xfId="18" applyNumberFormat="1" applyFont="1" applyBorder="1"/>
    <xf numFmtId="164" fontId="27" fillId="0" borderId="0" xfId="18" applyNumberFormat="1" applyFont="1" applyAlignment="1"/>
    <xf numFmtId="0" fontId="9" fillId="0" borderId="0" xfId="6" applyFont="1" applyAlignment="1">
      <alignment horizontal="left" vertical="center" indent="4"/>
    </xf>
    <xf numFmtId="0" fontId="23" fillId="0" borderId="0" xfId="7" applyAlignment="1">
      <alignment horizontal="left" vertical="center" indent="4"/>
    </xf>
    <xf numFmtId="0" fontId="13" fillId="0" borderId="0" xfId="6" applyFont="1"/>
    <xf numFmtId="6" fontId="9" fillId="0" borderId="0" xfId="6" applyNumberFormat="1" applyFont="1" applyAlignment="1">
      <alignment horizontal="left"/>
    </xf>
    <xf numFmtId="0" fontId="14" fillId="0" borderId="0" xfId="6" applyFont="1" applyAlignment="1">
      <alignment vertical="center"/>
    </xf>
    <xf numFmtId="0" fontId="18" fillId="0" borderId="0" xfId="6" applyFont="1" applyAlignment="1">
      <alignment vertical="center"/>
    </xf>
    <xf numFmtId="0" fontId="9" fillId="0" borderId="0" xfId="6" applyFont="1" applyAlignment="1">
      <alignment horizontal="left" vertical="center" indent="1"/>
    </xf>
    <xf numFmtId="0" fontId="9" fillId="0" borderId="0" xfId="6" applyFont="1" applyAlignment="1">
      <alignment vertical="center"/>
    </xf>
    <xf numFmtId="0" fontId="9" fillId="0" borderId="0" xfId="6" applyFont="1" applyAlignment="1">
      <alignment horizontal="left" vertical="center" indent="2"/>
    </xf>
    <xf numFmtId="0" fontId="9" fillId="0" borderId="0" xfId="6" applyFont="1" applyAlignment="1">
      <alignment horizontal="left" vertical="center" indent="6"/>
    </xf>
    <xf numFmtId="0" fontId="11" fillId="0" borderId="0" xfId="6" applyFont="1" applyBorder="1"/>
    <xf numFmtId="0" fontId="13" fillId="0" borderId="0" xfId="6" applyFont="1" applyAlignment="1">
      <alignment wrapText="1" shrinkToFit="1"/>
    </xf>
    <xf numFmtId="0" fontId="12" fillId="4" borderId="1" xfId="3" applyFill="1" applyBorder="1" applyAlignment="1">
      <alignment horizontal="left" vertical="top" wrapText="1"/>
    </xf>
    <xf numFmtId="0" fontId="12" fillId="4" borderId="21" xfId="3" applyFill="1" applyBorder="1" applyAlignment="1">
      <alignment horizontal="left" vertical="top" wrapText="1"/>
    </xf>
    <xf numFmtId="0" fontId="12" fillId="4" borderId="31" xfId="3" applyFill="1" applyBorder="1" applyAlignment="1">
      <alignment horizontal="left" vertical="top" wrapText="1"/>
    </xf>
    <xf numFmtId="0" fontId="12" fillId="4" borderId="3" xfId="3" applyFill="1" applyBorder="1" applyAlignment="1">
      <alignment horizontal="left" vertical="top" wrapText="1"/>
    </xf>
    <xf numFmtId="0" fontId="12" fillId="4" borderId="19" xfId="3" applyFill="1" applyBorder="1" applyAlignment="1">
      <alignment horizontal="left" vertical="top" wrapText="1"/>
    </xf>
    <xf numFmtId="0" fontId="12" fillId="4" borderId="32" xfId="3" applyFill="1" applyBorder="1" applyAlignment="1">
      <alignment horizontal="left" vertical="top" wrapText="1"/>
    </xf>
    <xf numFmtId="44" fontId="27" fillId="0" borderId="0" xfId="21" applyNumberFormat="1" applyFont="1" applyBorder="1"/>
    <xf numFmtId="0" fontId="9" fillId="0" borderId="0" xfId="6" applyFont="1" applyFill="1" applyAlignment="1">
      <alignment horizontal="left" vertical="center" indent="2"/>
    </xf>
    <xf numFmtId="0" fontId="41" fillId="0" borderId="0" xfId="6" applyFont="1" applyBorder="1"/>
    <xf numFmtId="0" fontId="42" fillId="0" borderId="0" xfId="6" applyFont="1" applyBorder="1"/>
    <xf numFmtId="0" fontId="10" fillId="0" borderId="0" xfId="6" applyFont="1" applyBorder="1" applyAlignment="1"/>
    <xf numFmtId="0" fontId="9" fillId="0" borderId="0" xfId="6" applyBorder="1"/>
    <xf numFmtId="0" fontId="14" fillId="0" borderId="0" xfId="6" applyFont="1" applyBorder="1"/>
    <xf numFmtId="0" fontId="14" fillId="0" borderId="0" xfId="6" applyFont="1" applyAlignment="1">
      <alignment wrapText="1"/>
    </xf>
    <xf numFmtId="0" fontId="10" fillId="0" borderId="0" xfId="6" applyFont="1" applyBorder="1"/>
    <xf numFmtId="0" fontId="10" fillId="0" borderId="0" xfId="6" applyFont="1" applyBorder="1" applyAlignment="1">
      <alignment horizontal="right"/>
    </xf>
    <xf numFmtId="0" fontId="9" fillId="0" borderId="0" xfId="6" applyBorder="1" applyAlignment="1">
      <alignment horizontal="right"/>
    </xf>
    <xf numFmtId="0" fontId="9" fillId="0" borderId="0" xfId="6" applyBorder="1" applyAlignment="1">
      <alignment horizontal="left" indent="2"/>
    </xf>
    <xf numFmtId="177" fontId="9" fillId="0" borderId="0" xfId="11" applyNumberFormat="1" applyAlignment="1">
      <alignment horizontal="center"/>
    </xf>
    <xf numFmtId="0" fontId="9" fillId="2" borderId="7" xfId="6" applyFill="1" applyBorder="1"/>
    <xf numFmtId="0" fontId="13" fillId="2" borderId="8" xfId="6" applyFont="1" applyFill="1" applyBorder="1" applyAlignment="1">
      <alignment horizontal="right"/>
    </xf>
    <xf numFmtId="0" fontId="9" fillId="2" borderId="8" xfId="6" applyFill="1" applyBorder="1"/>
    <xf numFmtId="0" fontId="9" fillId="0" borderId="8" xfId="6" applyBorder="1"/>
    <xf numFmtId="0" fontId="9" fillId="2" borderId="8" xfId="6" applyFill="1" applyBorder="1" applyAlignment="1">
      <alignment horizontal="right"/>
    </xf>
    <xf numFmtId="178" fontId="13" fillId="2" borderId="46" xfId="8" applyNumberFormat="1" applyFont="1" applyFill="1" applyBorder="1" applyAlignment="1" applyProtection="1">
      <alignment horizontal="center" wrapText="1"/>
    </xf>
    <xf numFmtId="0" fontId="9" fillId="2" borderId="8" xfId="6" applyFont="1" applyFill="1" applyBorder="1"/>
    <xf numFmtId="0" fontId="9" fillId="0" borderId="0" xfId="6" applyAlignment="1">
      <alignment horizontal="left" wrapText="1" indent="2"/>
    </xf>
    <xf numFmtId="0" fontId="9" fillId="2" borderId="11" xfId="6" applyFill="1" applyBorder="1"/>
    <xf numFmtId="0" fontId="13" fillId="2" borderId="0" xfId="6" applyFont="1" applyFill="1" applyBorder="1" applyAlignment="1">
      <alignment horizontal="right"/>
    </xf>
    <xf numFmtId="14" fontId="9" fillId="2" borderId="0" xfId="6" applyNumberFormat="1" applyFill="1" applyBorder="1" applyAlignment="1">
      <alignment horizontal="left"/>
    </xf>
    <xf numFmtId="0" fontId="9" fillId="2" borderId="0" xfId="6" applyFill="1" applyBorder="1"/>
    <xf numFmtId="0" fontId="9" fillId="2" borderId="5" xfId="6" applyFill="1" applyBorder="1" applyAlignment="1">
      <alignment wrapText="1"/>
    </xf>
    <xf numFmtId="0" fontId="9" fillId="2" borderId="0" xfId="6" applyFill="1" applyBorder="1" applyAlignment="1">
      <alignment horizontal="right"/>
    </xf>
    <xf numFmtId="43" fontId="13" fillId="2" borderId="59" xfId="8" applyNumberFormat="1" applyFont="1" applyFill="1" applyBorder="1" applyAlignment="1" applyProtection="1">
      <alignment horizontal="center" wrapText="1"/>
    </xf>
    <xf numFmtId="0" fontId="9" fillId="2" borderId="13" xfId="6" applyFont="1" applyFill="1" applyBorder="1"/>
    <xf numFmtId="0" fontId="9" fillId="0" borderId="10" xfId="6" applyBorder="1"/>
    <xf numFmtId="0" fontId="9" fillId="2" borderId="15" xfId="6" applyFill="1" applyBorder="1"/>
    <xf numFmtId="0" fontId="13" fillId="2" borderId="6" xfId="6" applyFont="1" applyFill="1" applyBorder="1" applyAlignment="1">
      <alignment horizontal="right"/>
    </xf>
    <xf numFmtId="0" fontId="9" fillId="2" borderId="6" xfId="6" applyFill="1" applyBorder="1" applyAlignment="1">
      <alignment horizontal="center"/>
    </xf>
    <xf numFmtId="0" fontId="9" fillId="2" borderId="6" xfId="6" applyFill="1" applyBorder="1"/>
    <xf numFmtId="172" fontId="35" fillId="2" borderId="6" xfId="8" applyNumberFormat="1" applyFont="1" applyFill="1" applyBorder="1" applyAlignment="1" applyProtection="1">
      <alignment horizontal="center" wrapText="1"/>
    </xf>
    <xf numFmtId="0" fontId="17" fillId="2" borderId="6" xfId="6" applyFont="1" applyFill="1" applyBorder="1"/>
    <xf numFmtId="0" fontId="9" fillId="2" borderId="8" xfId="6" applyFont="1" applyFill="1" applyBorder="1" applyAlignment="1">
      <alignment horizontal="right"/>
    </xf>
    <xf numFmtId="0" fontId="9" fillId="2" borderId="8" xfId="6" applyFill="1" applyBorder="1" applyAlignment="1">
      <alignment horizontal="center"/>
    </xf>
    <xf numFmtId="44" fontId="13" fillId="2" borderId="8" xfId="11" applyFont="1" applyFill="1" applyBorder="1" applyAlignment="1" applyProtection="1">
      <alignment horizontal="center" wrapText="1"/>
    </xf>
    <xf numFmtId="0" fontId="9" fillId="2" borderId="18" xfId="6" applyFill="1" applyBorder="1"/>
    <xf numFmtId="0" fontId="13" fillId="2" borderId="11" xfId="6" applyFont="1" applyFill="1" applyBorder="1"/>
    <xf numFmtId="0" fontId="9" fillId="2" borderId="0" xfId="6" applyFont="1" applyFill="1" applyBorder="1" applyAlignment="1">
      <alignment horizontal="right"/>
    </xf>
    <xf numFmtId="0" fontId="9" fillId="2" borderId="10" xfId="6" applyFill="1" applyBorder="1"/>
    <xf numFmtId="44" fontId="13" fillId="2" borderId="6" xfId="11" applyFont="1" applyFill="1" applyBorder="1" applyAlignment="1" applyProtection="1">
      <alignment horizontal="center" wrapText="1"/>
    </xf>
    <xf numFmtId="0" fontId="9" fillId="2" borderId="17" xfId="6" applyFill="1" applyBorder="1"/>
    <xf numFmtId="0" fontId="9" fillId="2" borderId="0" xfId="6" applyFill="1"/>
    <xf numFmtId="0" fontId="13" fillId="2" borderId="45" xfId="6" applyFont="1" applyFill="1" applyBorder="1" applyAlignment="1">
      <alignment horizontal="center"/>
    </xf>
    <xf numFmtId="0" fontId="13" fillId="2" borderId="65" xfId="6" applyFont="1" applyFill="1" applyBorder="1" applyAlignment="1">
      <alignment horizontal="center"/>
    </xf>
    <xf numFmtId="0" fontId="13" fillId="2" borderId="66" xfId="6" applyFont="1" applyFill="1" applyBorder="1" applyAlignment="1">
      <alignment horizontal="center"/>
    </xf>
    <xf numFmtId="0" fontId="13" fillId="2" borderId="67" xfId="6" applyFont="1" applyFill="1" applyBorder="1" applyAlignment="1">
      <alignment horizontal="center"/>
    </xf>
    <xf numFmtId="0" fontId="13" fillId="2" borderId="11" xfId="6" applyFont="1" applyFill="1" applyBorder="1" applyAlignment="1">
      <alignment horizontal="center"/>
    </xf>
    <xf numFmtId="0" fontId="13" fillId="2" borderId="0" xfId="6" applyFont="1" applyFill="1" applyBorder="1" applyAlignment="1">
      <alignment horizontal="center"/>
    </xf>
    <xf numFmtId="0" fontId="13" fillId="2" borderId="10" xfId="6" applyFont="1" applyFill="1" applyBorder="1" applyAlignment="1">
      <alignment horizontal="center"/>
    </xf>
    <xf numFmtId="177" fontId="9" fillId="0" borderId="12" xfId="11" applyNumberFormat="1" applyBorder="1" applyAlignment="1"/>
    <xf numFmtId="177" fontId="9" fillId="0" borderId="13" xfId="11" applyNumberFormat="1" applyBorder="1" applyAlignment="1"/>
    <xf numFmtId="177" fontId="9" fillId="0" borderId="14" xfId="11" applyNumberFormat="1" applyBorder="1" applyAlignment="1"/>
    <xf numFmtId="177" fontId="9" fillId="0" borderId="13" xfId="11" applyNumberFormat="1" applyBorder="1" applyAlignment="1">
      <alignment horizontal="center"/>
    </xf>
    <xf numFmtId="0" fontId="13" fillId="2" borderId="22" xfId="6" applyFont="1" applyFill="1" applyBorder="1" applyAlignment="1">
      <alignment horizontal="center" wrapText="1"/>
    </xf>
    <xf numFmtId="0" fontId="13" fillId="2" borderId="68" xfId="6" applyFont="1" applyFill="1" applyBorder="1" applyAlignment="1">
      <alignment horizontal="center" wrapText="1"/>
    </xf>
    <xf numFmtId="0" fontId="13" fillId="2" borderId="25" xfId="6" applyFont="1" applyFill="1" applyBorder="1" applyAlignment="1">
      <alignment horizontal="center" wrapText="1"/>
    </xf>
    <xf numFmtId="0" fontId="13" fillId="2" borderId="47" xfId="6" applyFont="1" applyFill="1" applyBorder="1" applyAlignment="1">
      <alignment horizontal="center" wrapText="1"/>
    </xf>
    <xf numFmtId="0" fontId="13" fillId="2" borderId="48" xfId="6" applyFont="1" applyFill="1" applyBorder="1" applyAlignment="1">
      <alignment horizontal="center" wrapText="1"/>
    </xf>
    <xf numFmtId="0" fontId="13" fillId="2" borderId="43" xfId="6" applyFont="1" applyFill="1" applyBorder="1" applyAlignment="1">
      <alignment horizontal="center" wrapText="1"/>
    </xf>
    <xf numFmtId="0" fontId="13" fillId="2" borderId="59" xfId="6" applyFont="1" applyFill="1" applyBorder="1" applyAlignment="1">
      <alignment horizontal="center" wrapText="1"/>
    </xf>
    <xf numFmtId="0" fontId="13" fillId="2" borderId="69" xfId="6" applyFont="1" applyFill="1" applyBorder="1" applyAlignment="1">
      <alignment horizontal="center" wrapText="1"/>
    </xf>
    <xf numFmtId="0" fontId="13" fillId="2" borderId="26" xfId="6" applyFont="1" applyFill="1" applyBorder="1" applyAlignment="1">
      <alignment horizontal="center" wrapText="1"/>
    </xf>
    <xf numFmtId="0" fontId="13" fillId="2" borderId="27" xfId="6" applyFont="1" applyFill="1" applyBorder="1" applyAlignment="1">
      <alignment horizontal="center" wrapText="1"/>
    </xf>
    <xf numFmtId="0" fontId="13" fillId="2" borderId="60" xfId="6" applyFont="1" applyFill="1" applyBorder="1" applyAlignment="1">
      <alignment horizontal="center" wrapText="1"/>
    </xf>
    <xf numFmtId="0" fontId="13" fillId="2" borderId="38" xfId="6" applyFont="1" applyFill="1" applyBorder="1" applyAlignment="1">
      <alignment horizontal="center" wrapText="1"/>
    </xf>
    <xf numFmtId="177" fontId="43" fillId="0" borderId="29" xfId="11" applyNumberFormat="1" applyFont="1" applyBorder="1" applyAlignment="1">
      <alignment horizontal="center" wrapText="1"/>
    </xf>
    <xf numFmtId="0" fontId="9" fillId="2" borderId="58" xfId="6" applyFill="1" applyBorder="1" applyAlignment="1">
      <alignment horizontal="center" wrapText="1"/>
    </xf>
    <xf numFmtId="172" fontId="9" fillId="2" borderId="70" xfId="8" applyNumberFormat="1" applyFont="1" applyFill="1" applyBorder="1" applyAlignment="1">
      <alignment horizontal="center" wrapText="1"/>
    </xf>
    <xf numFmtId="164" fontId="9" fillId="2" borderId="36" xfId="6" applyNumberFormat="1" applyFill="1" applyBorder="1" applyAlignment="1">
      <alignment horizontal="center" wrapText="1"/>
    </xf>
    <xf numFmtId="172" fontId="9" fillId="0" borderId="5" xfId="8" applyNumberFormat="1" applyFont="1" applyBorder="1" applyAlignment="1">
      <alignment horizontal="center"/>
    </xf>
    <xf numFmtId="0" fontId="9" fillId="2" borderId="30" xfId="6" applyFill="1" applyBorder="1" applyAlignment="1">
      <alignment horizontal="center" wrapText="1"/>
    </xf>
    <xf numFmtId="165" fontId="9" fillId="2" borderId="33" xfId="6" applyNumberFormat="1" applyFill="1" applyBorder="1" applyAlignment="1">
      <alignment horizontal="center" wrapText="1"/>
    </xf>
    <xf numFmtId="172" fontId="9" fillId="2" borderId="71" xfId="8" applyNumberFormat="1" applyFont="1" applyFill="1" applyBorder="1" applyAlignment="1">
      <alignment horizontal="center" wrapText="1"/>
    </xf>
    <xf numFmtId="0" fontId="9" fillId="2" borderId="34" xfId="6" applyFill="1" applyBorder="1" applyAlignment="1">
      <alignment horizontal="center" wrapText="1"/>
    </xf>
    <xf numFmtId="0" fontId="9" fillId="0" borderId="0" xfId="6" applyAlignment="1">
      <alignment horizontal="left" indent="2"/>
    </xf>
    <xf numFmtId="0" fontId="9" fillId="2" borderId="26" xfId="6" applyFill="1" applyBorder="1" applyAlignment="1">
      <alignment horizontal="center" wrapText="1"/>
    </xf>
    <xf numFmtId="165" fontId="9" fillId="2" borderId="72" xfId="6" applyNumberFormat="1" applyFill="1" applyBorder="1" applyAlignment="1">
      <alignment horizontal="center" wrapText="1"/>
    </xf>
    <xf numFmtId="172" fontId="9" fillId="2" borderId="68" xfId="8" applyNumberFormat="1" applyFont="1" applyFill="1" applyBorder="1" applyAlignment="1">
      <alignment horizontal="center" wrapText="1"/>
    </xf>
    <xf numFmtId="165" fontId="44" fillId="0" borderId="16" xfId="6" applyNumberFormat="1" applyFont="1" applyBorder="1" applyAlignment="1">
      <alignment horizontal="center" wrapText="1"/>
    </xf>
    <xf numFmtId="1" fontId="44" fillId="0" borderId="15" xfId="6" applyNumberFormat="1" applyFont="1" applyBorder="1" applyAlignment="1">
      <alignment horizontal="center" wrapText="1"/>
    </xf>
    <xf numFmtId="172" fontId="44" fillId="0" borderId="15" xfId="8" applyNumberFormat="1" applyFont="1" applyBorder="1" applyAlignment="1">
      <alignment horizontal="center" wrapText="1"/>
    </xf>
    <xf numFmtId="172" fontId="44" fillId="0" borderId="40" xfId="8" applyNumberFormat="1" applyFont="1" applyBorder="1" applyAlignment="1">
      <alignment horizontal="center"/>
    </xf>
    <xf numFmtId="172" fontId="44" fillId="0" borderId="41" xfId="8" applyNumberFormat="1" applyFont="1" applyBorder="1" applyAlignment="1">
      <alignment horizontal="center"/>
    </xf>
    <xf numFmtId="164" fontId="44" fillId="2" borderId="59" xfId="11" applyNumberFormat="1" applyFont="1" applyFill="1" applyBorder="1" applyAlignment="1">
      <alignment horizontal="center" wrapText="1"/>
    </xf>
    <xf numFmtId="164" fontId="44" fillId="2" borderId="16" xfId="11" applyNumberFormat="1" applyFont="1" applyFill="1" applyBorder="1" applyAlignment="1">
      <alignment horizontal="center" wrapText="1"/>
    </xf>
    <xf numFmtId="0" fontId="45" fillId="0" borderId="0" xfId="6" applyFont="1"/>
    <xf numFmtId="172" fontId="45" fillId="0" borderId="5" xfId="8" applyNumberFormat="1" applyFont="1" applyBorder="1"/>
    <xf numFmtId="0" fontId="13" fillId="0" borderId="9" xfId="6" applyFont="1" applyBorder="1" applyAlignment="1">
      <alignment horizontal="center"/>
    </xf>
    <xf numFmtId="0" fontId="13" fillId="0" borderId="20" xfId="6" applyFont="1" applyBorder="1"/>
    <xf numFmtId="0" fontId="13" fillId="0" borderId="1" xfId="6" applyFont="1" applyBorder="1"/>
    <xf numFmtId="0" fontId="13" fillId="0" borderId="21" xfId="6" applyFont="1" applyBorder="1"/>
    <xf numFmtId="0" fontId="11" fillId="0" borderId="44" xfId="6" applyFont="1" applyBorder="1"/>
    <xf numFmtId="8" fontId="9" fillId="0" borderId="26" xfId="6" applyNumberFormat="1" applyBorder="1"/>
    <xf numFmtId="8" fontId="9" fillId="0" borderId="0" xfId="6" applyNumberFormat="1" applyBorder="1"/>
    <xf numFmtId="8" fontId="9" fillId="0" borderId="45" xfId="6" applyNumberFormat="1" applyBorder="1"/>
    <xf numFmtId="0" fontId="9" fillId="0" borderId="16" xfId="6" applyBorder="1"/>
    <xf numFmtId="8" fontId="9" fillId="0" borderId="40" xfId="6" applyNumberFormat="1" applyBorder="1"/>
    <xf numFmtId="8" fontId="9" fillId="0" borderId="6" xfId="6" applyNumberFormat="1" applyBorder="1"/>
    <xf numFmtId="0" fontId="9" fillId="0" borderId="17" xfId="6" applyBorder="1"/>
    <xf numFmtId="0" fontId="9" fillId="0" borderId="44" xfId="6" applyBorder="1" applyAlignment="1">
      <alignment horizontal="center"/>
    </xf>
    <xf numFmtId="0" fontId="9" fillId="0" borderId="16" xfId="6" applyBorder="1" applyAlignment="1">
      <alignment horizontal="center"/>
    </xf>
    <xf numFmtId="0" fontId="2" fillId="0" borderId="0" xfId="22"/>
    <xf numFmtId="0" fontId="2" fillId="0" borderId="0" xfId="22" applyAlignment="1">
      <alignment horizontal="center"/>
    </xf>
    <xf numFmtId="0" fontId="26" fillId="0" borderId="23" xfId="22" applyFont="1" applyBorder="1" applyAlignment="1">
      <alignment horizontal="center"/>
    </xf>
    <xf numFmtId="0" fontId="26" fillId="0" borderId="23" xfId="22" applyFont="1" applyBorder="1" applyAlignment="1">
      <alignment horizontal="center" wrapText="1"/>
    </xf>
    <xf numFmtId="14" fontId="49" fillId="14" borderId="56" xfId="22" applyNumberFormat="1" applyFont="1" applyFill="1" applyBorder="1" applyAlignment="1">
      <alignment horizontal="center"/>
    </xf>
    <xf numFmtId="0" fontId="2" fillId="0" borderId="70" xfId="22" applyBorder="1"/>
    <xf numFmtId="14" fontId="49" fillId="14" borderId="30" xfId="22" applyNumberFormat="1" applyFont="1" applyFill="1" applyBorder="1" applyAlignment="1">
      <alignment horizontal="center"/>
    </xf>
    <xf numFmtId="14" fontId="49" fillId="14" borderId="29" xfId="22" applyNumberFormat="1" applyFont="1" applyFill="1" applyBorder="1" applyAlignment="1">
      <alignment horizontal="center"/>
    </xf>
    <xf numFmtId="0" fontId="26" fillId="0" borderId="70" xfId="22" applyFont="1" applyBorder="1"/>
    <xf numFmtId="0" fontId="2" fillId="0" borderId="71" xfId="22" applyBorder="1"/>
    <xf numFmtId="14" fontId="49" fillId="14" borderId="35" xfId="22" applyNumberFormat="1" applyFont="1" applyFill="1" applyBorder="1" applyAlignment="1">
      <alignment horizontal="center"/>
    </xf>
    <xf numFmtId="0" fontId="26" fillId="0" borderId="71" xfId="22" applyFont="1" applyBorder="1"/>
    <xf numFmtId="14" fontId="49" fillId="14" borderId="5" xfId="22" applyNumberFormat="1" applyFont="1" applyFill="1" applyBorder="1" applyAlignment="1">
      <alignment horizontal="center"/>
    </xf>
    <xf numFmtId="0" fontId="2" fillId="0" borderId="71" xfId="22" quotePrefix="1" applyBorder="1"/>
    <xf numFmtId="0" fontId="2" fillId="0" borderId="71" xfId="22" applyBorder="1" applyAlignment="1">
      <alignment horizontal="left" wrapText="1" indent="1"/>
    </xf>
    <xf numFmtId="0" fontId="2" fillId="0" borderId="71" xfId="22" applyBorder="1" applyAlignment="1">
      <alignment horizontal="left" indent="1"/>
    </xf>
    <xf numFmtId="0" fontId="2" fillId="0" borderId="71" xfId="22" applyBorder="1" applyAlignment="1">
      <alignment horizontal="left"/>
    </xf>
    <xf numFmtId="0" fontId="26" fillId="0" borderId="29" xfId="22" applyFont="1" applyBorder="1" applyAlignment="1">
      <alignment horizontal="center"/>
    </xf>
    <xf numFmtId="0" fontId="2" fillId="0" borderId="5" xfId="22" applyFont="1" applyBorder="1" applyAlignment="1">
      <alignment horizontal="right"/>
    </xf>
    <xf numFmtId="0" fontId="18" fillId="0" borderId="5" xfId="6" applyFont="1" applyBorder="1" applyAlignment="1">
      <alignment horizontal="center"/>
    </xf>
    <xf numFmtId="0" fontId="18" fillId="0" borderId="5" xfId="6" applyFont="1" applyBorder="1" applyAlignment="1">
      <alignment horizontal="center" wrapText="1"/>
    </xf>
    <xf numFmtId="0" fontId="2" fillId="0" borderId="70" xfId="22" quotePrefix="1" applyBorder="1"/>
    <xf numFmtId="0" fontId="13" fillId="2" borderId="23" xfId="6" applyFont="1" applyFill="1" applyBorder="1" applyAlignment="1">
      <alignment horizontal="center" wrapText="1"/>
    </xf>
    <xf numFmtId="0" fontId="41" fillId="0" borderId="0" xfId="6" applyFont="1" applyBorder="1" applyAlignment="1">
      <alignment horizontal="right"/>
    </xf>
    <xf numFmtId="0" fontId="1" fillId="0" borderId="71" xfId="22" applyFont="1" applyBorder="1" applyAlignment="1">
      <alignment horizontal="left" indent="1"/>
    </xf>
    <xf numFmtId="0" fontId="51" fillId="0" borderId="68" xfId="22" applyFont="1" applyBorder="1" applyAlignment="1">
      <alignment horizontal="left" indent="1"/>
    </xf>
    <xf numFmtId="0" fontId="2" fillId="0" borderId="74" xfId="22" quotePrefix="1" applyBorder="1"/>
    <xf numFmtId="0" fontId="1" fillId="0" borderId="74" xfId="22" applyFont="1" applyBorder="1" applyAlignment="1">
      <alignment horizontal="left" indent="1"/>
    </xf>
    <xf numFmtId="0" fontId="1" fillId="0" borderId="68" xfId="22" quotePrefix="1" applyFont="1" applyBorder="1"/>
    <xf numFmtId="0" fontId="1" fillId="0" borderId="71" xfId="22" quotePrefix="1" applyFont="1" applyBorder="1"/>
    <xf numFmtId="0" fontId="51" fillId="0" borderId="71" xfId="22" applyFont="1" applyBorder="1" applyAlignment="1">
      <alignment horizontal="left"/>
    </xf>
    <xf numFmtId="0" fontId="1" fillId="0" borderId="71" xfId="22" applyFont="1" applyBorder="1" applyAlignment="1">
      <alignment horizontal="left" vertical="top" indent="1"/>
    </xf>
    <xf numFmtId="0" fontId="51" fillId="0" borderId="71" xfId="22" applyFont="1" applyBorder="1"/>
    <xf numFmtId="0" fontId="19" fillId="2" borderId="55" xfId="18" applyFont="1" applyFill="1" applyBorder="1" applyAlignment="1">
      <alignment wrapText="1"/>
    </xf>
    <xf numFmtId="9" fontId="19" fillId="2" borderId="23" xfId="20" applyFont="1" applyFill="1" applyBorder="1"/>
    <xf numFmtId="0" fontId="19" fillId="14" borderId="58" xfId="18" applyFont="1" applyFill="1" applyBorder="1" applyAlignment="1">
      <alignment wrapText="1"/>
    </xf>
    <xf numFmtId="0" fontId="19" fillId="14" borderId="22" xfId="18" applyFont="1" applyFill="1" applyBorder="1"/>
    <xf numFmtId="172" fontId="9" fillId="16" borderId="5" xfId="6" applyNumberFormat="1" applyFill="1" applyBorder="1"/>
    <xf numFmtId="43" fontId="9" fillId="2" borderId="7" xfId="8" applyNumberFormat="1" applyFont="1" applyFill="1" applyBorder="1" applyAlignment="1">
      <alignment horizontal="center" wrapText="1"/>
    </xf>
    <xf numFmtId="0" fontId="9" fillId="0" borderId="0" xfId="6" applyFont="1" applyAlignment="1">
      <alignment horizontal="left" vertical="top" wrapText="1"/>
    </xf>
    <xf numFmtId="0" fontId="9" fillId="0" borderId="0" xfId="6" applyFont="1" applyAlignment="1">
      <alignment horizontal="left" vertical="top" wrapText="1" indent="2"/>
    </xf>
    <xf numFmtId="0" fontId="9" fillId="0" borderId="0" xfId="6" applyFont="1" applyAlignment="1">
      <alignment horizontal="left" wrapText="1"/>
    </xf>
    <xf numFmtId="0" fontId="9" fillId="0" borderId="0" xfId="6" applyFont="1" applyAlignment="1">
      <alignment horizontal="left"/>
    </xf>
    <xf numFmtId="0" fontId="9" fillId="0" borderId="0" xfId="6" applyFont="1" applyAlignment="1">
      <alignment horizontal="right"/>
    </xf>
    <xf numFmtId="14" fontId="49" fillId="4" borderId="58" xfId="22" applyNumberFormat="1" applyFont="1" applyFill="1" applyBorder="1" applyAlignment="1">
      <alignment horizontal="center"/>
    </xf>
    <xf numFmtId="14" fontId="49" fillId="4" borderId="55" xfId="22" applyNumberFormat="1" applyFont="1" applyFill="1" applyBorder="1" applyAlignment="1">
      <alignment horizontal="center"/>
    </xf>
    <xf numFmtId="14" fontId="49" fillId="4" borderId="34" xfId="22" applyNumberFormat="1" applyFont="1" applyFill="1" applyBorder="1" applyAlignment="1">
      <alignment horizontal="center"/>
    </xf>
    <xf numFmtId="14" fontId="49" fillId="4" borderId="5" xfId="22" applyNumberFormat="1" applyFont="1" applyFill="1" applyBorder="1" applyAlignment="1">
      <alignment horizontal="center"/>
    </xf>
    <xf numFmtId="14" fontId="49" fillId="4" borderId="30" xfId="22" applyNumberFormat="1" applyFont="1" applyFill="1" applyBorder="1" applyAlignment="1">
      <alignment horizontal="center"/>
    </xf>
    <xf numFmtId="14" fontId="52" fillId="4" borderId="22" xfId="22" applyNumberFormat="1" applyFont="1" applyFill="1" applyBorder="1" applyAlignment="1">
      <alignment horizontal="center"/>
    </xf>
    <xf numFmtId="14" fontId="49" fillId="4" borderId="28" xfId="22" applyNumberFormat="1" applyFont="1" applyFill="1" applyBorder="1" applyAlignment="1">
      <alignment horizontal="center"/>
    </xf>
    <xf numFmtId="14" fontId="49" fillId="4" borderId="35" xfId="22" applyNumberFormat="1" applyFont="1" applyFill="1" applyBorder="1" applyAlignment="1">
      <alignment horizontal="center"/>
    </xf>
    <xf numFmtId="14" fontId="49" fillId="4" borderId="24" xfId="22" applyNumberFormat="1" applyFont="1" applyFill="1" applyBorder="1" applyAlignment="1">
      <alignment horizontal="center"/>
    </xf>
    <xf numFmtId="14" fontId="49" fillId="4" borderId="23" xfId="22" applyNumberFormat="1" applyFont="1" applyFill="1" applyBorder="1" applyAlignment="1">
      <alignment horizontal="center"/>
    </xf>
    <xf numFmtId="0" fontId="9" fillId="4" borderId="29" xfId="6" applyFill="1" applyBorder="1"/>
    <xf numFmtId="0" fontId="9" fillId="4" borderId="5" xfId="6" applyFill="1" applyBorder="1"/>
    <xf numFmtId="0" fontId="9" fillId="4" borderId="27" xfId="6" applyFill="1" applyBorder="1"/>
    <xf numFmtId="0" fontId="2" fillId="4" borderId="5" xfId="22" applyFill="1" applyBorder="1"/>
    <xf numFmtId="0" fontId="9" fillId="4" borderId="64" xfId="6" applyFont="1" applyFill="1" applyBorder="1" applyAlignment="1">
      <alignment horizontal="left" wrapText="1"/>
    </xf>
    <xf numFmtId="0" fontId="9" fillId="4" borderId="63" xfId="6" applyFont="1" applyFill="1" applyBorder="1" applyAlignment="1">
      <alignment horizontal="left" wrapText="1"/>
    </xf>
    <xf numFmtId="0" fontId="9" fillId="4" borderId="5" xfId="6" applyFont="1" applyFill="1" applyBorder="1" applyAlignment="1">
      <alignment horizontal="left" wrapText="1"/>
    </xf>
    <xf numFmtId="0" fontId="9" fillId="4" borderId="31" xfId="6" applyFont="1" applyFill="1" applyBorder="1" applyAlignment="1">
      <alignment horizontal="left" wrapText="1"/>
    </xf>
    <xf numFmtId="0" fontId="9" fillId="4" borderId="5" xfId="6" applyFill="1" applyBorder="1" applyAlignment="1">
      <alignment horizontal="left" wrapText="1"/>
    </xf>
    <xf numFmtId="0" fontId="9" fillId="4" borderId="31" xfId="6" applyFill="1" applyBorder="1" applyAlignment="1">
      <alignment horizontal="left" wrapText="1"/>
    </xf>
    <xf numFmtId="0" fontId="9" fillId="4" borderId="63" xfId="6" applyFill="1" applyBorder="1" applyAlignment="1">
      <alignment horizontal="left" wrapText="1"/>
    </xf>
    <xf numFmtId="0" fontId="9" fillId="4" borderId="32" xfId="6" applyFill="1" applyBorder="1" applyAlignment="1">
      <alignment horizontal="left" wrapText="1"/>
    </xf>
    <xf numFmtId="0" fontId="9" fillId="4" borderId="27" xfId="6" applyFill="1" applyBorder="1" applyAlignment="1">
      <alignment horizontal="left" wrapText="1"/>
    </xf>
    <xf numFmtId="0" fontId="9" fillId="4" borderId="61" xfId="6" applyFill="1" applyBorder="1" applyAlignment="1">
      <alignment horizontal="left" wrapText="1"/>
    </xf>
    <xf numFmtId="14" fontId="9" fillId="4" borderId="1" xfId="6" applyNumberFormat="1" applyFill="1" applyBorder="1" applyAlignment="1">
      <alignment horizontal="left"/>
    </xf>
    <xf numFmtId="44" fontId="9" fillId="4" borderId="59" xfId="11" applyFont="1" applyFill="1" applyBorder="1"/>
    <xf numFmtId="3" fontId="13" fillId="4" borderId="59" xfId="6" applyNumberFormat="1" applyFont="1" applyFill="1" applyBorder="1" applyAlignment="1">
      <alignment horizontal="right"/>
    </xf>
    <xf numFmtId="0" fontId="9" fillId="4" borderId="20" xfId="6" applyFill="1" applyBorder="1" applyAlignment="1">
      <alignment horizontal="center" wrapText="1"/>
    </xf>
    <xf numFmtId="172" fontId="9" fillId="4" borderId="30" xfId="8" applyNumberFormat="1" applyFont="1" applyFill="1" applyBorder="1" applyAlignment="1">
      <alignment horizontal="center" wrapText="1"/>
    </xf>
    <xf numFmtId="172" fontId="9" fillId="4" borderId="29" xfId="8" applyNumberFormat="1" applyFont="1" applyFill="1" applyBorder="1" applyAlignment="1">
      <alignment horizontal="center" wrapText="1"/>
    </xf>
    <xf numFmtId="172" fontId="9" fillId="4" borderId="62" xfId="8" applyNumberFormat="1" applyFont="1" applyFill="1" applyBorder="1" applyAlignment="1">
      <alignment horizontal="center" wrapText="1"/>
    </xf>
    <xf numFmtId="165" fontId="9" fillId="4" borderId="33" xfId="6" applyNumberFormat="1" applyFont="1" applyFill="1" applyBorder="1" applyAlignment="1">
      <alignment horizontal="center" wrapText="1"/>
    </xf>
    <xf numFmtId="172" fontId="9" fillId="4" borderId="34" xfId="8" applyNumberFormat="1" applyFont="1" applyFill="1" applyBorder="1" applyAlignment="1">
      <alignment horizontal="center" wrapText="1"/>
    </xf>
    <xf numFmtId="172" fontId="9" fillId="4" borderId="5" xfId="8" applyNumberFormat="1" applyFont="1" applyFill="1" applyBorder="1" applyAlignment="1">
      <alignment horizontal="center" wrapText="1"/>
    </xf>
    <xf numFmtId="172" fontId="9" fillId="4" borderId="31" xfId="8" applyNumberFormat="1" applyFont="1" applyFill="1" applyBorder="1" applyAlignment="1">
      <alignment horizontal="center" wrapText="1"/>
    </xf>
    <xf numFmtId="165" fontId="9" fillId="4" borderId="33" xfId="6" applyNumberFormat="1" applyFill="1" applyBorder="1" applyAlignment="1">
      <alignment horizontal="center" wrapText="1"/>
    </xf>
    <xf numFmtId="165" fontId="9" fillId="4" borderId="37" xfId="6" applyNumberFormat="1" applyFill="1" applyBorder="1" applyAlignment="1">
      <alignment horizontal="center" wrapText="1"/>
    </xf>
    <xf numFmtId="165" fontId="9" fillId="4" borderId="72" xfId="6" applyNumberFormat="1" applyFill="1" applyBorder="1" applyAlignment="1">
      <alignment horizontal="center" wrapText="1"/>
    </xf>
    <xf numFmtId="172" fontId="9" fillId="4" borderId="22" xfId="8" applyNumberFormat="1" applyFont="1" applyFill="1" applyBorder="1" applyAlignment="1">
      <alignment horizontal="center" wrapText="1"/>
    </xf>
    <xf numFmtId="172" fontId="9" fillId="4" borderId="23" xfId="8" applyNumberFormat="1" applyFont="1" applyFill="1" applyBorder="1" applyAlignment="1">
      <alignment horizontal="center" wrapText="1"/>
    </xf>
    <xf numFmtId="172" fontId="9" fillId="4" borderId="39" xfId="8" applyNumberFormat="1" applyFont="1" applyFill="1" applyBorder="1" applyAlignment="1">
      <alignment horizontal="center" wrapText="1"/>
    </xf>
    <xf numFmtId="172" fontId="13" fillId="4" borderId="31" xfId="8" applyNumberFormat="1" applyFont="1" applyFill="1" applyBorder="1" applyAlignment="1">
      <alignment horizontal="center" wrapText="1"/>
    </xf>
    <xf numFmtId="164" fontId="9" fillId="4" borderId="58" xfId="11" applyNumberFormat="1" applyFill="1" applyBorder="1" applyAlignment="1">
      <alignment horizontal="center" wrapText="1"/>
    </xf>
    <xf numFmtId="0" fontId="9" fillId="4" borderId="19" xfId="6" applyFill="1" applyBorder="1" applyAlignment="1">
      <alignment horizontal="center" wrapText="1"/>
    </xf>
    <xf numFmtId="0" fontId="9" fillId="4" borderId="56" xfId="6" applyFill="1" applyBorder="1" applyAlignment="1">
      <alignment horizontal="center" wrapText="1"/>
    </xf>
    <xf numFmtId="0" fontId="9" fillId="4" borderId="58" xfId="6" applyFill="1" applyBorder="1" applyAlignment="1">
      <alignment horizontal="center" wrapText="1"/>
    </xf>
    <xf numFmtId="0" fontId="9" fillId="4" borderId="21" xfId="6" applyFill="1" applyBorder="1" applyAlignment="1">
      <alignment horizontal="center" wrapText="1"/>
    </xf>
    <xf numFmtId="164" fontId="9" fillId="4" borderId="34" xfId="11" applyNumberFormat="1" applyFill="1" applyBorder="1" applyAlignment="1">
      <alignment horizontal="center" wrapText="1"/>
    </xf>
    <xf numFmtId="0" fontId="9" fillId="4" borderId="31" xfId="6" applyFill="1" applyBorder="1" applyAlignment="1">
      <alignment horizontal="center" wrapText="1"/>
    </xf>
    <xf numFmtId="0" fontId="9" fillId="4" borderId="35" xfId="6" applyFill="1" applyBorder="1" applyAlignment="1">
      <alignment horizontal="center" wrapText="1"/>
    </xf>
    <xf numFmtId="0" fontId="9" fillId="4" borderId="34" xfId="6" applyFill="1" applyBorder="1" applyAlignment="1">
      <alignment horizontal="center" wrapText="1"/>
    </xf>
    <xf numFmtId="0" fontId="9" fillId="4" borderId="32" xfId="6" applyFill="1" applyBorder="1" applyAlignment="1">
      <alignment horizontal="center" wrapText="1"/>
    </xf>
    <xf numFmtId="164" fontId="9" fillId="4" borderId="34" xfId="6" applyNumberFormat="1" applyFill="1" applyBorder="1" applyAlignment="1">
      <alignment horizontal="center" wrapText="1"/>
    </xf>
    <xf numFmtId="164" fontId="9" fillId="4" borderId="30" xfId="11" applyNumberFormat="1" applyFill="1" applyBorder="1" applyAlignment="1">
      <alignment horizontal="center" wrapText="1"/>
    </xf>
    <xf numFmtId="0" fontId="9" fillId="4" borderId="62" xfId="6" applyFill="1" applyBorder="1" applyAlignment="1">
      <alignment horizontal="center" wrapText="1"/>
    </xf>
    <xf numFmtId="0" fontId="9" fillId="4" borderId="36" xfId="6" applyFill="1" applyBorder="1" applyAlignment="1">
      <alignment horizontal="center" wrapText="1"/>
    </xf>
    <xf numFmtId="164" fontId="9" fillId="4" borderId="22" xfId="6" applyNumberFormat="1" applyFill="1" applyBorder="1" applyAlignment="1">
      <alignment horizontal="center" wrapText="1"/>
    </xf>
    <xf numFmtId="0" fontId="9" fillId="4" borderId="39" xfId="6" applyFill="1" applyBorder="1" applyAlignment="1">
      <alignment horizontal="center" wrapText="1"/>
    </xf>
    <xf numFmtId="0" fontId="9" fillId="4" borderId="24" xfId="6" applyFill="1" applyBorder="1" applyAlignment="1">
      <alignment horizontal="center" wrapText="1"/>
    </xf>
    <xf numFmtId="0" fontId="9" fillId="4" borderId="22" xfId="6" applyFill="1" applyBorder="1" applyAlignment="1">
      <alignment horizontal="center" wrapText="1"/>
    </xf>
    <xf numFmtId="0" fontId="9" fillId="4" borderId="69" xfId="6" applyFill="1" applyBorder="1" applyAlignment="1">
      <alignment horizontal="center" wrapText="1"/>
    </xf>
    <xf numFmtId="0" fontId="9" fillId="0" borderId="0" xfId="6" applyFont="1" applyAlignment="1">
      <alignment vertical="top"/>
    </xf>
    <xf numFmtId="0" fontId="14" fillId="0" borderId="0" xfId="23" applyFont="1" applyAlignment="1">
      <alignment vertical="center"/>
    </xf>
    <xf numFmtId="0" fontId="18" fillId="0" borderId="0" xfId="23" applyFont="1" applyAlignment="1">
      <alignment vertical="center"/>
    </xf>
    <xf numFmtId="0" fontId="9" fillId="0" borderId="0" xfId="23" applyFont="1" applyAlignment="1">
      <alignment horizontal="left" vertical="center" indent="1"/>
    </xf>
    <xf numFmtId="0" fontId="9" fillId="0" borderId="0" xfId="6" applyFont="1" applyFill="1" applyAlignment="1">
      <alignment horizontal="left" vertical="center" indent="4"/>
    </xf>
    <xf numFmtId="0" fontId="48" fillId="4" borderId="14" xfId="22" applyFont="1" applyFill="1" applyBorder="1" applyAlignment="1">
      <alignment horizontal="center"/>
    </xf>
    <xf numFmtId="6" fontId="13" fillId="4" borderId="5" xfId="3" applyNumberFormat="1" applyFont="1" applyFill="1" applyBorder="1" applyAlignment="1">
      <alignment horizontal="left"/>
    </xf>
    <xf numFmtId="3" fontId="12" fillId="4" borderId="5" xfId="3" applyNumberFormat="1" applyFill="1" applyBorder="1" applyAlignment="1">
      <alignment horizontal="left"/>
    </xf>
    <xf numFmtId="0" fontId="12" fillId="4" borderId="5" xfId="3" applyFill="1" applyBorder="1" applyAlignment="1">
      <alignment horizontal="left"/>
    </xf>
    <xf numFmtId="0" fontId="9" fillId="4" borderId="2" xfId="6" applyFont="1" applyFill="1" applyBorder="1"/>
    <xf numFmtId="0" fontId="9" fillId="4" borderId="2" xfId="6" applyFill="1" applyBorder="1"/>
    <xf numFmtId="0" fontId="9" fillId="4" borderId="3" xfId="6" applyFont="1" applyFill="1" applyBorder="1"/>
    <xf numFmtId="0" fontId="9" fillId="4" borderId="3" xfId="6" applyFill="1" applyBorder="1"/>
    <xf numFmtId="0" fontId="9" fillId="4" borderId="0" xfId="6" applyFill="1"/>
    <xf numFmtId="0" fontId="9" fillId="0" borderId="0" xfId="6" applyFont="1" applyAlignment="1">
      <alignment horizontal="left" vertical="top" wrapText="1" indent="2"/>
    </xf>
    <xf numFmtId="0" fontId="9" fillId="0" borderId="0" xfId="6" applyFont="1" applyAlignment="1">
      <alignment horizontal="left" vertical="top" wrapText="1"/>
    </xf>
    <xf numFmtId="0" fontId="9" fillId="0" borderId="0" xfId="6" applyFont="1" applyAlignment="1">
      <alignment horizontal="left" wrapText="1"/>
    </xf>
    <xf numFmtId="0" fontId="9" fillId="0" borderId="0" xfId="6" applyFont="1" applyAlignment="1">
      <alignment horizontal="left"/>
    </xf>
    <xf numFmtId="0" fontId="9" fillId="4" borderId="0" xfId="6" applyFont="1" applyFill="1" applyAlignment="1" applyProtection="1">
      <alignment horizontal="left" vertical="top" wrapText="1"/>
      <protection locked="0"/>
    </xf>
    <xf numFmtId="0" fontId="13" fillId="0" borderId="0" xfId="6" applyFont="1" applyAlignment="1">
      <alignment horizontal="left" wrapText="1"/>
    </xf>
    <xf numFmtId="0" fontId="9" fillId="0" borderId="0" xfId="6" applyFont="1" applyAlignment="1">
      <alignment horizontal="left" wrapText="1" readingOrder="1"/>
    </xf>
    <xf numFmtId="0" fontId="14" fillId="0" borderId="0" xfId="6" applyFont="1" applyAlignment="1">
      <alignment horizontal="left"/>
    </xf>
    <xf numFmtId="0" fontId="13" fillId="0" borderId="0" xfId="6" applyFont="1" applyAlignment="1">
      <alignment horizontal="left"/>
    </xf>
    <xf numFmtId="0" fontId="9" fillId="0" borderId="0" xfId="6" applyFont="1" applyAlignment="1">
      <alignment horizontal="left" vertical="center" wrapText="1"/>
    </xf>
    <xf numFmtId="0" fontId="18" fillId="0" borderId="0" xfId="6" applyFont="1" applyAlignment="1">
      <alignment horizontal="left"/>
    </xf>
    <xf numFmtId="0" fontId="9" fillId="0" borderId="0" xfId="6" applyFont="1" applyAlignment="1">
      <alignment horizontal="center"/>
    </xf>
    <xf numFmtId="0" fontId="23" fillId="4" borderId="0" xfId="7" applyFill="1" applyAlignment="1">
      <alignment horizontal="left" wrapText="1"/>
    </xf>
    <xf numFmtId="0" fontId="14" fillId="0" borderId="0" xfId="6" applyFont="1" applyBorder="1" applyAlignment="1">
      <alignment horizontal="left"/>
    </xf>
    <xf numFmtId="0" fontId="9" fillId="0" borderId="0" xfId="6" applyFont="1" applyFill="1" applyAlignment="1">
      <alignment horizontal="left" wrapText="1"/>
    </xf>
    <xf numFmtId="3" fontId="19" fillId="4" borderId="2" xfId="8" applyNumberFormat="1" applyFont="1" applyFill="1" applyBorder="1" applyAlignment="1" applyProtection="1">
      <alignment horizontal="center"/>
      <protection locked="0"/>
    </xf>
    <xf numFmtId="0" fontId="18" fillId="0" borderId="0" xfId="6" applyFont="1" applyAlignment="1">
      <alignment horizontal="right"/>
    </xf>
    <xf numFmtId="0" fontId="9" fillId="0" borderId="0" xfId="6" applyFont="1" applyAlignment="1">
      <alignment horizontal="right"/>
    </xf>
    <xf numFmtId="0" fontId="9" fillId="0" borderId="0" xfId="6" applyFont="1" applyAlignment="1">
      <alignment horizontal="right" vertical="top"/>
    </xf>
    <xf numFmtId="0" fontId="9" fillId="4" borderId="2" xfId="6" applyFont="1" applyFill="1" applyBorder="1" applyAlignment="1" applyProtection="1">
      <alignment horizontal="left" vertical="top" wrapText="1"/>
      <protection locked="0"/>
    </xf>
    <xf numFmtId="0" fontId="9" fillId="4" borderId="2" xfId="6" applyFont="1" applyFill="1" applyBorder="1" applyAlignment="1" applyProtection="1">
      <alignment horizontal="center"/>
      <protection locked="0"/>
    </xf>
    <xf numFmtId="0" fontId="9" fillId="0" borderId="0" xfId="6" applyFont="1" applyAlignment="1">
      <alignment horizontal="right" vertical="top" wrapText="1"/>
    </xf>
    <xf numFmtId="0" fontId="2" fillId="4" borderId="5" xfId="22" applyFill="1" applyBorder="1" applyAlignment="1">
      <alignment horizontal="center"/>
    </xf>
    <xf numFmtId="0" fontId="48" fillId="4" borderId="12" xfId="22" applyFont="1" applyFill="1" applyBorder="1" applyAlignment="1">
      <alignment horizontal="left"/>
    </xf>
    <xf numFmtId="0" fontId="48" fillId="4" borderId="13" xfId="22" applyFont="1" applyFill="1" applyBorder="1" applyAlignment="1">
      <alignment horizontal="left"/>
    </xf>
    <xf numFmtId="0" fontId="26" fillId="0" borderId="51" xfId="22" applyFont="1" applyBorder="1" applyAlignment="1">
      <alignment horizontal="center" vertical="center" wrapText="1"/>
    </xf>
    <xf numFmtId="0" fontId="26" fillId="0" borderId="40" xfId="22" applyFont="1" applyBorder="1" applyAlignment="1">
      <alignment horizontal="center" vertical="center" wrapText="1"/>
    </xf>
    <xf numFmtId="0" fontId="26" fillId="0" borderId="19" xfId="22" applyFont="1" applyBorder="1" applyAlignment="1">
      <alignment horizontal="center"/>
    </xf>
    <xf numFmtId="0" fontId="26" fillId="0" borderId="1" xfId="22" applyFont="1" applyBorder="1" applyAlignment="1">
      <alignment horizontal="center"/>
    </xf>
    <xf numFmtId="0" fontId="26" fillId="0" borderId="64" xfId="22" applyFont="1" applyBorder="1" applyAlignment="1">
      <alignment horizontal="center"/>
    </xf>
    <xf numFmtId="0" fontId="26" fillId="0" borderId="56" xfId="22" applyFont="1" applyBorder="1" applyAlignment="1">
      <alignment horizontal="center" vertical="center" wrapText="1"/>
    </xf>
    <xf numFmtId="0" fontId="26" fillId="0" borderId="24" xfId="22" applyFont="1" applyBorder="1" applyAlignment="1">
      <alignment horizontal="center" vertical="center"/>
    </xf>
    <xf numFmtId="0" fontId="26" fillId="0" borderId="46" xfId="22" applyFont="1" applyBorder="1" applyAlignment="1">
      <alignment horizontal="center" vertical="center"/>
    </xf>
    <xf numFmtId="0" fontId="26" fillId="0" borderId="44" xfId="22" applyFont="1" applyBorder="1" applyAlignment="1">
      <alignment horizontal="center" vertical="center"/>
    </xf>
    <xf numFmtId="0" fontId="26" fillId="0" borderId="70" xfId="22" applyFont="1" applyBorder="1" applyAlignment="1">
      <alignment horizontal="center" vertical="center"/>
    </xf>
    <xf numFmtId="0" fontId="26" fillId="0" borderId="47" xfId="22" applyFont="1" applyBorder="1" applyAlignment="1">
      <alignment horizontal="center"/>
    </xf>
    <xf numFmtId="0" fontId="26" fillId="0" borderId="48" xfId="22" applyFont="1" applyBorder="1" applyAlignment="1">
      <alignment horizontal="center"/>
    </xf>
    <xf numFmtId="0" fontId="26" fillId="0" borderId="73" xfId="22" applyFont="1" applyBorder="1" applyAlignment="1">
      <alignment horizontal="center"/>
    </xf>
    <xf numFmtId="0" fontId="26" fillId="0" borderId="29" xfId="22" applyFont="1" applyBorder="1" applyAlignment="1">
      <alignment horizontal="center"/>
    </xf>
    <xf numFmtId="0" fontId="19" fillId="10" borderId="5" xfId="18" applyFont="1" applyFill="1" applyBorder="1" applyAlignment="1" applyProtection="1">
      <alignment horizontal="left"/>
      <protection locked="0"/>
    </xf>
    <xf numFmtId="0" fontId="19" fillId="10" borderId="35" xfId="18" applyFont="1" applyFill="1" applyBorder="1" applyAlignment="1" applyProtection="1">
      <alignment horizontal="left"/>
      <protection locked="0"/>
    </xf>
    <xf numFmtId="0" fontId="28" fillId="8" borderId="12" xfId="10" applyFont="1" applyFill="1" applyBorder="1" applyAlignment="1">
      <alignment horizontal="center"/>
    </xf>
    <xf numFmtId="0" fontId="28" fillId="8" borderId="13" xfId="10" applyFont="1" applyFill="1" applyBorder="1" applyAlignment="1">
      <alignment horizontal="center"/>
    </xf>
    <xf numFmtId="0" fontId="28" fillId="8" borderId="14" xfId="10" applyFont="1" applyFill="1" applyBorder="1" applyAlignment="1">
      <alignment horizontal="center"/>
    </xf>
    <xf numFmtId="14" fontId="28" fillId="8" borderId="13" xfId="10" applyNumberFormat="1" applyFont="1" applyFill="1" applyBorder="1" applyAlignment="1">
      <alignment horizontal="right"/>
    </xf>
    <xf numFmtId="14" fontId="28" fillId="8" borderId="14" xfId="10" applyNumberFormat="1" applyFont="1" applyFill="1" applyBorder="1" applyAlignment="1">
      <alignment horizontal="right"/>
    </xf>
    <xf numFmtId="0" fontId="19" fillId="10" borderId="55" xfId="18" applyFont="1" applyFill="1" applyBorder="1" applyAlignment="1" applyProtection="1">
      <alignment horizontal="left"/>
      <protection locked="0"/>
    </xf>
    <xf numFmtId="0" fontId="19" fillId="10" borderId="56" xfId="18" applyFont="1" applyFill="1" applyBorder="1" applyAlignment="1" applyProtection="1">
      <alignment horizontal="left"/>
      <protection locked="0"/>
    </xf>
    <xf numFmtId="0" fontId="19" fillId="10" borderId="29" xfId="18" applyFont="1" applyFill="1" applyBorder="1" applyAlignment="1" applyProtection="1">
      <alignment horizontal="left"/>
      <protection locked="0"/>
    </xf>
    <xf numFmtId="0" fontId="19" fillId="10" borderId="28" xfId="18" applyFont="1" applyFill="1" applyBorder="1" applyAlignment="1" applyProtection="1">
      <alignment horizontal="left"/>
      <protection locked="0"/>
    </xf>
    <xf numFmtId="0" fontId="19" fillId="0" borderId="58" xfId="18" applyFont="1" applyBorder="1" applyAlignment="1">
      <alignment horizontal="left" wrapText="1"/>
    </xf>
    <xf numFmtId="0" fontId="19" fillId="0" borderId="55" xfId="18" applyFont="1" applyBorder="1" applyAlignment="1">
      <alignment horizontal="left" wrapText="1"/>
    </xf>
    <xf numFmtId="0" fontId="19" fillId="0" borderId="56" xfId="18" applyFont="1" applyBorder="1" applyAlignment="1">
      <alignment horizontal="left" wrapText="1"/>
    </xf>
    <xf numFmtId="0" fontId="4" fillId="11" borderId="8" xfId="18" applyFill="1" applyBorder="1" applyAlignment="1">
      <alignment horizontal="left" vertical="top" wrapText="1"/>
    </xf>
    <xf numFmtId="0" fontId="4" fillId="11" borderId="18" xfId="18" applyFill="1" applyBorder="1" applyAlignment="1">
      <alignment horizontal="left" vertical="top" wrapText="1"/>
    </xf>
    <xf numFmtId="0" fontId="4" fillId="11" borderId="0" xfId="18" applyFill="1" applyBorder="1" applyAlignment="1">
      <alignment horizontal="left" vertical="top" wrapText="1"/>
    </xf>
    <xf numFmtId="0" fontId="4" fillId="11" borderId="10" xfId="18" applyFill="1" applyBorder="1" applyAlignment="1">
      <alignment horizontal="left" vertical="top" wrapText="1"/>
    </xf>
    <xf numFmtId="0" fontId="4" fillId="11" borderId="6" xfId="18" applyFill="1" applyBorder="1" applyAlignment="1">
      <alignment horizontal="left" vertical="top" wrapText="1"/>
    </xf>
    <xf numFmtId="0" fontId="4" fillId="11" borderId="17" xfId="18" applyFill="1" applyBorder="1" applyAlignment="1">
      <alignment horizontal="left" vertical="top" wrapText="1"/>
    </xf>
    <xf numFmtId="0" fontId="32" fillId="8" borderId="15" xfId="10" applyFont="1" applyFill="1" applyBorder="1" applyAlignment="1">
      <alignment horizontal="center"/>
    </xf>
    <xf numFmtId="0" fontId="32" fillId="8" borderId="6" xfId="10" applyFont="1" applyFill="1" applyBorder="1" applyAlignment="1">
      <alignment horizontal="center"/>
    </xf>
    <xf numFmtId="0" fontId="32" fillId="8" borderId="17" xfId="10" applyFont="1" applyFill="1" applyBorder="1" applyAlignment="1">
      <alignment horizontal="center"/>
    </xf>
    <xf numFmtId="0" fontId="19" fillId="0" borderId="26" xfId="18" applyFont="1" applyBorder="1" applyAlignment="1">
      <alignment horizontal="center"/>
    </xf>
    <xf numFmtId="0" fontId="19" fillId="0" borderId="27" xfId="18" applyFont="1" applyBorder="1" applyAlignment="1">
      <alignment horizontal="center"/>
    </xf>
    <xf numFmtId="172" fontId="19" fillId="0" borderId="5" xfId="19" applyNumberFormat="1" applyFont="1" applyFill="1" applyBorder="1" applyAlignment="1" applyProtection="1">
      <alignment horizontal="right" wrapText="1"/>
      <protection locked="0"/>
    </xf>
    <xf numFmtId="0" fontId="32" fillId="8" borderId="12" xfId="10" applyFont="1" applyFill="1" applyBorder="1" applyAlignment="1">
      <alignment horizontal="center"/>
    </xf>
    <xf numFmtId="0" fontId="32" fillId="8" borderId="13" xfId="10" applyFont="1" applyFill="1" applyBorder="1" applyAlignment="1">
      <alignment horizontal="center"/>
    </xf>
    <xf numFmtId="0" fontId="32" fillId="8" borderId="8" xfId="10" applyFont="1" applyFill="1" applyBorder="1" applyAlignment="1">
      <alignment horizontal="center"/>
    </xf>
    <xf numFmtId="0" fontId="32" fillId="8" borderId="14" xfId="10" applyFont="1" applyFill="1" applyBorder="1" applyAlignment="1">
      <alignment horizontal="center"/>
    </xf>
    <xf numFmtId="0" fontId="30" fillId="11" borderId="34" xfId="18" applyFont="1" applyFill="1" applyBorder="1" applyAlignment="1">
      <alignment horizontal="left"/>
    </xf>
    <xf numFmtId="0" fontId="30" fillId="11" borderId="5" xfId="18" applyFont="1" applyFill="1" applyBorder="1" applyAlignment="1">
      <alignment horizontal="left"/>
    </xf>
    <xf numFmtId="0" fontId="19" fillId="11" borderId="0" xfId="18" applyFont="1" applyFill="1" applyBorder="1" applyAlignment="1">
      <alignment horizontal="left" vertical="top" wrapText="1"/>
    </xf>
    <xf numFmtId="0" fontId="19" fillId="11" borderId="10" xfId="18" applyFont="1" applyFill="1" applyBorder="1" applyAlignment="1">
      <alignment horizontal="left" vertical="top" wrapText="1"/>
    </xf>
    <xf numFmtId="0" fontId="19" fillId="11" borderId="6" xfId="18" applyFont="1" applyFill="1" applyBorder="1" applyAlignment="1">
      <alignment horizontal="left" vertical="top" wrapText="1"/>
    </xf>
    <xf numFmtId="0" fontId="19" fillId="11" borderId="17" xfId="18" applyFont="1" applyFill="1" applyBorder="1" applyAlignment="1">
      <alignment horizontal="left" vertical="top" wrapText="1"/>
    </xf>
    <xf numFmtId="0" fontId="19" fillId="10" borderId="34" xfId="18" applyFont="1" applyFill="1" applyBorder="1" applyAlignment="1" applyProtection="1">
      <alignment horizontal="left"/>
      <protection locked="0"/>
    </xf>
    <xf numFmtId="0" fontId="19" fillId="10" borderId="3" xfId="18" applyFont="1" applyFill="1" applyBorder="1" applyAlignment="1" applyProtection="1">
      <alignment horizontal="left"/>
      <protection locked="0"/>
    </xf>
    <xf numFmtId="0" fontId="19" fillId="10" borderId="32" xfId="18" applyFont="1" applyFill="1" applyBorder="1" applyAlignment="1" applyProtection="1">
      <alignment horizontal="left"/>
      <protection locked="0"/>
    </xf>
    <xf numFmtId="0" fontId="9" fillId="14" borderId="34" xfId="10" applyFont="1" applyFill="1" applyBorder="1" applyAlignment="1">
      <alignment horizontal="left" wrapText="1"/>
    </xf>
    <xf numFmtId="0" fontId="9" fillId="14" borderId="5" xfId="10" applyFont="1" applyFill="1" applyBorder="1" applyAlignment="1">
      <alignment horizontal="left" wrapText="1"/>
    </xf>
    <xf numFmtId="0" fontId="19" fillId="10" borderId="26" xfId="18" applyFont="1" applyFill="1" applyBorder="1" applyAlignment="1" applyProtection="1">
      <alignment horizontal="left"/>
      <protection locked="0"/>
    </xf>
    <xf numFmtId="0" fontId="19" fillId="10" borderId="27" xfId="18" applyFont="1" applyFill="1" applyBorder="1" applyAlignment="1" applyProtection="1">
      <alignment horizontal="left"/>
      <protection locked="0"/>
    </xf>
    <xf numFmtId="0" fontId="19" fillId="10" borderId="4" xfId="18" applyFont="1" applyFill="1" applyBorder="1" applyAlignment="1" applyProtection="1">
      <alignment horizontal="left"/>
      <protection locked="0"/>
    </xf>
    <xf numFmtId="0" fontId="19" fillId="10" borderId="38" xfId="18" applyFont="1" applyFill="1" applyBorder="1" applyAlignment="1" applyProtection="1">
      <alignment horizontal="left"/>
      <protection locked="0"/>
    </xf>
    <xf numFmtId="0" fontId="34" fillId="0" borderId="12" xfId="18" applyFont="1" applyFill="1" applyBorder="1" applyAlignment="1">
      <alignment horizontal="left"/>
    </xf>
    <xf numFmtId="0" fontId="34" fillId="0" borderId="13" xfId="18" applyFont="1" applyFill="1" applyBorder="1" applyAlignment="1">
      <alignment horizontal="left"/>
    </xf>
    <xf numFmtId="0" fontId="34" fillId="0" borderId="14" xfId="18" applyFont="1" applyFill="1" applyBorder="1" applyAlignment="1">
      <alignment horizontal="left"/>
    </xf>
    <xf numFmtId="0" fontId="35" fillId="8" borderId="12" xfId="18" applyFont="1" applyFill="1" applyBorder="1" applyAlignment="1">
      <alignment horizontal="center" wrapText="1"/>
    </xf>
    <xf numFmtId="0" fontId="35" fillId="8" borderId="14" xfId="18" applyFont="1" applyFill="1" applyBorder="1" applyAlignment="1">
      <alignment horizontal="center" wrapText="1"/>
    </xf>
    <xf numFmtId="0" fontId="30" fillId="13" borderId="12" xfId="18" applyFont="1" applyFill="1" applyBorder="1" applyAlignment="1">
      <alignment horizontal="center" wrapText="1"/>
    </xf>
    <xf numFmtId="0" fontId="30" fillId="13" borderId="13" xfId="18" applyFont="1" applyFill="1" applyBorder="1" applyAlignment="1">
      <alignment horizontal="center" wrapText="1"/>
    </xf>
    <xf numFmtId="0" fontId="30" fillId="13" borderId="14" xfId="18" applyFont="1" applyFill="1" applyBorder="1" applyAlignment="1">
      <alignment horizontal="center" wrapText="1"/>
    </xf>
    <xf numFmtId="0" fontId="36" fillId="0" borderId="12" xfId="18" applyFont="1" applyBorder="1" applyAlignment="1">
      <alignment horizontal="left"/>
    </xf>
    <xf numFmtId="0" fontId="36" fillId="0" borderId="13" xfId="18" applyFont="1" applyBorder="1" applyAlignment="1">
      <alignment horizontal="left"/>
    </xf>
    <xf numFmtId="0" fontId="36" fillId="0" borderId="14" xfId="18" applyFont="1" applyBorder="1" applyAlignment="1">
      <alignment horizontal="left"/>
    </xf>
    <xf numFmtId="0" fontId="30" fillId="0" borderId="7" xfId="18" applyFont="1" applyFill="1" applyBorder="1" applyAlignment="1" applyProtection="1">
      <alignment horizontal="left" vertical="top" wrapText="1"/>
      <protection locked="0"/>
    </xf>
    <xf numFmtId="0" fontId="30" fillId="0" borderId="8" xfId="18" applyFont="1" applyFill="1" applyBorder="1" applyAlignment="1" applyProtection="1">
      <alignment horizontal="left" vertical="top" wrapText="1"/>
      <protection locked="0"/>
    </xf>
    <xf numFmtId="0" fontId="30" fillId="0" borderId="18" xfId="18" applyFont="1" applyFill="1" applyBorder="1" applyAlignment="1" applyProtection="1">
      <alignment horizontal="left" vertical="top" wrapText="1"/>
      <protection locked="0"/>
    </xf>
    <xf numFmtId="0" fontId="30" fillId="0" borderId="11" xfId="18" applyFont="1" applyFill="1" applyBorder="1" applyAlignment="1" applyProtection="1">
      <alignment horizontal="left" vertical="top" wrapText="1"/>
      <protection locked="0"/>
    </xf>
    <xf numFmtId="0" fontId="30" fillId="0" borderId="0" xfId="18" applyFont="1" applyFill="1" applyBorder="1" applyAlignment="1" applyProtection="1">
      <alignment horizontal="left" vertical="top" wrapText="1"/>
      <protection locked="0"/>
    </xf>
    <xf numFmtId="0" fontId="30" fillId="0" borderId="10" xfId="18" applyFont="1" applyFill="1" applyBorder="1" applyAlignment="1" applyProtection="1">
      <alignment horizontal="left" vertical="top" wrapText="1"/>
      <protection locked="0"/>
    </xf>
    <xf numFmtId="0" fontId="30" fillId="0" borderId="15" xfId="18" applyFont="1" applyFill="1" applyBorder="1" applyAlignment="1" applyProtection="1">
      <alignment horizontal="left" vertical="top" wrapText="1"/>
      <protection locked="0"/>
    </xf>
    <xf numFmtId="0" fontId="30" fillId="0" borderId="6" xfId="18" applyFont="1" applyFill="1" applyBorder="1" applyAlignment="1" applyProtection="1">
      <alignment horizontal="left" vertical="top" wrapText="1"/>
      <protection locked="0"/>
    </xf>
    <xf numFmtId="0" fontId="30" fillId="0" borderId="17" xfId="18" applyFont="1" applyFill="1" applyBorder="1" applyAlignment="1" applyProtection="1">
      <alignment horizontal="left" vertical="top" wrapText="1"/>
      <protection locked="0"/>
    </xf>
    <xf numFmtId="0" fontId="13" fillId="0" borderId="13" xfId="10" applyFont="1" applyBorder="1" applyAlignment="1">
      <alignment horizontal="center"/>
    </xf>
    <xf numFmtId="0" fontId="13" fillId="0" borderId="14" xfId="10" applyFont="1" applyBorder="1" applyAlignment="1">
      <alignment horizontal="center"/>
    </xf>
    <xf numFmtId="0" fontId="9" fillId="14" borderId="58" xfId="10" applyFont="1" applyFill="1" applyBorder="1" applyAlignment="1">
      <alignment horizontal="left" wrapText="1"/>
    </xf>
    <xf numFmtId="0" fontId="9" fillId="14" borderId="55" xfId="10" applyFont="1" applyFill="1" applyBorder="1" applyAlignment="1">
      <alignment horizontal="left" wrapText="1"/>
    </xf>
    <xf numFmtId="0" fontId="9" fillId="14" borderId="33" xfId="10" applyFont="1" applyFill="1" applyBorder="1" applyAlignment="1">
      <alignment horizontal="right" wrapText="1"/>
    </xf>
    <xf numFmtId="0" fontId="9" fillId="14" borderId="3" xfId="10" applyFont="1" applyFill="1" applyBorder="1" applyAlignment="1">
      <alignment horizontal="right" wrapText="1"/>
    </xf>
    <xf numFmtId="0" fontId="9" fillId="14" borderId="57" xfId="10" applyFont="1" applyFill="1" applyBorder="1" applyAlignment="1">
      <alignment horizontal="right" wrapText="1"/>
    </xf>
    <xf numFmtId="0" fontId="19" fillId="14" borderId="25" xfId="18" applyFont="1" applyFill="1" applyBorder="1" applyAlignment="1">
      <alignment horizontal="right"/>
    </xf>
    <xf numFmtId="0" fontId="19" fillId="14" borderId="4" xfId="18" applyFont="1" applyFill="1" applyBorder="1" applyAlignment="1">
      <alignment horizontal="right"/>
    </xf>
    <xf numFmtId="0" fontId="19" fillId="14" borderId="60" xfId="18" applyFont="1" applyFill="1" applyBorder="1" applyAlignment="1">
      <alignment horizontal="right"/>
    </xf>
    <xf numFmtId="0" fontId="37" fillId="0" borderId="62" xfId="18" applyFont="1" applyBorder="1" applyAlignment="1">
      <alignment horizontal="left"/>
    </xf>
    <xf numFmtId="0" fontId="37" fillId="0" borderId="2" xfId="18" applyFont="1" applyBorder="1" applyAlignment="1">
      <alignment horizontal="left"/>
    </xf>
    <xf numFmtId="0" fontId="37" fillId="0" borderId="63" xfId="18" applyFont="1" applyBorder="1" applyAlignment="1">
      <alignment horizontal="left"/>
    </xf>
    <xf numFmtId="0" fontId="45" fillId="15" borderId="42" xfId="6" applyFont="1" applyFill="1" applyBorder="1" applyAlignment="1">
      <alignment horizontal="center"/>
    </xf>
    <xf numFmtId="0" fontId="45" fillId="15" borderId="6" xfId="6" applyFont="1" applyFill="1" applyBorder="1" applyAlignment="1">
      <alignment horizontal="center"/>
    </xf>
    <xf numFmtId="0" fontId="45" fillId="15" borderId="17" xfId="6" applyFont="1" applyFill="1" applyBorder="1" applyAlignment="1">
      <alignment horizontal="center"/>
    </xf>
    <xf numFmtId="0" fontId="13" fillId="0" borderId="12" xfId="6" applyFont="1" applyBorder="1" applyAlignment="1">
      <alignment horizontal="center"/>
    </xf>
    <xf numFmtId="0" fontId="13" fillId="0" borderId="13" xfId="6" applyFont="1" applyBorder="1" applyAlignment="1">
      <alignment horizontal="center"/>
    </xf>
    <xf numFmtId="0" fontId="13" fillId="0" borderId="14" xfId="6" applyFont="1" applyBorder="1" applyAlignment="1">
      <alignment horizontal="center"/>
    </xf>
    <xf numFmtId="0" fontId="9" fillId="4" borderId="62" xfId="6" applyFill="1" applyBorder="1" applyAlignment="1">
      <alignment horizontal="left" wrapText="1"/>
    </xf>
    <xf numFmtId="0" fontId="9" fillId="4" borderId="36" xfId="6" applyFill="1" applyBorder="1" applyAlignment="1">
      <alignment horizontal="left" wrapText="1"/>
    </xf>
    <xf numFmtId="0" fontId="9" fillId="4" borderId="31" xfId="6" applyFill="1" applyBorder="1" applyAlignment="1">
      <alignment horizontal="left" wrapText="1"/>
    </xf>
    <xf numFmtId="0" fontId="9" fillId="4" borderId="32" xfId="6" applyFill="1" applyBorder="1" applyAlignment="1">
      <alignment horizontal="left" wrapText="1"/>
    </xf>
    <xf numFmtId="0" fontId="9" fillId="4" borderId="61" xfId="6" applyFill="1" applyBorder="1" applyAlignment="1">
      <alignment horizontal="left" wrapText="1"/>
    </xf>
    <xf numFmtId="0" fontId="9" fillId="4" borderId="38" xfId="6" applyFill="1" applyBorder="1" applyAlignment="1">
      <alignment horizontal="left" wrapText="1"/>
    </xf>
    <xf numFmtId="0" fontId="10" fillId="0" borderId="12" xfId="6" applyFont="1" applyBorder="1" applyAlignment="1">
      <alignment horizontal="right"/>
    </xf>
    <xf numFmtId="0" fontId="10" fillId="0" borderId="13" xfId="6" applyFont="1" applyBorder="1" applyAlignment="1">
      <alignment horizontal="right"/>
    </xf>
    <xf numFmtId="0" fontId="10" fillId="0" borderId="14" xfId="6" applyFont="1" applyBorder="1" applyAlignment="1">
      <alignment horizontal="right"/>
    </xf>
    <xf numFmtId="0" fontId="9" fillId="4" borderId="31" xfId="6" applyFont="1" applyFill="1" applyBorder="1" applyAlignment="1">
      <alignment horizontal="left" wrapText="1"/>
    </xf>
    <xf numFmtId="0" fontId="9" fillId="2" borderId="6" xfId="6" applyFont="1" applyFill="1" applyBorder="1" applyAlignment="1">
      <alignment horizontal="left"/>
    </xf>
    <xf numFmtId="0" fontId="9" fillId="2" borderId="6" xfId="6" applyFill="1" applyBorder="1" applyAlignment="1">
      <alignment horizontal="left"/>
    </xf>
    <xf numFmtId="0" fontId="17" fillId="2" borderId="6" xfId="6" applyFont="1" applyFill="1" applyBorder="1" applyAlignment="1">
      <alignment horizontal="left"/>
    </xf>
    <xf numFmtId="0" fontId="17" fillId="2" borderId="17" xfId="6" applyFont="1" applyFill="1" applyBorder="1" applyAlignment="1">
      <alignment horizontal="left"/>
    </xf>
    <xf numFmtId="164" fontId="53" fillId="2" borderId="0" xfId="6" applyNumberFormat="1" applyFont="1" applyFill="1" applyBorder="1" applyAlignment="1">
      <alignment horizontal="center"/>
    </xf>
    <xf numFmtId="0" fontId="13" fillId="2" borderId="58" xfId="6" applyFont="1" applyFill="1" applyBorder="1" applyAlignment="1">
      <alignment horizontal="center"/>
    </xf>
    <xf numFmtId="0" fontId="13" fillId="2" borderId="55" xfId="6" applyFont="1" applyFill="1" applyBorder="1" applyAlignment="1">
      <alignment horizontal="center"/>
    </xf>
    <xf numFmtId="0" fontId="13" fillId="2" borderId="19" xfId="6" applyFont="1" applyFill="1" applyBorder="1" applyAlignment="1">
      <alignment horizontal="center"/>
    </xf>
    <xf numFmtId="0" fontId="13" fillId="2" borderId="56" xfId="6" applyFont="1" applyFill="1" applyBorder="1" applyAlignment="1">
      <alignment horizontal="center"/>
    </xf>
    <xf numFmtId="0" fontId="13" fillId="2" borderId="20" xfId="6" applyFont="1" applyFill="1" applyBorder="1" applyAlignment="1">
      <alignment horizontal="center"/>
    </xf>
    <xf numFmtId="0" fontId="13" fillId="2" borderId="1" xfId="6" applyFont="1" applyFill="1" applyBorder="1" applyAlignment="1">
      <alignment horizontal="center"/>
    </xf>
    <xf numFmtId="0" fontId="13" fillId="2" borderId="8" xfId="6" applyFont="1" applyFill="1" applyBorder="1" applyAlignment="1">
      <alignment horizontal="center"/>
    </xf>
    <xf numFmtId="0" fontId="13" fillId="2" borderId="21" xfId="6" applyFont="1" applyFill="1" applyBorder="1" applyAlignment="1">
      <alignment horizontal="center"/>
    </xf>
    <xf numFmtId="0" fontId="13" fillId="2" borderId="7" xfId="6" applyFont="1" applyFill="1" applyBorder="1" applyAlignment="1">
      <alignment horizontal="center"/>
    </xf>
    <xf numFmtId="0" fontId="13" fillId="2" borderId="18" xfId="6" applyFont="1" applyFill="1" applyBorder="1" applyAlignment="1">
      <alignment horizontal="center"/>
    </xf>
    <xf numFmtId="0" fontId="13" fillId="2" borderId="23" xfId="6" applyFont="1" applyFill="1" applyBorder="1" applyAlignment="1">
      <alignment horizontal="center" wrapText="1"/>
    </xf>
    <xf numFmtId="0" fontId="13" fillId="2" borderId="24" xfId="6" applyFont="1" applyFill="1" applyBorder="1" applyAlignment="1">
      <alignment horizontal="center" wrapText="1"/>
    </xf>
    <xf numFmtId="0" fontId="9" fillId="4" borderId="19" xfId="6" applyFont="1" applyFill="1" applyBorder="1" applyAlignment="1">
      <alignment horizontal="left" wrapText="1"/>
    </xf>
    <xf numFmtId="0" fontId="9" fillId="4" borderId="21" xfId="6" applyFill="1" applyBorder="1" applyAlignment="1">
      <alignment horizontal="left" wrapText="1"/>
    </xf>
    <xf numFmtId="0" fontId="9" fillId="4" borderId="3" xfId="6" applyFill="1" applyBorder="1" applyAlignment="1">
      <alignment horizontal="left" wrapText="1"/>
    </xf>
    <xf numFmtId="0" fontId="9" fillId="4" borderId="12" xfId="6" applyFont="1" applyFill="1" applyBorder="1" applyAlignment="1">
      <alignment horizontal="left"/>
    </xf>
    <xf numFmtId="0" fontId="9" fillId="4" borderId="13" xfId="6" applyFont="1" applyFill="1" applyBorder="1" applyAlignment="1">
      <alignment horizontal="left"/>
    </xf>
    <xf numFmtId="0" fontId="9" fillId="4" borderId="14" xfId="6" applyFont="1" applyFill="1" applyBorder="1" applyAlignment="1">
      <alignment horizontal="left"/>
    </xf>
    <xf numFmtId="0" fontId="41" fillId="0" borderId="0" xfId="6" applyFont="1" applyBorder="1" applyAlignment="1">
      <alignment horizontal="right"/>
    </xf>
    <xf numFmtId="0" fontId="41" fillId="4" borderId="0" xfId="6" applyFont="1" applyFill="1" applyBorder="1" applyAlignment="1">
      <alignment horizontal="right"/>
    </xf>
    <xf numFmtId="0" fontId="9" fillId="0" borderId="0" xfId="6" applyBorder="1" applyAlignment="1">
      <alignment horizontal="center"/>
    </xf>
    <xf numFmtId="0" fontId="9" fillId="4" borderId="7" xfId="6" applyFill="1" applyBorder="1" applyAlignment="1">
      <alignment horizontal="left"/>
    </xf>
    <xf numFmtId="0" fontId="9" fillId="4" borderId="8" xfId="6" applyFill="1" applyBorder="1" applyAlignment="1">
      <alignment horizontal="left"/>
    </xf>
    <xf numFmtId="0" fontId="9" fillId="4" borderId="18" xfId="6" applyFill="1" applyBorder="1" applyAlignment="1">
      <alignment horizontal="left"/>
    </xf>
    <xf numFmtId="0" fontId="9" fillId="4" borderId="12" xfId="6" applyFill="1" applyBorder="1" applyAlignment="1">
      <alignment horizontal="left"/>
    </xf>
    <xf numFmtId="0" fontId="9" fillId="4" borderId="13" xfId="6" applyFill="1" applyBorder="1" applyAlignment="1">
      <alignment horizontal="left"/>
    </xf>
    <xf numFmtId="0" fontId="9" fillId="4" borderId="14" xfId="6" applyFill="1" applyBorder="1" applyAlignment="1">
      <alignment horizontal="left"/>
    </xf>
    <xf numFmtId="0" fontId="12" fillId="4" borderId="37" xfId="3" applyFill="1" applyBorder="1" applyAlignment="1">
      <alignment horizontal="left" vertical="top" wrapText="1"/>
    </xf>
    <xf numFmtId="0" fontId="12" fillId="4" borderId="2" xfId="3" applyFill="1" applyBorder="1" applyAlignment="1">
      <alignment horizontal="left" vertical="top" wrapText="1"/>
    </xf>
    <xf numFmtId="0" fontId="12" fillId="4" borderId="36" xfId="3" applyFill="1" applyBorder="1" applyAlignment="1">
      <alignment horizontal="left" vertical="top" wrapText="1"/>
    </xf>
    <xf numFmtId="0" fontId="13" fillId="0" borderId="25" xfId="3" applyFont="1" applyBorder="1" applyAlignment="1">
      <alignment horizontal="left"/>
    </xf>
    <xf numFmtId="0" fontId="13" fillId="0" borderId="4" xfId="3" applyFont="1" applyBorder="1" applyAlignment="1">
      <alignment horizontal="left"/>
    </xf>
    <xf numFmtId="0" fontId="13" fillId="0" borderId="38" xfId="3" applyFont="1" applyBorder="1" applyAlignment="1">
      <alignment horizontal="left"/>
    </xf>
    <xf numFmtId="0" fontId="12" fillId="4" borderId="19" xfId="3" applyFill="1" applyBorder="1" applyAlignment="1">
      <alignment horizontal="left" vertical="top" wrapText="1"/>
    </xf>
    <xf numFmtId="0" fontId="12" fillId="4" borderId="1" xfId="3" applyFill="1" applyBorder="1" applyAlignment="1">
      <alignment horizontal="left" vertical="top" wrapText="1"/>
    </xf>
    <xf numFmtId="0" fontId="12" fillId="4" borderId="64" xfId="3" applyFill="1" applyBorder="1" applyAlignment="1">
      <alignment horizontal="left" vertical="top" wrapText="1"/>
    </xf>
    <xf numFmtId="0" fontId="12" fillId="4" borderId="5" xfId="3" applyFill="1" applyBorder="1" applyAlignment="1">
      <alignment horizontal="left" vertical="top" wrapText="1"/>
    </xf>
    <xf numFmtId="0" fontId="13" fillId="0" borderId="49" xfId="3" applyFont="1" applyBorder="1" applyAlignment="1">
      <alignment horizontal="center"/>
    </xf>
    <xf numFmtId="0" fontId="13" fillId="0" borderId="8" xfId="3" applyFont="1" applyBorder="1" applyAlignment="1">
      <alignment horizontal="center"/>
    </xf>
    <xf numFmtId="0" fontId="12" fillId="0" borderId="1" xfId="3" applyBorder="1" applyAlignment="1">
      <alignment horizontal="center"/>
    </xf>
    <xf numFmtId="0" fontId="13" fillId="0" borderId="25" xfId="3" applyFont="1" applyBorder="1" applyAlignment="1">
      <alignment horizontal="left" vertical="top"/>
    </xf>
    <xf numFmtId="0" fontId="13" fillId="0" borderId="4" xfId="3" applyFont="1" applyBorder="1" applyAlignment="1">
      <alignment horizontal="left" vertical="top"/>
    </xf>
    <xf numFmtId="0" fontId="13" fillId="0" borderId="38" xfId="3" applyFont="1" applyBorder="1" applyAlignment="1">
      <alignment horizontal="left" vertical="top"/>
    </xf>
    <xf numFmtId="14" fontId="12" fillId="0" borderId="1" xfId="3" applyNumberFormat="1" applyBorder="1" applyAlignment="1">
      <alignment horizontal="center"/>
    </xf>
    <xf numFmtId="0" fontId="13" fillId="0" borderId="25" xfId="3" applyFont="1" applyBorder="1" applyAlignment="1">
      <alignment horizontal="left" vertical="top" wrapText="1"/>
    </xf>
    <xf numFmtId="0" fontId="13" fillId="0" borderId="4" xfId="3" applyFont="1" applyBorder="1" applyAlignment="1">
      <alignment horizontal="left" vertical="top" wrapText="1"/>
    </xf>
    <xf numFmtId="0" fontId="13" fillId="0" borderId="38" xfId="3" applyFont="1" applyBorder="1" applyAlignment="1">
      <alignment horizontal="left" vertical="top" wrapText="1"/>
    </xf>
    <xf numFmtId="0" fontId="9"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2" fillId="0" borderId="25" xfId="3" applyFont="1" applyBorder="1" applyAlignment="1">
      <alignment horizontal="left" vertical="top" wrapText="1"/>
    </xf>
    <xf numFmtId="0" fontId="12" fillId="0" borderId="4" xfId="3" applyFont="1" applyBorder="1" applyAlignment="1">
      <alignment horizontal="left" vertical="top" wrapText="1"/>
    </xf>
    <xf numFmtId="0" fontId="12" fillId="0" borderId="38" xfId="3" applyFont="1" applyBorder="1" applyAlignment="1">
      <alignment horizontal="left" vertical="top" wrapText="1"/>
    </xf>
    <xf numFmtId="14" fontId="12" fillId="0" borderId="6" xfId="3" applyNumberFormat="1" applyBorder="1" applyAlignment="1">
      <alignment horizontal="center"/>
    </xf>
    <xf numFmtId="0" fontId="12" fillId="0" borderId="6" xfId="3" applyBorder="1" applyAlignment="1">
      <alignment horizontal="center"/>
    </xf>
    <xf numFmtId="0" fontId="12" fillId="0" borderId="0" xfId="3" applyBorder="1" applyAlignment="1">
      <alignment horizontal="center"/>
    </xf>
    <xf numFmtId="0" fontId="12" fillId="0" borderId="10" xfId="3" applyBorder="1" applyAlignment="1">
      <alignment horizontal="center"/>
    </xf>
    <xf numFmtId="0" fontId="9" fillId="0" borderId="0" xfId="6" applyFont="1" applyFill="1" applyAlignment="1">
      <alignment horizontal="center" wrapText="1"/>
    </xf>
    <xf numFmtId="0" fontId="13" fillId="5" borderId="12" xfId="6" applyFont="1" applyFill="1" applyBorder="1" applyAlignment="1">
      <alignment horizontal="center"/>
    </xf>
    <xf numFmtId="0" fontId="13" fillId="5" borderId="13" xfId="6" applyFont="1" applyFill="1" applyBorder="1" applyAlignment="1">
      <alignment horizontal="center"/>
    </xf>
    <xf numFmtId="0" fontId="13" fillId="5" borderId="14" xfId="6" applyFont="1" applyFill="1" applyBorder="1" applyAlignment="1">
      <alignment horizontal="center"/>
    </xf>
    <xf numFmtId="0" fontId="13" fillId="6" borderId="5" xfId="6" applyFont="1" applyFill="1" applyBorder="1" applyAlignment="1">
      <alignment horizontal="center"/>
    </xf>
    <xf numFmtId="0" fontId="9" fillId="0" borderId="5" xfId="6" applyFont="1" applyBorder="1" applyAlignment="1">
      <alignment horizontal="center"/>
    </xf>
    <xf numFmtId="0" fontId="10" fillId="0" borderId="12" xfId="13" applyFont="1" applyBorder="1" applyAlignment="1">
      <alignment horizontal="center" wrapText="1"/>
    </xf>
    <xf numFmtId="0" fontId="10" fillId="0" borderId="13" xfId="13" applyFont="1" applyBorder="1" applyAlignment="1">
      <alignment horizontal="center" wrapText="1"/>
    </xf>
    <xf numFmtId="0" fontId="10" fillId="0" borderId="14" xfId="13" applyFont="1" applyBorder="1" applyAlignment="1">
      <alignment horizontal="center" wrapText="1"/>
    </xf>
    <xf numFmtId="0" fontId="10" fillId="0" borderId="12" xfId="15" applyFont="1" applyBorder="1" applyAlignment="1">
      <alignment horizontal="center" wrapText="1"/>
    </xf>
    <xf numFmtId="0" fontId="10" fillId="0" borderId="13" xfId="15" applyFont="1" applyBorder="1" applyAlignment="1">
      <alignment horizontal="center" wrapText="1"/>
    </xf>
    <xf numFmtId="0" fontId="10" fillId="0" borderId="14" xfId="15" applyFont="1" applyBorder="1" applyAlignment="1">
      <alignment horizontal="center" wrapText="1"/>
    </xf>
    <xf numFmtId="0" fontId="14" fillId="0" borderId="5" xfId="6" applyFont="1" applyBorder="1" applyAlignment="1">
      <alignment horizontal="center"/>
    </xf>
    <xf numFmtId="0" fontId="13" fillId="0" borderId="42" xfId="3" applyFont="1" applyBorder="1" applyAlignment="1">
      <alignment horizontal="left"/>
    </xf>
    <xf numFmtId="0" fontId="13" fillId="0" borderId="6" xfId="3" applyFont="1" applyBorder="1" applyAlignment="1">
      <alignment horizontal="left"/>
    </xf>
    <xf numFmtId="0" fontId="13" fillId="0" borderId="17" xfId="3" applyFont="1" applyBorder="1" applyAlignment="1">
      <alignment horizontal="left"/>
    </xf>
    <xf numFmtId="0" fontId="12" fillId="4" borderId="5" xfId="3" applyFill="1" applyBorder="1" applyAlignment="1">
      <alignment horizontal="center"/>
    </xf>
    <xf numFmtId="0" fontId="12" fillId="4" borderId="31" xfId="3" applyFill="1" applyBorder="1" applyAlignment="1">
      <alignment horizontal="center"/>
    </xf>
    <xf numFmtId="0" fontId="12" fillId="4" borderId="35" xfId="3" applyFill="1" applyBorder="1" applyAlignment="1">
      <alignment horizontal="center"/>
    </xf>
    <xf numFmtId="0" fontId="12" fillId="4" borderId="23" xfId="3" applyFill="1" applyBorder="1" applyAlignment="1">
      <alignment horizontal="center"/>
    </xf>
    <xf numFmtId="0" fontId="12" fillId="4" borderId="39" xfId="3" applyFill="1" applyBorder="1" applyAlignment="1">
      <alignment horizontal="center"/>
    </xf>
    <xf numFmtId="0" fontId="12" fillId="4" borderId="24" xfId="3" applyFill="1" applyBorder="1" applyAlignment="1">
      <alignment horizontal="center"/>
    </xf>
    <xf numFmtId="0" fontId="12" fillId="4" borderId="3" xfId="3" applyFill="1" applyBorder="1" applyAlignment="1">
      <alignment horizontal="center"/>
    </xf>
    <xf numFmtId="0" fontId="12" fillId="4" borderId="32" xfId="3" applyFill="1" applyBorder="1" applyAlignment="1">
      <alignment horizontal="center"/>
    </xf>
    <xf numFmtId="0" fontId="12" fillId="0" borderId="11" xfId="3" applyBorder="1" applyAlignment="1">
      <alignment horizontal="left"/>
    </xf>
    <xf numFmtId="0" fontId="12" fillId="0" borderId="0" xfId="3" applyBorder="1" applyAlignment="1">
      <alignment horizontal="left"/>
    </xf>
    <xf numFmtId="0" fontId="12" fillId="0" borderId="10" xfId="3" applyBorder="1" applyAlignment="1">
      <alignment horizontal="left"/>
    </xf>
    <xf numFmtId="0" fontId="12" fillId="0" borderId="15" xfId="3" applyBorder="1" applyAlignment="1">
      <alignment horizontal="left"/>
    </xf>
    <xf numFmtId="0" fontId="12" fillId="0" borderId="6" xfId="3" applyBorder="1" applyAlignment="1">
      <alignment horizontal="left"/>
    </xf>
    <xf numFmtId="0" fontId="12" fillId="0" borderId="17" xfId="3" applyBorder="1" applyAlignment="1">
      <alignment horizontal="left"/>
    </xf>
    <xf numFmtId="0" fontId="12" fillId="0" borderId="11" xfId="3" applyBorder="1" applyAlignment="1">
      <alignment horizontal="right"/>
    </xf>
    <xf numFmtId="0" fontId="12" fillId="0" borderId="0" xfId="3" applyBorder="1" applyAlignment="1">
      <alignment horizontal="right"/>
    </xf>
    <xf numFmtId="0" fontId="12" fillId="0" borderId="50" xfId="3" applyBorder="1" applyAlignment="1">
      <alignment horizontal="right"/>
    </xf>
    <xf numFmtId="0" fontId="13" fillId="0" borderId="43" xfId="3" applyFont="1" applyBorder="1" applyAlignment="1">
      <alignment horizontal="center"/>
    </xf>
    <xf numFmtId="0" fontId="13" fillId="0" borderId="13" xfId="3" applyFont="1" applyBorder="1" applyAlignment="1">
      <alignment horizontal="center"/>
    </xf>
    <xf numFmtId="0" fontId="13" fillId="0" borderId="14" xfId="3" applyFont="1" applyBorder="1" applyAlignment="1">
      <alignment horizontal="center"/>
    </xf>
    <xf numFmtId="0" fontId="13" fillId="0" borderId="12" xfId="3" applyFont="1" applyBorder="1" applyAlignment="1">
      <alignment horizontal="center"/>
    </xf>
    <xf numFmtId="0" fontId="12" fillId="4" borderId="19" xfId="3" applyFill="1" applyBorder="1" applyAlignment="1">
      <alignment horizontal="center"/>
    </xf>
    <xf numFmtId="0" fontId="12" fillId="4" borderId="1" xfId="3" applyFill="1" applyBorder="1" applyAlignment="1">
      <alignment horizontal="center"/>
    </xf>
    <xf numFmtId="0" fontId="12" fillId="4" borderId="21" xfId="3" applyFill="1" applyBorder="1" applyAlignment="1">
      <alignment horizontal="center"/>
    </xf>
    <xf numFmtId="0" fontId="10" fillId="0" borderId="12" xfId="3" applyFont="1" applyBorder="1" applyAlignment="1">
      <alignment horizontal="right" wrapText="1"/>
    </xf>
    <xf numFmtId="0" fontId="10" fillId="0" borderId="13" xfId="3" applyFont="1" applyBorder="1" applyAlignment="1">
      <alignment horizontal="right" wrapText="1"/>
    </xf>
    <xf numFmtId="0" fontId="11" fillId="4" borderId="13" xfId="3" applyFont="1" applyFill="1" applyBorder="1" applyAlignment="1">
      <alignment horizontal="center" wrapText="1"/>
    </xf>
    <xf numFmtId="0" fontId="11" fillId="4" borderId="14" xfId="3" applyFont="1" applyFill="1" applyBorder="1" applyAlignment="1">
      <alignment horizontal="center" wrapText="1"/>
    </xf>
    <xf numFmtId="0" fontId="12" fillId="0" borderId="7" xfId="3" applyBorder="1" applyAlignment="1">
      <alignment horizontal="left" wrapText="1"/>
    </xf>
    <xf numFmtId="0" fontId="12" fillId="0" borderId="8" xfId="3" applyBorder="1" applyAlignment="1">
      <alignment horizontal="left" wrapText="1"/>
    </xf>
    <xf numFmtId="0" fontId="12" fillId="0" borderId="18" xfId="3" applyBorder="1" applyAlignment="1">
      <alignment horizontal="left" wrapText="1"/>
    </xf>
    <xf numFmtId="0" fontId="12" fillId="0" borderId="11" xfId="3" applyFont="1" applyBorder="1" applyAlignment="1">
      <alignment horizontal="left" wrapText="1"/>
    </xf>
    <xf numFmtId="0" fontId="12" fillId="0" borderId="0" xfId="3" applyBorder="1" applyAlignment="1">
      <alignment horizontal="left" wrapText="1"/>
    </xf>
    <xf numFmtId="0" fontId="12" fillId="0" borderId="10" xfId="3" applyBorder="1" applyAlignment="1">
      <alignment horizontal="left" wrapText="1"/>
    </xf>
  </cellXfs>
  <cellStyles count="24">
    <cellStyle name="Comma 2" xfId="1"/>
    <cellStyle name="Comma 2 2" xfId="8"/>
    <cellStyle name="Comma 3" xfId="19"/>
    <cellStyle name="Currency" xfId="17" builtinId="4"/>
    <cellStyle name="Currency 2" xfId="2"/>
    <cellStyle name="Currency 2 10 2" xfId="11"/>
    <cellStyle name="Currency 2 2" xfId="14"/>
    <cellStyle name="Currency 3" xfId="21"/>
    <cellStyle name="Hyperlink" xfId="7" builtinId="8"/>
    <cellStyle name="Normal" xfId="0" builtinId="0"/>
    <cellStyle name="Normal 2" xfId="3"/>
    <cellStyle name="Normal 2 10 2" xfId="6"/>
    <cellStyle name="Normal 2 2" xfId="10"/>
    <cellStyle name="Normal 3" xfId="4"/>
    <cellStyle name="Normal 4" xfId="5"/>
    <cellStyle name="Normal 4 2" xfId="22"/>
    <cellStyle name="Normal 5" xfId="23"/>
    <cellStyle name="Normal 6" xfId="9"/>
    <cellStyle name="Normal 6 2" xfId="15"/>
    <cellStyle name="Normal 6 3" xfId="18"/>
    <cellStyle name="Normal_CommercialAvoidedCosts_7-15-02" xfId="13"/>
    <cellStyle name="Percent 2" xfId="12"/>
    <cellStyle name="Percent 2 2" xfId="16"/>
    <cellStyle name="Percent 2 3" xfId="20"/>
  </cellStyles>
  <dxfs count="23">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numFmt numFmtId="2" formatCode="0.00"/>
    </dxf>
    <dxf>
      <numFmt numFmtId="2" formatCode="0.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s>
  <tableStyles count="0" defaultTableStyle="TableStyleMedium9" defaultPivotStyle="PivotStyleLight16"/>
  <colors>
    <mruColors>
      <color rgb="FFFFFFCC"/>
      <color rgb="FFFFFF99"/>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 Cash</a:t>
            </a:r>
            <a:r>
              <a:rPr lang="en-US" baseline="0"/>
              <a:t> Flow</a:t>
            </a:r>
            <a:endParaRPr lang="en-US"/>
          </a:p>
        </c:rich>
      </c:tx>
      <c:layout/>
      <c:overlay val="0"/>
    </c:title>
    <c:autoTitleDeleted val="0"/>
    <c:plotArea>
      <c:layout>
        <c:manualLayout>
          <c:layoutTarget val="inner"/>
          <c:xMode val="edge"/>
          <c:yMode val="edge"/>
          <c:x val="0.15836351706036744"/>
          <c:y val="0.20444663167104113"/>
          <c:w val="0.811080927384077"/>
          <c:h val="0.67957349081364826"/>
        </c:manualLayout>
      </c:layout>
      <c:barChart>
        <c:barDir val="col"/>
        <c:grouping val="stacked"/>
        <c:varyColors val="0"/>
        <c:ser>
          <c:idx val="0"/>
          <c:order val="0"/>
          <c:tx>
            <c:strRef>
              <c:f>'IncentiveEst (optional)'!$M$3</c:f>
              <c:strCache>
                <c:ptCount val="1"/>
                <c:pt idx="0">
                  <c:v>Invested</c:v>
                </c:pt>
              </c:strCache>
            </c:strRef>
          </c:tx>
          <c:spPr>
            <a:solidFill>
              <a:srgbClr val="C00000"/>
            </a:solidFill>
          </c:spPr>
          <c:invertIfNegative val="0"/>
          <c:cat>
            <c:strRef>
              <c:f>'IncentiveEst (optional)'!$L$4:$L$9</c:f>
              <c:strCache>
                <c:ptCount val="6"/>
                <c:pt idx="0">
                  <c:v>Yr 0 </c:v>
                </c:pt>
                <c:pt idx="1">
                  <c:v>Yr 1 </c:v>
                </c:pt>
                <c:pt idx="2">
                  <c:v>Yr 2</c:v>
                </c:pt>
                <c:pt idx="3">
                  <c:v>Yr 3</c:v>
                </c:pt>
                <c:pt idx="4">
                  <c:v>Yr 4</c:v>
                </c:pt>
                <c:pt idx="5">
                  <c:v>Yr 5</c:v>
                </c:pt>
              </c:strCache>
            </c:strRef>
          </c:cat>
          <c:val>
            <c:numRef>
              <c:f>'IncentiveEst (optional)'!$M$4:$M$9</c:f>
              <c:numCache>
                <c:formatCode>General</c:formatCode>
                <c:ptCount val="6"/>
                <c:pt idx="0" formatCode="_(&quot;$&quot;* #,##0_);_(&quot;$&quot;* \(#,##0\);_(&quot;$&quot;* &quot;-&quot;??_);_(@_)">
                  <c:v>-22500</c:v>
                </c:pt>
                <c:pt idx="1">
                  <c:v>-25000</c:v>
                </c:pt>
                <c:pt idx="2">
                  <c:v>-25000</c:v>
                </c:pt>
                <c:pt idx="3">
                  <c:v>0</c:v>
                </c:pt>
                <c:pt idx="4">
                  <c:v>0</c:v>
                </c:pt>
                <c:pt idx="5">
                  <c:v>0</c:v>
                </c:pt>
              </c:numCache>
            </c:numRef>
          </c:val>
          <c:extLst>
            <c:ext xmlns:c16="http://schemas.microsoft.com/office/drawing/2014/chart" uri="{C3380CC4-5D6E-409C-BE32-E72D297353CC}">
              <c16:uniqueId val="{00000000-7CBE-4C53-A66A-E5E0564209C2}"/>
            </c:ext>
          </c:extLst>
        </c:ser>
        <c:ser>
          <c:idx val="1"/>
          <c:order val="1"/>
          <c:tx>
            <c:strRef>
              <c:f>'IncentiveEst (optional)'!$N$3</c:f>
              <c:strCache>
                <c:ptCount val="1"/>
                <c:pt idx="0">
                  <c:v>Incentive</c:v>
                </c:pt>
              </c:strCache>
            </c:strRef>
          </c:tx>
          <c:spPr>
            <a:solidFill>
              <a:schemeClr val="accent3">
                <a:lumMod val="60000"/>
                <a:lumOff val="40000"/>
              </a:schemeClr>
            </a:solidFill>
          </c:spPr>
          <c:invertIfNegative val="0"/>
          <c:cat>
            <c:strRef>
              <c:f>'IncentiveEst (optional)'!$L$4:$L$9</c:f>
              <c:strCache>
                <c:ptCount val="6"/>
                <c:pt idx="0">
                  <c:v>Yr 0 </c:v>
                </c:pt>
                <c:pt idx="1">
                  <c:v>Yr 1 </c:v>
                </c:pt>
                <c:pt idx="2">
                  <c:v>Yr 2</c:v>
                </c:pt>
                <c:pt idx="3">
                  <c:v>Yr 3</c:v>
                </c:pt>
                <c:pt idx="4">
                  <c:v>Yr 4</c:v>
                </c:pt>
                <c:pt idx="5">
                  <c:v>Yr 5</c:v>
                </c:pt>
              </c:strCache>
            </c:strRef>
          </c:cat>
          <c:val>
            <c:numRef>
              <c:f>'IncentiveEst (optional)'!$N$4:$N$9</c:f>
              <c:numCache>
                <c:formatCode>General</c:formatCode>
                <c:ptCount val="6"/>
                <c:pt idx="0" formatCode="_(&quot;$&quot;* #,##0_);_(&quot;$&quot;* \(#,##0\);_(&quot;$&quot;* &quot;-&quot;??_);_(@_)">
                  <c:v>22500</c:v>
                </c:pt>
                <c:pt idx="1">
                  <c:v>10800.8</c:v>
                </c:pt>
                <c:pt idx="2">
                  <c:v>25000</c:v>
                </c:pt>
                <c:pt idx="3">
                  <c:v>0</c:v>
                </c:pt>
                <c:pt idx="4">
                  <c:v>0</c:v>
                </c:pt>
                <c:pt idx="5">
                  <c:v>0</c:v>
                </c:pt>
              </c:numCache>
            </c:numRef>
          </c:val>
          <c:extLst>
            <c:ext xmlns:c16="http://schemas.microsoft.com/office/drawing/2014/chart" uri="{C3380CC4-5D6E-409C-BE32-E72D297353CC}">
              <c16:uniqueId val="{00000001-7CBE-4C53-A66A-E5E0564209C2}"/>
            </c:ext>
          </c:extLst>
        </c:ser>
        <c:ser>
          <c:idx val="2"/>
          <c:order val="2"/>
          <c:tx>
            <c:strRef>
              <c:f>'IncentiveEst (optional)'!$O$3</c:f>
              <c:strCache>
                <c:ptCount val="1"/>
                <c:pt idx="0">
                  <c:v>Energy Savings</c:v>
                </c:pt>
              </c:strCache>
            </c:strRef>
          </c:tx>
          <c:spPr>
            <a:solidFill>
              <a:schemeClr val="tx2">
                <a:lumMod val="40000"/>
                <a:lumOff val="60000"/>
              </a:schemeClr>
            </a:solidFill>
          </c:spPr>
          <c:invertIfNegative val="0"/>
          <c:cat>
            <c:strRef>
              <c:f>'IncentiveEst (optional)'!$L$4:$L$9</c:f>
              <c:strCache>
                <c:ptCount val="6"/>
                <c:pt idx="0">
                  <c:v>Yr 0 </c:v>
                </c:pt>
                <c:pt idx="1">
                  <c:v>Yr 1 </c:v>
                </c:pt>
                <c:pt idx="2">
                  <c:v>Yr 2</c:v>
                </c:pt>
                <c:pt idx="3">
                  <c:v>Yr 3</c:v>
                </c:pt>
                <c:pt idx="4">
                  <c:v>Yr 4</c:v>
                </c:pt>
                <c:pt idx="5">
                  <c:v>Yr 5</c:v>
                </c:pt>
              </c:strCache>
            </c:strRef>
          </c:cat>
          <c:val>
            <c:numRef>
              <c:f>'IncentiveEst (optional)'!$O$4:$O$9</c:f>
              <c:numCache>
                <c:formatCode>General</c:formatCode>
                <c:ptCount val="6"/>
                <c:pt idx="0" formatCode="_(&quot;$&quot;* #,##0_);_(&quot;$&quot;* \(#,##0\);_(&quot;$&quot;* &quot;-&quot;??_);_(@_)">
                  <c:v>8505.6350000000002</c:v>
                </c:pt>
                <c:pt idx="1">
                  <c:v>12207.618599999998</c:v>
                </c:pt>
                <c:pt idx="2">
                  <c:v>13082.341</c:v>
                </c:pt>
                <c:pt idx="3">
                  <c:v>13082.341</c:v>
                </c:pt>
                <c:pt idx="4">
                  <c:v>13082.341</c:v>
                </c:pt>
                <c:pt idx="5">
                  <c:v>13082.341</c:v>
                </c:pt>
              </c:numCache>
            </c:numRef>
          </c:val>
          <c:extLst>
            <c:ext xmlns:c16="http://schemas.microsoft.com/office/drawing/2014/chart" uri="{C3380CC4-5D6E-409C-BE32-E72D297353CC}">
              <c16:uniqueId val="{00000002-7CBE-4C53-A66A-E5E0564209C2}"/>
            </c:ext>
          </c:extLst>
        </c:ser>
        <c:dLbls>
          <c:showLegendKey val="0"/>
          <c:showVal val="0"/>
          <c:showCatName val="0"/>
          <c:showSerName val="0"/>
          <c:showPercent val="0"/>
          <c:showBubbleSize val="0"/>
        </c:dLbls>
        <c:gapWidth val="150"/>
        <c:overlap val="100"/>
        <c:axId val="671756760"/>
        <c:axId val="31713592"/>
      </c:barChart>
      <c:scatterChart>
        <c:scatterStyle val="lineMarker"/>
        <c:varyColors val="0"/>
        <c:ser>
          <c:idx val="3"/>
          <c:order val="3"/>
          <c:tx>
            <c:v>SPB</c:v>
          </c:tx>
          <c:spPr>
            <a:ln>
              <a:solidFill>
                <a:schemeClr val="tx1"/>
              </a:solidFill>
              <a:prstDash val="dash"/>
            </a:ln>
          </c:spPr>
          <c:marker>
            <c:symbol val="none"/>
          </c:marker>
          <c:dPt>
            <c:idx val="1"/>
            <c:bubble3D val="0"/>
            <c:extLst>
              <c:ext xmlns:c16="http://schemas.microsoft.com/office/drawing/2014/chart" uri="{C3380CC4-5D6E-409C-BE32-E72D297353CC}">
                <c16:uniqueId val="{00000002-2E15-426D-A56D-B1295AFDC2DD}"/>
              </c:ext>
            </c:extLst>
          </c:dPt>
          <c:dLbls>
            <c:dLbl>
              <c:idx val="0"/>
              <c:layout>
                <c:manualLayout>
                  <c:x val="0"/>
                  <c:y val="-1.4298480786416443E-2"/>
                </c:manualLayout>
              </c:layout>
              <c:tx>
                <c:rich>
                  <a:bodyPr/>
                  <a:lstStyle/>
                  <a:p>
                    <a:fld id="{049BBF9D-CEE7-4A88-872E-12A62852F200}" type="SERIESNAME">
                      <a:rPr lang="en-US" b="1"/>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2E15-426D-A56D-B1295AFDC2DD}"/>
                </c:ext>
              </c:extLst>
            </c:dLbl>
            <c:dLbl>
              <c:idx val="1"/>
              <c:layout>
                <c:manualLayout>
                  <c:x val="0"/>
                  <c:y val="2.5022341376228777E-2"/>
                </c:manualLayout>
              </c:layout>
              <c:tx>
                <c:rich>
                  <a:bodyPr/>
                  <a:lstStyle/>
                  <a:p>
                    <a:fld id="{97826152-FFB0-457C-BEAB-A5E1A697AB0F}" type="SERIESNAME">
                      <a:rPr lang="en-US" b="1"/>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2E15-426D-A56D-B1295AFDC2DD}"/>
                </c:ext>
              </c:extLst>
            </c:dLbl>
            <c:spPr>
              <a:noFill/>
              <a:ln>
                <a:noFill/>
              </a:ln>
              <a:effectLst/>
            </c:spPr>
            <c:txPr>
              <a:bodyPr wrap="square" lIns="38100" tIns="19050" rIns="38100" bIns="19050" anchor="ctr">
                <a:spAutoFit/>
              </a:bodyPr>
              <a:lstStyle/>
              <a:p>
                <a:pPr>
                  <a:defRPr sz="14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'IncentiveEst (optional)'!$Q$4:$Q$5</c:f>
              <c:numCache>
                <c:formatCode>_(* #,##0.00_);_(* \(#,##0.00\);_(* "-"??_);_(@_)</c:formatCode>
                <c:ptCount val="2"/>
                <c:pt idx="0">
                  <c:v>3.7077589979981331</c:v>
                </c:pt>
                <c:pt idx="1">
                  <c:v>3.7077589979981331</c:v>
                </c:pt>
              </c:numCache>
            </c:numRef>
          </c:xVal>
          <c:yVal>
            <c:numRef>
              <c:f>'IncentiveEst (optional)'!$R$4:$R$5</c:f>
              <c:numCache>
                <c:formatCode>General</c:formatCode>
                <c:ptCount val="2"/>
                <c:pt idx="0">
                  <c:v>0</c:v>
                </c:pt>
                <c:pt idx="1">
                  <c:v>1</c:v>
                </c:pt>
              </c:numCache>
            </c:numRef>
          </c:yVal>
          <c:smooth val="0"/>
          <c:extLst>
            <c:ext xmlns:c16="http://schemas.microsoft.com/office/drawing/2014/chart" uri="{C3380CC4-5D6E-409C-BE32-E72D297353CC}">
              <c16:uniqueId val="{00000001-2E15-426D-A56D-B1295AFDC2DD}"/>
            </c:ext>
          </c:extLst>
        </c:ser>
        <c:dLbls>
          <c:showLegendKey val="0"/>
          <c:showVal val="0"/>
          <c:showCatName val="0"/>
          <c:showSerName val="0"/>
          <c:showPercent val="0"/>
          <c:showBubbleSize val="0"/>
        </c:dLbls>
        <c:axId val="423067344"/>
        <c:axId val="423068912"/>
      </c:scatterChart>
      <c:catAx>
        <c:axId val="671756760"/>
        <c:scaling>
          <c:orientation val="minMax"/>
        </c:scaling>
        <c:delete val="0"/>
        <c:axPos val="b"/>
        <c:numFmt formatCode="General" sourceLinked="0"/>
        <c:majorTickMark val="out"/>
        <c:minorTickMark val="none"/>
        <c:tickLblPos val="low"/>
        <c:crossAx val="31713592"/>
        <c:crosses val="autoZero"/>
        <c:auto val="1"/>
        <c:lblAlgn val="ctr"/>
        <c:lblOffset val="100"/>
        <c:noMultiLvlLbl val="0"/>
      </c:catAx>
      <c:valAx>
        <c:axId val="31713592"/>
        <c:scaling>
          <c:orientation val="minMax"/>
        </c:scaling>
        <c:delete val="0"/>
        <c:axPos val="l"/>
        <c:majorGridlines/>
        <c:numFmt formatCode="_(&quot;$&quot;* #,##0_);_(&quot;$&quot;* \(#,##0\);_(&quot;$&quot;* &quot;-&quot;??_);_(@_)" sourceLinked="1"/>
        <c:majorTickMark val="out"/>
        <c:minorTickMark val="none"/>
        <c:tickLblPos val="nextTo"/>
        <c:crossAx val="671756760"/>
        <c:crosses val="autoZero"/>
        <c:crossBetween val="between"/>
      </c:valAx>
      <c:valAx>
        <c:axId val="423068912"/>
        <c:scaling>
          <c:orientation val="minMax"/>
          <c:max val="1"/>
        </c:scaling>
        <c:delete val="0"/>
        <c:axPos val="r"/>
        <c:numFmt formatCode="General" sourceLinked="1"/>
        <c:majorTickMark val="out"/>
        <c:minorTickMark val="none"/>
        <c:tickLblPos val="none"/>
        <c:crossAx val="423067344"/>
        <c:crosses val="max"/>
        <c:crossBetween val="midCat"/>
      </c:valAx>
      <c:valAx>
        <c:axId val="423067344"/>
        <c:scaling>
          <c:orientation val="minMax"/>
        </c:scaling>
        <c:delete val="1"/>
        <c:axPos val="b"/>
        <c:numFmt formatCode="_(* #,##0.00_);_(* \(#,##0.00\);_(* &quot;-&quot;??_);_(@_)" sourceLinked="1"/>
        <c:majorTickMark val="out"/>
        <c:minorTickMark val="none"/>
        <c:tickLblPos val="nextTo"/>
        <c:crossAx val="423068912"/>
        <c:crosses val="autoZero"/>
        <c:crossBetween val="midCat"/>
      </c:valAx>
    </c:plotArea>
    <c:legend>
      <c:legendPos val="t"/>
      <c:layout>
        <c:manualLayout>
          <c:xMode val="edge"/>
          <c:yMode val="edge"/>
          <c:x val="0.1777946506686664"/>
          <c:y val="0.12593949884950706"/>
          <c:w val="0.8222053493313336"/>
          <c:h val="6.4813309626619256E-2"/>
        </c:manualLayout>
      </c:layout>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Pre-screen'!$G$18"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Pre-screen'!$I$18"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0</xdr:colOff>
          <xdr:row>19</xdr:row>
          <xdr:rowOff>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19050</xdr:rowOff>
        </xdr:from>
        <xdr:to>
          <xdr:col>3</xdr:col>
          <xdr:colOff>0</xdr:colOff>
          <xdr:row>20</xdr:row>
          <xdr:rowOff>19050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19050</xdr:rowOff>
        </xdr:from>
        <xdr:to>
          <xdr:col>1</xdr:col>
          <xdr:colOff>0</xdr:colOff>
          <xdr:row>22</xdr:row>
          <xdr:rowOff>19050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19050</xdr:rowOff>
        </xdr:from>
        <xdr:to>
          <xdr:col>1</xdr:col>
          <xdr:colOff>0</xdr:colOff>
          <xdr:row>24</xdr:row>
          <xdr:rowOff>19050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19050</xdr:rowOff>
        </xdr:from>
        <xdr:to>
          <xdr:col>1</xdr:col>
          <xdr:colOff>0</xdr:colOff>
          <xdr:row>26</xdr:row>
          <xdr:rowOff>19050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19050</xdr:rowOff>
        </xdr:from>
        <xdr:to>
          <xdr:col>1</xdr:col>
          <xdr:colOff>0</xdr:colOff>
          <xdr:row>27</xdr:row>
          <xdr:rowOff>19050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19050</xdr:rowOff>
        </xdr:from>
        <xdr:to>
          <xdr:col>1</xdr:col>
          <xdr:colOff>0</xdr:colOff>
          <xdr:row>29</xdr:row>
          <xdr:rowOff>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19050</xdr:rowOff>
        </xdr:from>
        <xdr:to>
          <xdr:col>1</xdr:col>
          <xdr:colOff>0</xdr:colOff>
          <xdr:row>30</xdr:row>
          <xdr:rowOff>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1</xdr:col>
          <xdr:colOff>9525</xdr:colOff>
          <xdr:row>36</xdr:row>
          <xdr:rowOff>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19050</xdr:rowOff>
        </xdr:from>
        <xdr:to>
          <xdr:col>1</xdr:col>
          <xdr:colOff>9525</xdr:colOff>
          <xdr:row>37</xdr:row>
          <xdr:rowOff>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19050</xdr:rowOff>
        </xdr:from>
        <xdr:to>
          <xdr:col>3</xdr:col>
          <xdr:colOff>9525</xdr:colOff>
          <xdr:row>38</xdr:row>
          <xdr:rowOff>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19050</xdr:rowOff>
        </xdr:from>
        <xdr:to>
          <xdr:col>3</xdr:col>
          <xdr:colOff>9525</xdr:colOff>
          <xdr:row>39</xdr:row>
          <xdr:rowOff>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19050</xdr:rowOff>
        </xdr:from>
        <xdr:to>
          <xdr:col>3</xdr:col>
          <xdr:colOff>9525</xdr:colOff>
          <xdr:row>40</xdr:row>
          <xdr:rowOff>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19050</xdr:rowOff>
        </xdr:from>
        <xdr:to>
          <xdr:col>3</xdr:col>
          <xdr:colOff>9525</xdr:colOff>
          <xdr:row>41</xdr:row>
          <xdr:rowOff>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19050</xdr:rowOff>
        </xdr:from>
        <xdr:to>
          <xdr:col>3</xdr:col>
          <xdr:colOff>9525</xdr:colOff>
          <xdr:row>42</xdr:row>
          <xdr:rowOff>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19050</xdr:rowOff>
        </xdr:from>
        <xdr:to>
          <xdr:col>3</xdr:col>
          <xdr:colOff>9525</xdr:colOff>
          <xdr:row>43</xdr:row>
          <xdr:rowOff>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19050</xdr:rowOff>
        </xdr:from>
        <xdr:to>
          <xdr:col>1</xdr:col>
          <xdr:colOff>9525</xdr:colOff>
          <xdr:row>44</xdr:row>
          <xdr:rowOff>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9525</xdr:colOff>
          <xdr:row>46</xdr:row>
          <xdr:rowOff>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19050</xdr:rowOff>
        </xdr:from>
        <xdr:to>
          <xdr:col>1</xdr:col>
          <xdr:colOff>9525</xdr:colOff>
          <xdr:row>47</xdr:row>
          <xdr:rowOff>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9525</xdr:colOff>
          <xdr:row>48</xdr:row>
          <xdr:rowOff>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19050</xdr:rowOff>
        </xdr:from>
        <xdr:to>
          <xdr:col>1</xdr:col>
          <xdr:colOff>9525</xdr:colOff>
          <xdr:row>49</xdr:row>
          <xdr:rowOff>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19050</xdr:rowOff>
        </xdr:from>
        <xdr:to>
          <xdr:col>1</xdr:col>
          <xdr:colOff>9525</xdr:colOff>
          <xdr:row>50</xdr:row>
          <xdr:rowOff>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1</xdr:col>
          <xdr:colOff>9525</xdr:colOff>
          <xdr:row>51</xdr:row>
          <xdr:rowOff>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19050</xdr:rowOff>
        </xdr:from>
        <xdr:to>
          <xdr:col>3</xdr:col>
          <xdr:colOff>9525</xdr:colOff>
          <xdr:row>52</xdr:row>
          <xdr:rowOff>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xdr:rowOff>
        </xdr:from>
        <xdr:to>
          <xdr:col>3</xdr:col>
          <xdr:colOff>9525</xdr:colOff>
          <xdr:row>53</xdr:row>
          <xdr:rowOff>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xdr:rowOff>
        </xdr:from>
        <xdr:to>
          <xdr:col>3</xdr:col>
          <xdr:colOff>9525</xdr:colOff>
          <xdr:row>54</xdr:row>
          <xdr:rowOff>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xdr:rowOff>
        </xdr:from>
        <xdr:to>
          <xdr:col>3</xdr:col>
          <xdr:colOff>9525</xdr:colOff>
          <xdr:row>55</xdr:row>
          <xdr:rowOff>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xdr:rowOff>
        </xdr:from>
        <xdr:to>
          <xdr:col>3</xdr:col>
          <xdr:colOff>9525</xdr:colOff>
          <xdr:row>56</xdr:row>
          <xdr:rowOff>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18</xdr:row>
          <xdr:rowOff>9525</xdr:rowOff>
        </xdr:from>
        <xdr:to>
          <xdr:col>5</xdr:col>
          <xdr:colOff>828675</xdr:colOff>
          <xdr:row>18</xdr:row>
          <xdr:rowOff>171450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18</xdr:row>
          <xdr:rowOff>9525</xdr:rowOff>
        </xdr:from>
        <xdr:to>
          <xdr:col>7</xdr:col>
          <xdr:colOff>590550</xdr:colOff>
          <xdr:row>18</xdr:row>
          <xdr:rowOff>171450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19050</xdr:rowOff>
    </xdr:from>
    <xdr:ext cx="4800600" cy="7619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8175" y="323850"/>
          <a:ext cx="4800600" cy="761999"/>
        </a:xfrm>
        <a:prstGeom prst="rect">
          <a:avLst/>
        </a:prstGeom>
      </xdr:spPr>
    </xdr:pic>
    <xdr:clientData/>
  </xdr:oneCellAnchor>
  <xdr:twoCellAnchor>
    <xdr:from>
      <xdr:col>4</xdr:col>
      <xdr:colOff>0</xdr:colOff>
      <xdr:row>4</xdr:row>
      <xdr:rowOff>190500</xdr:rowOff>
    </xdr:from>
    <xdr:to>
      <xdr:col>8</xdr:col>
      <xdr:colOff>1057275</xdr:colOff>
      <xdr:row>22</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Energy%20Efficiency/BEM/_Grants/250-%20CI%20Retro/_Commissioning/00_Existing%20Building%20(EBCx)/0_Onboarding/EBCx_Onboard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Energy%20Efficiency/BEM/_Grants/250-%20CI%20Retro/_Commissioning/02_Building%20Tune-up/00_Requirements/Building%20Tune-Up_FormVer05-27-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Energy%20Efficiency/BEM/_Grants/250-%20CI%20Retro/_Commissioning/02_Building%20Tune-up/00_Requirements/Building%20Tune-Up_FormVer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Energy%20Efficiency/BEM/_Grants/250-%20CI%20Retro/_Commissioning/Nexant/EBCx_Forms_PSE%20Nexant%20Edi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4-Energy%20Efficiency/BEM/_Grants/250-%20CI%20Retro/_Commissioning/Building%20Tune-up/00_Requirements/Building%20Tune-Up_FormVer05-2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eScreen"/>
      <sheetName val="IncentiveEst (optional)"/>
      <sheetName val="Tables"/>
      <sheetName val="Cx_Schedule"/>
      <sheetName val="EEI_SummaryTable "/>
      <sheetName val="HiddenTables"/>
      <sheetName val="Implementation_Cost"/>
      <sheetName val="Training Tracking"/>
      <sheetName val="Performance_Changes"/>
    </sheetNames>
    <sheetDataSet>
      <sheetData sheetId="0" refreshError="1"/>
      <sheetData sheetId="1" refreshError="1"/>
      <sheetData sheetId="2">
        <row r="1">
          <cell r="H1">
            <v>44258.578424305553</v>
          </cell>
        </row>
        <row r="6">
          <cell r="B6" t="str">
            <v>All PSE (gas/elec)</v>
          </cell>
        </row>
        <row r="9">
          <cell r="B9">
            <v>51298</v>
          </cell>
          <cell r="D9">
            <v>83660</v>
          </cell>
        </row>
        <row r="10">
          <cell r="B10">
            <v>12549</v>
          </cell>
        </row>
        <row r="11">
          <cell r="J11" t="str">
            <v>Years</v>
          </cell>
        </row>
        <row r="12">
          <cell r="J12" t="str">
            <v xml:space="preserve">Yr 0 </v>
          </cell>
        </row>
        <row r="13">
          <cell r="J13" t="str">
            <v xml:space="preserve">Yr 1 </v>
          </cell>
          <cell r="K13">
            <v>-63847</v>
          </cell>
          <cell r="L13">
            <v>29280.999999999996</v>
          </cell>
          <cell r="M13">
            <v>5336.5040961231998</v>
          </cell>
          <cell r="N13">
            <v>5341.8406002193233</v>
          </cell>
        </row>
        <row r="14">
          <cell r="J14" t="str">
            <v>Yr 2</v>
          </cell>
          <cell r="K14">
            <v>-2000</v>
          </cell>
          <cell r="L14">
            <v>4401.4720000000007</v>
          </cell>
          <cell r="M14">
            <v>5080.3518995092863</v>
          </cell>
          <cell r="N14">
            <v>7481.823899509287</v>
          </cell>
        </row>
        <row r="15">
          <cell r="J15" t="str">
            <v>Yr 3</v>
          </cell>
          <cell r="K15">
            <v>-1000</v>
          </cell>
          <cell r="M15">
            <v>4836.4950083328404</v>
          </cell>
          <cell r="N15">
            <v>3836.4950083328404</v>
          </cell>
        </row>
        <row r="16">
          <cell r="J16" t="str">
            <v>Yr 4</v>
          </cell>
          <cell r="K16">
            <v>-1000</v>
          </cell>
          <cell r="M16">
            <v>4604.343247932864</v>
          </cell>
          <cell r="N16">
            <v>3604.343247932864</v>
          </cell>
        </row>
        <row r="17">
          <cell r="J17" t="str">
            <v>Yr 5</v>
          </cell>
          <cell r="K17">
            <v>-1000</v>
          </cell>
          <cell r="M17">
            <v>4383.3347720320862</v>
          </cell>
          <cell r="N17">
            <v>3383.3347720320862</v>
          </cell>
        </row>
        <row r="18">
          <cell r="J18" t="str">
            <v>Yr 6</v>
          </cell>
          <cell r="K18">
            <v>-1000</v>
          </cell>
          <cell r="M18">
            <v>4172.9347029745459</v>
          </cell>
          <cell r="N18">
            <v>3172.9347029745459</v>
          </cell>
        </row>
        <row r="19">
          <cell r="J19" t="str">
            <v>Yr 7</v>
          </cell>
          <cell r="K19">
            <v>-1000</v>
          </cell>
          <cell r="M19">
            <v>3972.6338372317673</v>
          </cell>
          <cell r="N19">
            <v>2972.6338372317673</v>
          </cell>
        </row>
        <row r="20">
          <cell r="J20" t="str">
            <v>Years</v>
          </cell>
          <cell r="K20" t="str">
            <v>Invested</v>
          </cell>
          <cell r="L20" t="str">
            <v>Incentive</v>
          </cell>
          <cell r="M20" t="str">
            <v>Energy Savings</v>
          </cell>
          <cell r="N20" t="str">
            <v>Net Annual (MAX)</v>
          </cell>
        </row>
        <row r="21">
          <cell r="J21" t="str">
            <v xml:space="preserve">Yr 1 </v>
          </cell>
          <cell r="K21">
            <v>-63847</v>
          </cell>
          <cell r="L21">
            <v>29280.999999999996</v>
          </cell>
          <cell r="M21">
            <v>22851.997968799998</v>
          </cell>
          <cell r="N21">
            <v>22857.33447289612</v>
          </cell>
        </row>
        <row r="22">
          <cell r="J22" t="str">
            <v>Yr 2</v>
          </cell>
          <cell r="K22">
            <v>-2000</v>
          </cell>
          <cell r="L22">
            <v>18848</v>
          </cell>
          <cell r="M22">
            <v>21755.102066297597</v>
          </cell>
          <cell r="N22">
            <v>38603.102066297593</v>
          </cell>
        </row>
        <row r="23">
          <cell r="J23" t="str">
            <v>Yr 3</v>
          </cell>
          <cell r="K23">
            <v>-1000</v>
          </cell>
          <cell r="M23">
            <v>20710.857167115311</v>
          </cell>
          <cell r="N23">
            <v>19710.857167115311</v>
          </cell>
        </row>
        <row r="24">
          <cell r="E24" t="str">
            <v>Final Cost</v>
          </cell>
          <cell r="F24" t="str">
            <v xml:space="preserve">INSTRUCTIONS: Enter customer/utility data, fill all yellow cells and the existing energy use must be reduced for large uncontrollable process loads by completing the Process Loads section below. </v>
          </cell>
          <cell r="J24" t="str">
            <v>Yr 4</v>
          </cell>
          <cell r="K24">
            <v>-1000</v>
          </cell>
          <cell r="M24">
            <v>19716.736023093774</v>
          </cell>
          <cell r="N24">
            <v>18716.736023093774</v>
          </cell>
        </row>
        <row r="25">
          <cell r="E25">
            <v>31087.527999999998</v>
          </cell>
          <cell r="J25" t="str">
            <v>Yr 5</v>
          </cell>
          <cell r="K25">
            <v>-1000</v>
          </cell>
          <cell r="M25">
            <v>18770.33269398527</v>
          </cell>
          <cell r="N25">
            <v>17770.33269398527</v>
          </cell>
        </row>
        <row r="26">
          <cell r="E26" t="str">
            <v>Final Cost</v>
          </cell>
          <cell r="J26" t="str">
            <v>Yr 6</v>
          </cell>
          <cell r="K26">
            <v>-1000</v>
          </cell>
          <cell r="M26">
            <v>17869.356724673977</v>
          </cell>
          <cell r="N26">
            <v>16869.356724673977</v>
          </cell>
        </row>
        <row r="27">
          <cell r="E27">
            <v>16641</v>
          </cell>
          <cell r="J27" t="str">
            <v>Yr 7</v>
          </cell>
        </row>
        <row r="29">
          <cell r="E29" t="str">
            <v>Annual Use</v>
          </cell>
          <cell r="F29" t="str">
            <v>UOM</v>
          </cell>
          <cell r="G29" t="str">
            <v>Description</v>
          </cell>
        </row>
        <row r="30">
          <cell r="E30">
            <v>0</v>
          </cell>
        </row>
        <row r="31">
          <cell r="E31">
            <v>0</v>
          </cell>
        </row>
        <row r="32">
          <cell r="E32">
            <v>0</v>
          </cell>
        </row>
        <row r="33">
          <cell r="E33">
            <v>0</v>
          </cell>
        </row>
        <row r="36">
          <cell r="E36" t="str">
            <v>kbtus</v>
          </cell>
          <cell r="F36" t="str">
            <v>Assessment Incentive</v>
          </cell>
          <cell r="G36" t="str">
            <v>Base Incentive</v>
          </cell>
          <cell r="H36" t="str">
            <v>Performance Incentive</v>
          </cell>
          <cell r="I36" t="str">
            <v>Total Incentive</v>
          </cell>
        </row>
        <row r="37">
          <cell r="E37">
            <v>550184</v>
          </cell>
          <cell r="F37">
            <v>5000</v>
          </cell>
          <cell r="G37">
            <v>29280.999999999996</v>
          </cell>
          <cell r="H37">
            <v>4401.4720000000007</v>
          </cell>
          <cell r="I37">
            <v>38682.471999999994</v>
          </cell>
        </row>
        <row r="38">
          <cell r="E38">
            <v>2356000</v>
          </cell>
          <cell r="F38">
            <v>5000</v>
          </cell>
          <cell r="G38">
            <v>29280.999999999996</v>
          </cell>
          <cell r="H38">
            <v>18848</v>
          </cell>
          <cell r="I38">
            <v>53129</v>
          </cell>
        </row>
        <row r="40">
          <cell r="E40" t="str">
            <v>Annual Cost Savings</v>
          </cell>
          <cell r="F40" t="str">
            <v>Simple Payback (SPB)</v>
          </cell>
          <cell r="G40" t="str">
            <v>Internal Rate of Return (IRR)</v>
          </cell>
          <cell r="H40" t="str">
            <v>Accounting Rate of Return (ARR)</v>
          </cell>
          <cell r="I40" t="str">
            <v>Net Present Value (NPV)*</v>
          </cell>
        </row>
        <row r="41">
          <cell r="E41">
            <v>5331.1729231999998</v>
          </cell>
          <cell r="F41">
            <v>9.0107750568266169</v>
          </cell>
          <cell r="G41">
            <v>-0.13468225887667273</v>
          </cell>
          <cell r="H41">
            <v>6.7787982021001572E-2</v>
          </cell>
          <cell r="I41">
            <v>-17004.440613303275</v>
          </cell>
        </row>
        <row r="42">
          <cell r="E42">
            <v>22829.168799999999</v>
          </cell>
          <cell r="F42">
            <v>2.1042378029987669</v>
          </cell>
          <cell r="G42">
            <v>0.63648298465710451</v>
          </cell>
          <cell r="H42">
            <v>0.337274938865954</v>
          </cell>
          <cell r="I42">
            <v>55820.604872746655</v>
          </cell>
        </row>
        <row r="51">
          <cell r="E51" t="str">
            <v>PSE Grant</v>
          </cell>
          <cell r="F51" t="str">
            <v>Savings</v>
          </cell>
          <cell r="G51" t="str">
            <v>Load Type</v>
          </cell>
          <cell r="H51" t="str">
            <v>TRC</v>
          </cell>
          <cell r="I51" t="str">
            <v>Baseline Use</v>
          </cell>
        </row>
        <row r="52">
          <cell r="E52">
            <v>0</v>
          </cell>
          <cell r="F52">
            <v>0</v>
          </cell>
          <cell r="G52" t="str">
            <v>Misc.</v>
          </cell>
          <cell r="H52">
            <v>-9.99</v>
          </cell>
          <cell r="I52">
            <v>0</v>
          </cell>
        </row>
        <row r="53">
          <cell r="E53">
            <v>0</v>
          </cell>
          <cell r="F53">
            <v>0</v>
          </cell>
          <cell r="G53" t="str">
            <v>Misc.</v>
          </cell>
          <cell r="H53">
            <v>-9.99</v>
          </cell>
          <cell r="I53">
            <v>0</v>
          </cell>
        </row>
        <row r="54">
          <cell r="E54">
            <v>0</v>
          </cell>
          <cell r="F54">
            <v>0</v>
          </cell>
          <cell r="G54" t="str">
            <v>Misc.</v>
          </cell>
          <cell r="H54">
            <v>-9.99</v>
          </cell>
          <cell r="I54">
            <v>0</v>
          </cell>
        </row>
        <row r="56">
          <cell r="E56">
            <v>5000</v>
          </cell>
          <cell r="F56">
            <v>0</v>
          </cell>
          <cell r="G56" t="str">
            <v>Heating</v>
          </cell>
          <cell r="H56">
            <v>-9.99</v>
          </cell>
          <cell r="I56">
            <v>68773</v>
          </cell>
        </row>
        <row r="57">
          <cell r="E57">
            <v>29280.999999999996</v>
          </cell>
          <cell r="F57">
            <v>3438.65</v>
          </cell>
          <cell r="G57" t="str">
            <v>Heating</v>
          </cell>
          <cell r="H57">
            <v>-9.99</v>
          </cell>
          <cell r="I57">
            <v>68773</v>
          </cell>
        </row>
        <row r="58">
          <cell r="E58">
            <v>18848</v>
          </cell>
          <cell r="F58">
            <v>20121.349999999999</v>
          </cell>
          <cell r="G58" t="str">
            <v>Heating</v>
          </cell>
          <cell r="H58">
            <v>-9.99</v>
          </cell>
          <cell r="I58">
            <v>68773</v>
          </cell>
        </row>
        <row r="59">
          <cell r="E59">
            <v>53129</v>
          </cell>
        </row>
      </sheetData>
      <sheetData sheetId="3" refreshError="1"/>
      <sheetData sheetId="4" refreshError="1"/>
      <sheetData sheetId="5"/>
      <sheetData sheetId="6">
        <row r="3">
          <cell r="G3" t="str">
            <v>SCL Rates</v>
          </cell>
        </row>
        <row r="4">
          <cell r="G4" t="str">
            <v>Small GS</v>
          </cell>
          <cell r="H4">
            <v>9.7300000000000011E-2</v>
          </cell>
        </row>
        <row r="5">
          <cell r="G5" t="str">
            <v>Medium GS</v>
          </cell>
          <cell r="H5">
            <v>7.7512500000000012E-2</v>
          </cell>
        </row>
        <row r="6">
          <cell r="G6" t="str">
            <v>Large GS</v>
          </cell>
          <cell r="H6">
            <v>8.9285714285714288E-2</v>
          </cell>
        </row>
        <row r="7">
          <cell r="G7" t="str">
            <v>High Demand GS</v>
          </cell>
          <cell r="H7">
            <v>8.09E-2</v>
          </cell>
        </row>
        <row r="8">
          <cell r="G8" t="str">
            <v>PSE Rates</v>
          </cell>
        </row>
        <row r="9">
          <cell r="G9" t="str">
            <v xml:space="preserve">Sch 25 (&lt;20,000 kWh/mo) </v>
          </cell>
          <cell r="H9">
            <v>9.4196299999999997E-2</v>
          </cell>
        </row>
        <row r="10">
          <cell r="G10" t="str">
            <v xml:space="preserve">Sch 25 (&gt;20,000 kWh/mo) </v>
          </cell>
          <cell r="H10">
            <v>7.2469000000000006E-2</v>
          </cell>
        </row>
        <row r="11">
          <cell r="G11" t="str">
            <v>Sch 26 - Primary</v>
          </cell>
          <cell r="H11">
            <v>5.6940999999999999E-2</v>
          </cell>
        </row>
        <row r="12">
          <cell r="G12" t="str">
            <v>Sch 26 - Secondary</v>
          </cell>
          <cell r="H12">
            <v>5.8897999999999999E-2</v>
          </cell>
        </row>
        <row r="13">
          <cell r="G13" t="str">
            <v>Sch 31</v>
          </cell>
          <cell r="H13">
            <v>5.6633000000000003E-2</v>
          </cell>
        </row>
        <row r="14">
          <cell r="A14" t="str">
            <v>Sch 31</v>
          </cell>
          <cell r="B14">
            <v>0.81859999999999999</v>
          </cell>
        </row>
        <row r="15">
          <cell r="A15" t="str">
            <v>Sch 41 &lt; 5,000</v>
          </cell>
          <cell r="B15">
            <v>0.50558999999999998</v>
          </cell>
        </row>
        <row r="16">
          <cell r="A16" t="str">
            <v>Sch 41 &gt; 5,000</v>
          </cell>
          <cell r="B16">
            <v>0.47308</v>
          </cell>
        </row>
        <row r="17">
          <cell r="A17" t="str">
            <v>Sch 85 Interruptible &lt;25k</v>
          </cell>
          <cell r="B17">
            <v>0.47736000000000001</v>
          </cell>
        </row>
        <row r="18">
          <cell r="A18" t="str">
            <v>Sch 85 Interruptible 25-50k</v>
          </cell>
          <cell r="B18">
            <v>0.41961999999999999</v>
          </cell>
        </row>
        <row r="19">
          <cell r="A19" t="str">
            <v>Sch 85 Interruptible &gt;50k</v>
          </cell>
          <cell r="B19">
            <v>0.41682000000000002</v>
          </cell>
        </row>
        <row r="20">
          <cell r="A20" t="str">
            <v>Sch 86 Interruptible &lt;1,000</v>
          </cell>
          <cell r="B20">
            <v>0.62121000000000004</v>
          </cell>
        </row>
        <row r="21">
          <cell r="A21" t="str">
            <v>Sch 86 Interruptible &gt;1,000</v>
          </cell>
          <cell r="B21">
            <v>0.55139000000000005</v>
          </cell>
        </row>
        <row r="22">
          <cell r="A22" t="str">
            <v>Sch 87 Interruptible &lt;25k</v>
          </cell>
          <cell r="B22">
            <v>0.52439000000000002</v>
          </cell>
        </row>
        <row r="23">
          <cell r="A23" t="str">
            <v>Sch 87 Interruptible 25-50k</v>
          </cell>
          <cell r="B23">
            <v>0.46048</v>
          </cell>
        </row>
        <row r="24">
          <cell r="A24" t="str">
            <v>Sch 87 Interruptible 50-100k</v>
          </cell>
          <cell r="B24">
            <v>0.42499999999999999</v>
          </cell>
        </row>
        <row r="25">
          <cell r="A25" t="str">
            <v>Sch 87 Interruptible 100-200k</v>
          </cell>
          <cell r="B25">
            <v>0.40271000000000001</v>
          </cell>
        </row>
        <row r="26">
          <cell r="A26" t="str">
            <v>Sch 87 Interruptible 200-500k</v>
          </cell>
          <cell r="B26">
            <v>0.39154</v>
          </cell>
        </row>
        <row r="27">
          <cell r="A27" t="str">
            <v>Sch 87 Interruptible &gt;500k</v>
          </cell>
          <cell r="B27">
            <v>0.38496000000000002</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_1"/>
      <sheetName val="Pre-screen_2"/>
      <sheetName val="Provider Info_3"/>
      <sheetName val="IncentiveGoals_4"/>
      <sheetName val="Hidden"/>
      <sheetName val="Findings Checklist_5"/>
      <sheetName val="Tables_6"/>
      <sheetName val="FinalReport_7"/>
      <sheetName val="MeasureReference"/>
      <sheetName val="Ventilation_a"/>
      <sheetName val="Perf._Changes_b"/>
      <sheetName val="Imp_Cost_b"/>
    </sheetNames>
    <sheetDataSet>
      <sheetData sheetId="0" refreshError="1"/>
      <sheetData sheetId="1" refreshError="1"/>
      <sheetData sheetId="2" refreshError="1"/>
      <sheetData sheetId="3">
        <row r="1">
          <cell r="H1">
            <v>44106.556729050928</v>
          </cell>
        </row>
        <row r="6">
          <cell r="B6" t="str">
            <v>PSE elec/other gas</v>
          </cell>
        </row>
        <row r="8">
          <cell r="B8">
            <v>15000</v>
          </cell>
        </row>
        <row r="9">
          <cell r="B9">
            <v>15000</v>
          </cell>
        </row>
        <row r="10">
          <cell r="B10">
            <v>150000</v>
          </cell>
        </row>
        <row r="11">
          <cell r="J11" t="str">
            <v>Years</v>
          </cell>
        </row>
        <row r="12">
          <cell r="J12" t="str">
            <v xml:space="preserve">Yr 0 </v>
          </cell>
        </row>
        <row r="13">
          <cell r="J13" t="str">
            <v xml:space="preserve">Yr 1 </v>
          </cell>
          <cell r="L13">
            <v>5000</v>
          </cell>
          <cell r="M13">
            <v>5999.9074735599997</v>
          </cell>
          <cell r="N13">
            <v>6005.9073810335594</v>
          </cell>
        </row>
        <row r="14">
          <cell r="J14" t="str">
            <v>Yr 2</v>
          </cell>
          <cell r="M14">
            <v>5711.9119148291193</v>
          </cell>
          <cell r="N14">
            <v>5711.9119148291193</v>
          </cell>
        </row>
        <row r="15">
          <cell r="J15" t="str">
            <v>Yr 3</v>
          </cell>
          <cell r="M15">
            <v>5437.7401429173215</v>
          </cell>
          <cell r="N15">
            <v>5437.7401429173215</v>
          </cell>
        </row>
        <row r="16">
          <cell r="J16" t="str">
            <v>Yr 4</v>
          </cell>
          <cell r="M16">
            <v>5176.7286160572894</v>
          </cell>
          <cell r="N16">
            <v>5176.7286160572894</v>
          </cell>
        </row>
        <row r="17">
          <cell r="J17" t="str">
            <v>Yr 5</v>
          </cell>
          <cell r="M17">
            <v>4928.2456424865395</v>
          </cell>
          <cell r="N17">
            <v>4928.2456424865395</v>
          </cell>
        </row>
        <row r="20">
          <cell r="J20" t="str">
            <v>Years</v>
          </cell>
          <cell r="K20" t="str">
            <v>Invested</v>
          </cell>
          <cell r="L20" t="str">
            <v>Incentive</v>
          </cell>
          <cell r="M20" t="str">
            <v>Energy Savings</v>
          </cell>
          <cell r="N20" t="str">
            <v>Net Annual (MAX)</v>
          </cell>
        </row>
        <row r="21">
          <cell r="J21" t="str">
            <v xml:space="preserve">Yr 1 </v>
          </cell>
          <cell r="K21">
            <v>0</v>
          </cell>
          <cell r="L21">
            <v>10000</v>
          </cell>
          <cell r="M21">
            <v>11687.491375560001</v>
          </cell>
          <cell r="N21">
            <v>11693.491283033562</v>
          </cell>
        </row>
        <row r="22">
          <cell r="J22" t="str">
            <v>Yr 2</v>
          </cell>
          <cell r="K22">
            <v>0</v>
          </cell>
          <cell r="M22">
            <v>11126.49178953312</v>
          </cell>
          <cell r="N22">
            <v>11126.49178953312</v>
          </cell>
        </row>
        <row r="23">
          <cell r="J23" t="str">
            <v>Yr 3</v>
          </cell>
          <cell r="K23">
            <v>0</v>
          </cell>
          <cell r="M23">
            <v>10592.42018363553</v>
          </cell>
          <cell r="N23">
            <v>10592.42018363553</v>
          </cell>
        </row>
        <row r="24">
          <cell r="E24" t="str">
            <v xml:space="preserve">INSTRUCTIONS: Enter customer/utility data, fill all yellow cells and the existing energy use must be reduced for large uncontrollable process loads by completing the Process Loads section below. </v>
          </cell>
          <cell r="J24" t="str">
            <v>Yr 4</v>
          </cell>
          <cell r="K24">
            <v>0</v>
          </cell>
          <cell r="M24">
            <v>10083.984014821024</v>
          </cell>
          <cell r="N24">
            <v>10083.984014821024</v>
          </cell>
        </row>
        <row r="25">
          <cell r="J25" t="str">
            <v>Yr 5</v>
          </cell>
          <cell r="K25">
            <v>0</v>
          </cell>
          <cell r="M25">
            <v>9599.9527821096144</v>
          </cell>
          <cell r="N25">
            <v>9599.9527821096144</v>
          </cell>
        </row>
        <row r="29">
          <cell r="E29" t="str">
            <v>Annual Use</v>
          </cell>
          <cell r="F29" t="str">
            <v>UOM</v>
          </cell>
          <cell r="G29" t="str">
            <v>Description</v>
          </cell>
        </row>
        <row r="30">
          <cell r="E30">
            <v>0</v>
          </cell>
        </row>
        <row r="31">
          <cell r="E31">
            <v>0</v>
          </cell>
        </row>
        <row r="32">
          <cell r="E32">
            <v>0</v>
          </cell>
        </row>
        <row r="33">
          <cell r="E33">
            <v>0</v>
          </cell>
        </row>
        <row r="36">
          <cell r="E36" t="str">
            <v>kbtus</v>
          </cell>
          <cell r="F36" t="str">
            <v>Base Incentive</v>
          </cell>
          <cell r="G36" t="str">
            <v>Performance Incentive</v>
          </cell>
          <cell r="H36" t="str">
            <v>Total Incentive</v>
          </cell>
          <cell r="I36" t="str">
            <v>Percent Incentive</v>
          </cell>
        </row>
        <row r="37">
          <cell r="E37">
            <v>341200</v>
          </cell>
          <cell r="F37">
            <v>6000</v>
          </cell>
          <cell r="G37">
            <v>5000</v>
          </cell>
          <cell r="H37">
            <v>11000</v>
          </cell>
          <cell r="I37">
            <v>0.36666666666666664</v>
          </cell>
        </row>
        <row r="38">
          <cell r="E38">
            <v>682400</v>
          </cell>
          <cell r="F38">
            <v>6000</v>
          </cell>
          <cell r="G38">
            <v>10000</v>
          </cell>
          <cell r="H38">
            <v>16000</v>
          </cell>
          <cell r="I38">
            <v>0.53333333333333333</v>
          </cell>
        </row>
        <row r="40">
          <cell r="E40" t="str">
            <v>Annual Cost Savings</v>
          </cell>
          <cell r="F40" t="str">
            <v>Simple Payback (SPB)</v>
          </cell>
          <cell r="G40" t="str">
            <v>Internal Rate of Return (IRR)</v>
          </cell>
          <cell r="H40" t="str">
            <v>Accounting Rate of Return (ARR)</v>
          </cell>
          <cell r="I40" t="str">
            <v>Net Present Value (NPV)*</v>
          </cell>
        </row>
        <row r="41">
          <cell r="E41">
            <v>5993.91356</v>
          </cell>
          <cell r="F41">
            <v>2.3357026857090677</v>
          </cell>
          <cell r="G41">
            <v>0.13905577156190163</v>
          </cell>
          <cell r="H41">
            <v>0.1817368913154922</v>
          </cell>
          <cell r="I41">
            <v>1861.786917366735</v>
          </cell>
        </row>
        <row r="42">
          <cell r="E42">
            <v>11675.815560000001</v>
          </cell>
          <cell r="F42">
            <v>0.77082409821828324</v>
          </cell>
          <cell r="G42">
            <v>0.45428077282720736</v>
          </cell>
          <cell r="H42">
            <v>0.35397560035421904</v>
          </cell>
          <cell r="I42">
            <v>21632.448590800268</v>
          </cell>
        </row>
        <row r="51">
          <cell r="E51" t="str">
            <v>PSE Grant</v>
          </cell>
          <cell r="F51" t="str">
            <v>Savings</v>
          </cell>
          <cell r="G51" t="str">
            <v>Load Type</v>
          </cell>
          <cell r="H51" t="str">
            <v>TRC</v>
          </cell>
          <cell r="I51" t="str">
            <v>Baseline Use</v>
          </cell>
        </row>
        <row r="52">
          <cell r="E52">
            <v>6000</v>
          </cell>
          <cell r="F52">
            <v>0</v>
          </cell>
          <cell r="G52" t="str">
            <v>Misc.</v>
          </cell>
          <cell r="H52">
            <v>-9.99</v>
          </cell>
          <cell r="I52">
            <v>2000000</v>
          </cell>
        </row>
        <row r="53">
          <cell r="E53">
            <v>10000</v>
          </cell>
          <cell r="F53">
            <v>200000</v>
          </cell>
          <cell r="G53" t="str">
            <v>Misc.</v>
          </cell>
          <cell r="H53">
            <v>-9.99</v>
          </cell>
          <cell r="I53">
            <v>2000000</v>
          </cell>
        </row>
        <row r="55">
          <cell r="E55">
            <v>0</v>
          </cell>
          <cell r="F55">
            <v>0</v>
          </cell>
          <cell r="G55">
            <v>0</v>
          </cell>
          <cell r="H55">
            <v>0</v>
          </cell>
          <cell r="I55">
            <v>0</v>
          </cell>
        </row>
        <row r="56">
          <cell r="E56">
            <v>0</v>
          </cell>
          <cell r="F56">
            <v>0</v>
          </cell>
          <cell r="G56">
            <v>0</v>
          </cell>
          <cell r="H56">
            <v>0</v>
          </cell>
          <cell r="I56">
            <v>0</v>
          </cell>
        </row>
        <row r="57">
          <cell r="E57">
            <v>16000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_1"/>
      <sheetName val="Pre-screen_2"/>
      <sheetName val="Provider Info_3"/>
      <sheetName val="IncentiveGoals_4"/>
      <sheetName val="Hidden"/>
      <sheetName val="Findings Checklist_5"/>
      <sheetName val="Tables_6"/>
      <sheetName val="FinalReport_7"/>
      <sheetName val="MeasureReference"/>
      <sheetName val="Ventilation_a"/>
      <sheetName val="Perf._Changes_b"/>
      <sheetName val="Imp_Cost_b"/>
    </sheetNames>
    <sheetDataSet>
      <sheetData sheetId="0"/>
      <sheetData sheetId="1"/>
      <sheetData sheetId="2"/>
      <sheetData sheetId="3">
        <row r="1">
          <cell r="H1">
            <v>44258.579240740743</v>
          </cell>
        </row>
        <row r="6">
          <cell r="B6" t="str">
            <v>All PSE (gas/elec)</v>
          </cell>
        </row>
        <row r="8">
          <cell r="B8">
            <v>15000</v>
          </cell>
        </row>
        <row r="9">
          <cell r="B9">
            <v>22500</v>
          </cell>
        </row>
        <row r="10">
          <cell r="B10">
            <v>150000</v>
          </cell>
        </row>
        <row r="11">
          <cell r="J11" t="str">
            <v>Years</v>
          </cell>
        </row>
        <row r="12">
          <cell r="J12" t="str">
            <v xml:space="preserve">Yr 0 </v>
          </cell>
        </row>
        <row r="13">
          <cell r="J13" t="str">
            <v xml:space="preserve">Yr 1 </v>
          </cell>
          <cell r="L13">
            <v>5177.6000000000004</v>
          </cell>
          <cell r="M13">
            <v>5999.9074735599997</v>
          </cell>
          <cell r="N13">
            <v>6005.9073810335594</v>
          </cell>
        </row>
        <row r="14">
          <cell r="J14" t="str">
            <v>Yr 2</v>
          </cell>
          <cell r="M14">
            <v>5711.9119148291193</v>
          </cell>
          <cell r="N14">
            <v>5711.9119148291193</v>
          </cell>
        </row>
        <row r="15">
          <cell r="J15" t="str">
            <v>Yr 3</v>
          </cell>
          <cell r="M15">
            <v>5437.7401429173215</v>
          </cell>
          <cell r="N15">
            <v>5437.7401429173215</v>
          </cell>
        </row>
        <row r="16">
          <cell r="J16" t="str">
            <v>Yr 4</v>
          </cell>
          <cell r="M16">
            <v>5176.7286160572894</v>
          </cell>
          <cell r="N16">
            <v>5176.7286160572894</v>
          </cell>
        </row>
        <row r="17">
          <cell r="J17" t="str">
            <v>Yr 5</v>
          </cell>
          <cell r="M17">
            <v>4928.2456424865395</v>
          </cell>
          <cell r="N17">
            <v>4928.2456424865395</v>
          </cell>
        </row>
        <row r="20">
          <cell r="J20" t="str">
            <v>Years</v>
          </cell>
          <cell r="K20" t="str">
            <v>Invested</v>
          </cell>
          <cell r="L20" t="str">
            <v>Incentive</v>
          </cell>
          <cell r="M20" t="str">
            <v>Energy Savings</v>
          </cell>
          <cell r="N20" t="str">
            <v>Net Annual (MAX)</v>
          </cell>
        </row>
        <row r="21">
          <cell r="J21" t="str">
            <v xml:space="preserve">Yr 1 </v>
          </cell>
          <cell r="K21">
            <v>0</v>
          </cell>
          <cell r="L21">
            <v>10097.6</v>
          </cell>
          <cell r="M21">
            <v>11687.491375560001</v>
          </cell>
          <cell r="N21">
            <v>11693.491283033562</v>
          </cell>
        </row>
        <row r="22">
          <cell r="J22" t="str">
            <v>Yr 2</v>
          </cell>
          <cell r="K22">
            <v>0</v>
          </cell>
          <cell r="M22">
            <v>11126.49178953312</v>
          </cell>
          <cell r="N22">
            <v>11126.49178953312</v>
          </cell>
        </row>
        <row r="23">
          <cell r="J23" t="str">
            <v>Yr 3</v>
          </cell>
          <cell r="K23">
            <v>0</v>
          </cell>
          <cell r="M23">
            <v>10592.42018363553</v>
          </cell>
          <cell r="N23">
            <v>10592.42018363553</v>
          </cell>
        </row>
        <row r="24">
          <cell r="E24" t="str">
            <v xml:space="preserve">INSTRUCTIONS: Enter customer/utility data, fill all yellow cells and the existing energy use must be reduced for large uncontrollable process loads by completing the Process Loads section below. </v>
          </cell>
          <cell r="J24" t="str">
            <v>Yr 4</v>
          </cell>
          <cell r="K24">
            <v>0</v>
          </cell>
          <cell r="M24">
            <v>10083.984014821024</v>
          </cell>
          <cell r="N24">
            <v>10083.984014821024</v>
          </cell>
        </row>
        <row r="25">
          <cell r="J25" t="str">
            <v>Yr 5</v>
          </cell>
          <cell r="K25">
            <v>0</v>
          </cell>
          <cell r="M25">
            <v>9599.9527821096144</v>
          </cell>
          <cell r="N25">
            <v>9599.9527821096144</v>
          </cell>
        </row>
        <row r="29">
          <cell r="E29" t="str">
            <v>Annual Use</v>
          </cell>
          <cell r="F29" t="str">
            <v>UOM</v>
          </cell>
          <cell r="G29" t="str">
            <v>Description</v>
          </cell>
        </row>
        <row r="30">
          <cell r="E30">
            <v>0</v>
          </cell>
        </row>
        <row r="31">
          <cell r="E31">
            <v>0</v>
          </cell>
        </row>
        <row r="32">
          <cell r="E32">
            <v>0</v>
          </cell>
        </row>
        <row r="33">
          <cell r="E33">
            <v>0</v>
          </cell>
        </row>
        <row r="36">
          <cell r="E36" t="str">
            <v>kbtus</v>
          </cell>
          <cell r="F36" t="str">
            <v>Base Incentive</v>
          </cell>
          <cell r="G36" t="str">
            <v>Performance Incentive</v>
          </cell>
          <cell r="H36" t="str">
            <v>Total Incentive</v>
          </cell>
          <cell r="I36" t="str">
            <v>Percent Incentive</v>
          </cell>
        </row>
        <row r="37">
          <cell r="E37">
            <v>363400</v>
          </cell>
          <cell r="F37">
            <v>7500</v>
          </cell>
          <cell r="G37">
            <v>5177.6000000000004</v>
          </cell>
          <cell r="H37">
            <v>12677.6</v>
          </cell>
          <cell r="I37">
            <v>0.33806933333333333</v>
          </cell>
        </row>
        <row r="38">
          <cell r="E38">
            <v>694600</v>
          </cell>
          <cell r="F38">
            <v>7500</v>
          </cell>
          <cell r="G38">
            <v>10097.6</v>
          </cell>
          <cell r="H38">
            <v>17597.599999999999</v>
          </cell>
          <cell r="I38">
            <v>0.46926933333333332</v>
          </cell>
        </row>
        <row r="40">
          <cell r="E40" t="str">
            <v>Annual Cost Savings</v>
          </cell>
          <cell r="F40" t="str">
            <v>Simple Payback (SPB)</v>
          </cell>
          <cell r="G40" t="str">
            <v>Internal Rate of Return (IRR)</v>
          </cell>
          <cell r="H40" t="str">
            <v>Accounting Rate of Return (ARR)</v>
          </cell>
          <cell r="I40" t="str">
            <v>Net Present Value (NPV)*</v>
          </cell>
        </row>
        <row r="41">
          <cell r="E41">
            <v>5993.91356</v>
          </cell>
          <cell r="F41">
            <v>4.1412675961246261</v>
          </cell>
          <cell r="G41">
            <v>3.3198732339205117E-2</v>
          </cell>
          <cell r="H41">
            <v>0.14538951305239375</v>
          </cell>
          <cell r="I41">
            <v>-3960.6130826332665</v>
          </cell>
        </row>
        <row r="42">
          <cell r="E42">
            <v>11675.815560000001</v>
          </cell>
          <cell r="F42">
            <v>2.1259671217348348</v>
          </cell>
          <cell r="G42">
            <v>0.27786859629532645</v>
          </cell>
          <cell r="H42">
            <v>0.28318048028337522</v>
          </cell>
          <cell r="I42">
            <v>15810.048590800267</v>
          </cell>
        </row>
        <row r="51">
          <cell r="E51" t="str">
            <v>PSE Grant</v>
          </cell>
          <cell r="F51" t="str">
            <v>Savings</v>
          </cell>
          <cell r="G51" t="str">
            <v>Load Type</v>
          </cell>
          <cell r="H51" t="str">
            <v>TRC</v>
          </cell>
          <cell r="I51" t="str">
            <v>Baseline Use</v>
          </cell>
        </row>
        <row r="52">
          <cell r="E52">
            <v>6051.3341790977383</v>
          </cell>
          <cell r="F52">
            <v>0</v>
          </cell>
          <cell r="G52" t="str">
            <v>Misc.</v>
          </cell>
          <cell r="H52">
            <v>-9.99</v>
          </cell>
          <cell r="I52">
            <v>1000000</v>
          </cell>
        </row>
        <row r="53">
          <cell r="E53">
            <v>10000</v>
          </cell>
          <cell r="F53">
            <v>200000</v>
          </cell>
          <cell r="G53" t="str">
            <v>Misc.</v>
          </cell>
          <cell r="H53">
            <v>-9.99</v>
          </cell>
          <cell r="I53">
            <v>1000000</v>
          </cell>
        </row>
        <row r="55">
          <cell r="E55">
            <v>1448.6658209022612</v>
          </cell>
          <cell r="F55">
            <v>0</v>
          </cell>
          <cell r="G55" t="str">
            <v>Heating</v>
          </cell>
          <cell r="H55">
            <v>-9.99</v>
          </cell>
          <cell r="I55">
            <v>20000</v>
          </cell>
        </row>
        <row r="56">
          <cell r="E56">
            <v>97.600000000000009</v>
          </cell>
          <cell r="F56">
            <v>122</v>
          </cell>
          <cell r="G56" t="str">
            <v>Heating</v>
          </cell>
          <cell r="H56">
            <v>-9.99</v>
          </cell>
          <cell r="I56">
            <v>20000</v>
          </cell>
        </row>
        <row r="57">
          <cell r="E57">
            <v>17597.599999999999</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e-Screen"/>
      <sheetName val="IncentiveEst (Optional)"/>
      <sheetName val="Tables"/>
      <sheetName val="EEI_SummaryTable "/>
      <sheetName val="HiddenTables"/>
      <sheetName val="EBCx_Schedule"/>
      <sheetName val="Implementation_Cost"/>
      <sheetName val="Training Tracking"/>
      <sheetName val="Performance_Changes"/>
    </sheetNames>
    <sheetDataSet>
      <sheetData sheetId="0"/>
      <sheetData sheetId="1"/>
      <sheetData sheetId="2">
        <row r="1">
          <cell r="H1">
            <v>44236.405851967589</v>
          </cell>
        </row>
        <row r="6">
          <cell r="B6" t="str">
            <v>PSE gas/other elec</v>
          </cell>
        </row>
        <row r="9">
          <cell r="B9">
            <v>55481</v>
          </cell>
          <cell r="D9">
            <v>83660</v>
          </cell>
        </row>
        <row r="10">
          <cell r="B10">
            <v>8366</v>
          </cell>
        </row>
        <row r="11">
          <cell r="J11" t="str">
            <v>Years</v>
          </cell>
        </row>
        <row r="12">
          <cell r="J12" t="str">
            <v xml:space="preserve">Yr 0 </v>
          </cell>
        </row>
        <row r="13">
          <cell r="J13" t="str">
            <v xml:space="preserve">Yr 1 </v>
          </cell>
          <cell r="K13">
            <v>-55481</v>
          </cell>
          <cell r="L13">
            <v>12549</v>
          </cell>
          <cell r="M13">
            <v>7337.6931321694001</v>
          </cell>
          <cell r="N13">
            <v>7345.0308253015692</v>
          </cell>
        </row>
        <row r="14">
          <cell r="J14" t="str">
            <v>Yr 2</v>
          </cell>
          <cell r="K14">
            <v>-2000</v>
          </cell>
          <cell r="L14">
            <v>6052.0240000000003</v>
          </cell>
          <cell r="M14">
            <v>6985.4838618252688</v>
          </cell>
          <cell r="N14">
            <v>11037.50786182527</v>
          </cell>
        </row>
        <row r="15">
          <cell r="J15" t="str">
            <v>Yr 3</v>
          </cell>
          <cell r="K15">
            <v>-1000</v>
          </cell>
          <cell r="M15">
            <v>6650.180636457656</v>
          </cell>
          <cell r="N15">
            <v>5650.180636457656</v>
          </cell>
        </row>
        <row r="16">
          <cell r="J16" t="str">
            <v>Yr 4</v>
          </cell>
          <cell r="K16">
            <v>-1000</v>
          </cell>
          <cell r="M16">
            <v>6330.9719659076882</v>
          </cell>
          <cell r="N16">
            <v>5330.9719659076882</v>
          </cell>
        </row>
        <row r="17">
          <cell r="J17" t="str">
            <v>Yr 5</v>
          </cell>
          <cell r="K17">
            <v>-1000</v>
          </cell>
          <cell r="M17">
            <v>6027.0853115441187</v>
          </cell>
          <cell r="N17">
            <v>5027.0853115441187</v>
          </cell>
        </row>
        <row r="18">
          <cell r="J18" t="str">
            <v>Yr 6</v>
          </cell>
          <cell r="K18">
            <v>-1000</v>
          </cell>
          <cell r="M18">
            <v>5737.7852165900003</v>
          </cell>
          <cell r="N18">
            <v>4737.7852165900003</v>
          </cell>
        </row>
        <row r="19">
          <cell r="J19" t="str">
            <v>Yr 7</v>
          </cell>
          <cell r="K19">
            <v>-1000</v>
          </cell>
          <cell r="M19">
            <v>5462.3715261936804</v>
          </cell>
          <cell r="N19">
            <v>4462.3715261936804</v>
          </cell>
        </row>
        <row r="20">
          <cell r="J20" t="str">
            <v>Years</v>
          </cell>
          <cell r="K20" t="str">
            <v>Invested</v>
          </cell>
          <cell r="L20" t="str">
            <v>Incentive</v>
          </cell>
          <cell r="M20" t="str">
            <v>Energy Savings</v>
          </cell>
          <cell r="N20" t="str">
            <v>Net Annual (MAX)</v>
          </cell>
        </row>
        <row r="21">
          <cell r="J21" t="str">
            <v xml:space="preserve">Yr 1 </v>
          </cell>
          <cell r="K21">
            <v>-55481</v>
          </cell>
          <cell r="L21">
            <v>12549</v>
          </cell>
          <cell r="M21">
            <v>22851.997968799998</v>
          </cell>
          <cell r="N21">
            <v>22859.335661932168</v>
          </cell>
        </row>
        <row r="22">
          <cell r="J22" t="str">
            <v>Yr 2</v>
          </cell>
          <cell r="K22">
            <v>-2000</v>
          </cell>
          <cell r="L22">
            <v>18848</v>
          </cell>
          <cell r="M22">
            <v>21755.102066297597</v>
          </cell>
          <cell r="N22">
            <v>38603.102066297593</v>
          </cell>
        </row>
        <row r="23">
          <cell r="J23" t="str">
            <v>Yr 3</v>
          </cell>
          <cell r="K23">
            <v>-1000</v>
          </cell>
          <cell r="M23">
            <v>20710.857167115311</v>
          </cell>
          <cell r="N23">
            <v>19710.857167115311</v>
          </cell>
        </row>
        <row r="24">
          <cell r="E24" t="str">
            <v>Final Cost</v>
          </cell>
          <cell r="F24" t="str">
            <v xml:space="preserve">INSTRUCTIONS: Enter customer/utility data, fill all yellow cells and the existing energy use must be reduced for large uncontrollable process loads by completing the Process Loads section below. </v>
          </cell>
          <cell r="J24" t="str">
            <v>Yr 4</v>
          </cell>
          <cell r="K24">
            <v>-1000</v>
          </cell>
          <cell r="M24">
            <v>19716.736023093774</v>
          </cell>
          <cell r="N24">
            <v>18716.736023093774</v>
          </cell>
        </row>
        <row r="25">
          <cell r="E25">
            <v>49168.976000000002</v>
          </cell>
          <cell r="J25" t="str">
            <v>Yr 5</v>
          </cell>
          <cell r="K25">
            <v>-1000</v>
          </cell>
          <cell r="M25">
            <v>18770.33269398527</v>
          </cell>
          <cell r="N25">
            <v>17770.33269398527</v>
          </cell>
        </row>
        <row r="26">
          <cell r="E26" t="str">
            <v>Final Cost</v>
          </cell>
          <cell r="J26" t="str">
            <v>Yr 6</v>
          </cell>
          <cell r="K26">
            <v>-1000</v>
          </cell>
          <cell r="M26">
            <v>17869.356724673977</v>
          </cell>
          <cell r="N26">
            <v>16869.356724673977</v>
          </cell>
        </row>
        <row r="27">
          <cell r="E27">
            <v>36373</v>
          </cell>
          <cell r="J27" t="str">
            <v>Yr 7</v>
          </cell>
        </row>
        <row r="29">
          <cell r="E29" t="str">
            <v>Annual Use</v>
          </cell>
          <cell r="F29" t="str">
            <v>UOM</v>
          </cell>
          <cell r="G29" t="str">
            <v>Description</v>
          </cell>
        </row>
        <row r="30">
          <cell r="E30">
            <v>0</v>
          </cell>
        </row>
        <row r="31">
          <cell r="E31">
            <v>0</v>
          </cell>
        </row>
        <row r="32">
          <cell r="E32">
            <v>0</v>
          </cell>
        </row>
        <row r="33">
          <cell r="E33">
            <v>0</v>
          </cell>
        </row>
        <row r="36">
          <cell r="E36" t="str">
            <v>kbtus</v>
          </cell>
          <cell r="F36" t="str">
            <v>Assessment Incentive</v>
          </cell>
          <cell r="G36" t="str">
            <v>Base Incentive</v>
          </cell>
          <cell r="H36" t="str">
            <v>Performance Incentive</v>
          </cell>
          <cell r="I36" t="str">
            <v>Total Incentive</v>
          </cell>
        </row>
        <row r="37">
          <cell r="E37">
            <v>756503</v>
          </cell>
          <cell r="F37">
            <v>2000</v>
          </cell>
          <cell r="G37">
            <v>12549</v>
          </cell>
          <cell r="H37">
            <v>6052.0240000000003</v>
          </cell>
          <cell r="I37">
            <v>20601.024000000001</v>
          </cell>
        </row>
        <row r="38">
          <cell r="E38">
            <v>2356000</v>
          </cell>
          <cell r="F38">
            <v>2000</v>
          </cell>
          <cell r="G38">
            <v>12549</v>
          </cell>
          <cell r="H38">
            <v>18848</v>
          </cell>
          <cell r="I38">
            <v>33397</v>
          </cell>
        </row>
        <row r="40">
          <cell r="E40" t="str">
            <v>Annual Cost Savings</v>
          </cell>
          <cell r="F40" t="str">
            <v>Simple Payback (SPB)</v>
          </cell>
          <cell r="G40" t="str">
            <v>Internal Rate of Return (IRR)</v>
          </cell>
          <cell r="H40" t="str">
            <v>Accounting Rate of Return (ARR)</v>
          </cell>
          <cell r="I40" t="str">
            <v>Net Present Value (NPV)*</v>
          </cell>
        </row>
        <row r="41">
          <cell r="E41">
            <v>7330.3627693999997</v>
          </cell>
          <cell r="F41">
            <v>5.566296960135273</v>
          </cell>
          <cell r="G41">
            <v>-2.02022219512622E-2</v>
          </cell>
          <cell r="H41">
            <v>0.10141482952208786</v>
          </cell>
          <cell r="I41">
            <v>-15083.919124113949</v>
          </cell>
        </row>
        <row r="42">
          <cell r="E42">
            <v>22829.168799999999</v>
          </cell>
          <cell r="F42">
            <v>1.2268076970020916</v>
          </cell>
          <cell r="G42">
            <v>0.48423246187227909</v>
          </cell>
          <cell r="H42">
            <v>0.35023625249864537</v>
          </cell>
          <cell r="I42">
            <v>62195.232913359054</v>
          </cell>
        </row>
        <row r="51">
          <cell r="E51" t="str">
            <v>PSE Grant</v>
          </cell>
          <cell r="F51" t="str">
            <v>Savings</v>
          </cell>
          <cell r="G51" t="str">
            <v>Load Type</v>
          </cell>
          <cell r="H51" t="str">
            <v>TRC</v>
          </cell>
          <cell r="I51" t="str">
            <v>Baseline Use</v>
          </cell>
        </row>
        <row r="52">
          <cell r="E52">
            <v>0</v>
          </cell>
          <cell r="F52">
            <v>0</v>
          </cell>
          <cell r="G52" t="str">
            <v>Misc.</v>
          </cell>
          <cell r="H52">
            <v>-9.99</v>
          </cell>
          <cell r="I52">
            <v>0</v>
          </cell>
        </row>
        <row r="53">
          <cell r="E53">
            <v>0</v>
          </cell>
          <cell r="F53">
            <v>0</v>
          </cell>
          <cell r="G53" t="str">
            <v>Misc.</v>
          </cell>
          <cell r="H53">
            <v>-9.99</v>
          </cell>
          <cell r="I53">
            <v>0</v>
          </cell>
          <cell r="J53">
            <v>42742</v>
          </cell>
        </row>
        <row r="54">
          <cell r="E54">
            <v>0</v>
          </cell>
          <cell r="F54">
            <v>0</v>
          </cell>
          <cell r="G54" t="str">
            <v>Misc.</v>
          </cell>
          <cell r="H54">
            <v>-9.99</v>
          </cell>
          <cell r="I54">
            <v>0</v>
          </cell>
        </row>
        <row r="56">
          <cell r="E56">
            <v>2000</v>
          </cell>
          <cell r="F56">
            <v>0</v>
          </cell>
          <cell r="G56" t="str">
            <v>Heating</v>
          </cell>
          <cell r="H56">
            <v>-9.99</v>
          </cell>
          <cell r="I56">
            <v>68773</v>
          </cell>
        </row>
        <row r="57">
          <cell r="E57">
            <v>12549</v>
          </cell>
          <cell r="F57">
            <v>3438.65</v>
          </cell>
          <cell r="G57" t="str">
            <v>Heating</v>
          </cell>
          <cell r="H57">
            <v>-9.99</v>
          </cell>
          <cell r="I57">
            <v>68773</v>
          </cell>
        </row>
        <row r="58">
          <cell r="E58">
            <v>18848</v>
          </cell>
          <cell r="F58">
            <v>20121.349999999999</v>
          </cell>
          <cell r="G58" t="str">
            <v>Heating</v>
          </cell>
          <cell r="H58">
            <v>-9.99</v>
          </cell>
          <cell r="I58">
            <v>68773</v>
          </cell>
        </row>
        <row r="59">
          <cell r="E59">
            <v>33397</v>
          </cell>
        </row>
      </sheetData>
      <sheetData sheetId="3"/>
      <sheetData sheetId="4"/>
      <sheetData sheetId="5">
        <row r="3">
          <cell r="G3" t="str">
            <v>SCL Rates</v>
          </cell>
        </row>
      </sheetData>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creen"/>
      <sheetName val="Performance_Changes"/>
      <sheetName val="Hidden"/>
      <sheetName val="Implementation_Cost"/>
      <sheetName val="Instructions_1"/>
      <sheetName val="Pre-screen_2"/>
      <sheetName val="Provider Info_3"/>
      <sheetName val="IncentiveGoals_4"/>
      <sheetName val="Findings Checklist_5"/>
      <sheetName val="Tables_6"/>
      <sheetName val="FinalReport_7"/>
      <sheetName val="MeasureReference"/>
      <sheetName val="Ventilation_a"/>
      <sheetName val="Perf._Changes_b"/>
      <sheetName val="Imp_Cost_b"/>
    </sheetNames>
    <sheetDataSet>
      <sheetData sheetId="0"/>
      <sheetData sheetId="1"/>
      <sheetData sheetId="2">
        <row r="1">
          <cell r="E1">
            <v>0</v>
          </cell>
          <cell r="F1">
            <v>0</v>
          </cell>
          <cell r="G1">
            <v>0</v>
          </cell>
        </row>
        <row r="2">
          <cell r="F2">
            <v>0</v>
          </cell>
          <cell r="G2" t="str">
            <v>MIN</v>
          </cell>
          <cell r="J2" t="str">
            <v>Initial Grant Calc.</v>
          </cell>
        </row>
        <row r="3">
          <cell r="F3">
            <v>0</v>
          </cell>
          <cell r="G3" t="str">
            <v>MAX</v>
          </cell>
          <cell r="J3" t="str">
            <v>Performance Calc.</v>
          </cell>
        </row>
        <row r="4">
          <cell r="F4">
            <v>0</v>
          </cell>
          <cell r="G4">
            <v>0</v>
          </cell>
        </row>
        <row r="5">
          <cell r="F5">
            <v>0</v>
          </cell>
          <cell r="G5">
            <v>0</v>
          </cell>
        </row>
        <row r="6">
          <cell r="B6">
            <v>0.1</v>
          </cell>
          <cell r="F6">
            <v>0</v>
          </cell>
          <cell r="G6">
            <v>0</v>
          </cell>
        </row>
        <row r="8">
          <cell r="B8" t="str">
            <v>elec savings</v>
          </cell>
        </row>
        <row r="9">
          <cell r="B9">
            <v>7.0000000000000007E-2</v>
          </cell>
          <cell r="E9" t="str">
            <v>None</v>
          </cell>
        </row>
        <row r="10">
          <cell r="B10">
            <v>7.0000000000000007E-2</v>
          </cell>
          <cell r="E10" t="str">
            <v>Electric</v>
          </cell>
        </row>
        <row r="12">
          <cell r="E12" t="str">
            <v>Gas</v>
          </cell>
        </row>
        <row r="13">
          <cell r="M13" t="str">
            <v>Sch_NG (10-01-17)</v>
          </cell>
          <cell r="N13" t="str">
            <v>Rates_NG ($ / therm)</v>
          </cell>
        </row>
        <row r="14">
          <cell r="M14" t="str">
            <v>Sch 31</v>
          </cell>
          <cell r="N14">
            <v>0.81859999999999999</v>
          </cell>
        </row>
        <row r="15">
          <cell r="E15">
            <v>0</v>
          </cell>
          <cell r="F15">
            <v>0</v>
          </cell>
          <cell r="G15" t="str">
            <v>Gas Conservation Cost Effectiveness Standard, 2014/2015</v>
          </cell>
          <cell r="H15">
            <v>0</v>
          </cell>
          <cell r="I15">
            <v>0</v>
          </cell>
          <cell r="J15">
            <v>0</v>
          </cell>
          <cell r="M15" t="str">
            <v>Sch 41 &lt; 5,000</v>
          </cell>
          <cell r="N15">
            <v>0.50558999999999998</v>
          </cell>
        </row>
        <row r="16">
          <cell r="E16">
            <v>0</v>
          </cell>
          <cell r="F16" t="str">
            <v>Measure</v>
          </cell>
          <cell r="G16" t="str">
            <v>Space Heating
(Retrofit)</v>
          </cell>
          <cell r="H16" t="str">
            <v>Hot Water
(DHW)</v>
          </cell>
          <cell r="I16" t="str">
            <v>Process</v>
          </cell>
          <cell r="J16">
            <v>0</v>
          </cell>
          <cell r="M16" t="str">
            <v>Sch 41 &gt; 5,000</v>
          </cell>
          <cell r="N16">
            <v>0.47308</v>
          </cell>
        </row>
        <row r="17">
          <cell r="E17">
            <v>0</v>
          </cell>
          <cell r="F17" t="str">
            <v>Life</v>
          </cell>
          <cell r="G17">
            <v>1</v>
          </cell>
          <cell r="H17">
            <v>2</v>
          </cell>
          <cell r="I17">
            <v>0</v>
          </cell>
          <cell r="J17">
            <v>0</v>
          </cell>
          <cell r="M17" t="str">
            <v>Sch 85 Interruptible &lt;25k</v>
          </cell>
          <cell r="N17">
            <v>0.47736000000000001</v>
          </cell>
        </row>
        <row r="18">
          <cell r="E18">
            <v>0</v>
          </cell>
          <cell r="F18">
            <v>5</v>
          </cell>
          <cell r="G18">
            <v>4.7146597111525423</v>
          </cell>
          <cell r="H18">
            <v>4.0836368552917452</v>
          </cell>
          <cell r="I18">
            <v>3.8424371265629671</v>
          </cell>
          <cell r="J18">
            <v>0</v>
          </cell>
          <cell r="M18" t="str">
            <v>Sch 85 Interruptible 25-50k</v>
          </cell>
          <cell r="N18">
            <v>0.41961999999999999</v>
          </cell>
        </row>
        <row r="19">
          <cell r="E19">
            <v>0</v>
          </cell>
          <cell r="F19">
            <v>0</v>
          </cell>
          <cell r="G19">
            <v>0</v>
          </cell>
          <cell r="H19">
            <v>0</v>
          </cell>
          <cell r="I19">
            <v>0</v>
          </cell>
          <cell r="J19">
            <v>0</v>
          </cell>
          <cell r="M19" t="str">
            <v>Sch 85 Interruptible &gt;50k</v>
          </cell>
          <cell r="N19">
            <v>0.41682000000000002</v>
          </cell>
        </row>
        <row r="20">
          <cell r="E20">
            <v>0</v>
          </cell>
          <cell r="F20" t="str">
            <v>Note: These costs do not include a conservation credit.</v>
          </cell>
          <cell r="G20">
            <v>0</v>
          </cell>
          <cell r="H20">
            <v>0</v>
          </cell>
          <cell r="I20">
            <v>0</v>
          </cell>
          <cell r="J20">
            <v>0</v>
          </cell>
          <cell r="M20" t="str">
            <v>Sch 86 Interruptible &lt;1,000</v>
          </cell>
          <cell r="N20">
            <v>0.62121000000000004</v>
          </cell>
        </row>
        <row r="21">
          <cell r="M21" t="str">
            <v>Sch 86 Interruptible &gt;1,000</v>
          </cell>
          <cell r="N21">
            <v>0.55139000000000005</v>
          </cell>
        </row>
        <row r="22">
          <cell r="M22" t="str">
            <v>Sch 87 Interruptible &lt;25k</v>
          </cell>
          <cell r="N22">
            <v>0.52439000000000002</v>
          </cell>
        </row>
        <row r="23">
          <cell r="E23" t="str">
            <v>Rates_NG ($ / therm)</v>
          </cell>
          <cell r="M23" t="str">
            <v>Sch 87 Interruptible 25-50k</v>
          </cell>
          <cell r="N23">
            <v>0.46048</v>
          </cell>
        </row>
        <row r="24">
          <cell r="E24">
            <v>0.96897999999999995</v>
          </cell>
          <cell r="M24" t="str">
            <v>Sch 87 Interruptible 50-100k</v>
          </cell>
          <cell r="N24">
            <v>0.42499999999999999</v>
          </cell>
        </row>
        <row r="25">
          <cell r="E25">
            <v>0.67525999999999997</v>
          </cell>
          <cell r="M25" t="str">
            <v>Sch 87 Interruptible 100-200k</v>
          </cell>
          <cell r="N25">
            <v>0.40271000000000001</v>
          </cell>
        </row>
        <row r="26">
          <cell r="E26">
            <v>0.64573000000000003</v>
          </cell>
          <cell r="M26" t="str">
            <v>Sch 87 Interruptible 200-500k</v>
          </cell>
          <cell r="N26">
            <v>0.39154</v>
          </cell>
        </row>
        <row r="27">
          <cell r="E27">
            <v>0.66764999999999997</v>
          </cell>
        </row>
        <row r="28">
          <cell r="E28">
            <v>0.61190999999999995</v>
          </cell>
        </row>
        <row r="29">
          <cell r="E29">
            <v>0.60889000000000004</v>
          </cell>
        </row>
        <row r="30">
          <cell r="E30">
            <v>0.78773000000000004</v>
          </cell>
        </row>
        <row r="31">
          <cell r="E31">
            <v>0.72431000000000001</v>
          </cell>
        </row>
        <row r="32">
          <cell r="E32">
            <v>0.70843999999999996</v>
          </cell>
        </row>
        <row r="33">
          <cell r="E33">
            <v>0.64678999999999998</v>
          </cell>
        </row>
        <row r="34">
          <cell r="E34">
            <v>0.61253999999999997</v>
          </cell>
        </row>
        <row r="35">
          <cell r="E35">
            <v>0.59104999999999996</v>
          </cell>
        </row>
        <row r="36">
          <cell r="E36">
            <v>0.58026999999999995</v>
          </cell>
        </row>
        <row r="37">
          <cell r="E37">
            <v>0.57393000000000005</v>
          </cell>
        </row>
      </sheetData>
      <sheetData sheetId="3"/>
      <sheetData sheetId="4" refreshError="1"/>
      <sheetData sheetId="5" refreshError="1"/>
      <sheetData sheetId="6" refreshError="1"/>
      <sheetData sheetId="7">
        <row r="1">
          <cell r="H1">
            <v>43994.595982986109</v>
          </cell>
        </row>
      </sheetData>
      <sheetData sheetId="8" refreshError="1"/>
      <sheetData sheetId="9" refreshError="1"/>
      <sheetData sheetId="10" refreshError="1"/>
      <sheetData sheetId="11"/>
      <sheetData sheetId="12" refreshError="1"/>
      <sheetData sheetId="13" refreshError="1"/>
      <sheetData sheetId="14" refreshError="1"/>
    </sheetDataSet>
  </externalBook>
</externalLink>
</file>

<file path=xl/tables/table1.xml><?xml version="1.0" encoding="utf-8"?>
<table xmlns="http://schemas.openxmlformats.org/spreadsheetml/2006/main" id="1" name="Table4" displayName="Table4" ref="AA3:AD13">
  <tableColumns count="4">
    <tableColumn id="1" name="Type"/>
    <tableColumn id="2" name="Median" dataDxfId="5" dataCellStyle="Normal 2 10 2"/>
    <tableColumn id="3" name="Q1"/>
    <tableColumn id="4" name="Q3"/>
  </tableColumns>
  <tableStyleInfo name="TableStyleMedium9" showFirstColumn="0" showLastColumn="0" showRowStripes="1" showColumnStripes="0"/>
</table>
</file>

<file path=xl/tables/table2.xml><?xml version="1.0" encoding="utf-8"?>
<table xmlns="http://schemas.openxmlformats.org/spreadsheetml/2006/main" id="2" name="Table3" displayName="Table3" ref="V3:Y13">
  <tableColumns count="4">
    <tableColumn id="1" name="Type"/>
    <tableColumn id="2" name="Median" dataDxfId="4" dataCellStyle="Normal 2 10 2"/>
    <tableColumn id="3" name="Q1"/>
    <tableColumn id="4" name="Q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se.com/-/media/PDFs/REBATES/pdfFiles/HVAC/4524_BEMRetrofitApplication.pdf?la=en&amp;revision=deecf3b4-0e5f-4c64-a014-14d2bbf8a632&amp;hash=DE6A7A3A6C4C9A05ADB3CEAB30FB9DA0CE6F13DC"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drawing" Target="../drawings/drawing1.x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printerSettings" Target="../printerSettings/printerSettings2.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pse.com/-/media/PDFs/REBATES/pdfFiles/HVAC/4524_BEMRetrofitApplication.pdf?la=en&amp;revision=deecf3b4-0e5f-4c64-a014-14d2bbf8a632&amp;hash=DE6A7A3A6C4C9A05ADB3CEAB30FB9DA0CE6F13DC"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tabSelected="1" view="pageLayout" topLeftCell="A4" zoomScaleNormal="100" workbookViewId="0">
      <selection activeCell="C25" sqref="C25"/>
    </sheetView>
  </sheetViews>
  <sheetFormatPr defaultColWidth="9.140625" defaultRowHeight="12.75" x14ac:dyDescent="0.2"/>
  <cols>
    <col min="1" max="1" width="28.5703125" style="54" customWidth="1"/>
    <col min="2" max="2" width="11.5703125" style="54" customWidth="1"/>
    <col min="3" max="3" width="12" style="54" bestFit="1" customWidth="1"/>
    <col min="4" max="4" width="18.140625" style="54" bestFit="1" customWidth="1"/>
    <col min="5" max="6" width="12" style="54" customWidth="1"/>
    <col min="7" max="16384" width="9.140625" style="54"/>
  </cols>
  <sheetData>
    <row r="1" spans="1:6" ht="12.75" customHeight="1" x14ac:dyDescent="0.2">
      <c r="A1" s="584" t="s">
        <v>304</v>
      </c>
      <c r="B1" s="584"/>
      <c r="C1" s="584"/>
      <c r="D1" s="584"/>
      <c r="E1" s="584"/>
      <c r="F1" s="584"/>
    </row>
    <row r="2" spans="1:6" x14ac:dyDescent="0.2">
      <c r="A2" s="584"/>
      <c r="B2" s="584"/>
      <c r="C2" s="584"/>
      <c r="D2" s="584"/>
      <c r="E2" s="584"/>
      <c r="F2" s="584"/>
    </row>
    <row r="3" spans="1:6" x14ac:dyDescent="0.2">
      <c r="A3" s="504"/>
      <c r="B3" s="504"/>
      <c r="C3" s="504"/>
      <c r="D3" s="504"/>
      <c r="E3" s="504"/>
      <c r="F3" s="504"/>
    </row>
    <row r="4" spans="1:6" x14ac:dyDescent="0.2">
      <c r="A4" s="55" t="s">
        <v>292</v>
      </c>
    </row>
    <row r="5" spans="1:6" ht="12" customHeight="1" x14ac:dyDescent="0.2">
      <c r="A5" s="582" t="s">
        <v>311</v>
      </c>
      <c r="B5" s="582"/>
      <c r="C5" s="582"/>
      <c r="D5" s="582"/>
      <c r="E5" s="582"/>
      <c r="F5" s="582"/>
    </row>
    <row r="6" spans="1:6" hidden="1" x14ac:dyDescent="0.2">
      <c r="A6" s="582"/>
      <c r="B6" s="582"/>
      <c r="C6" s="582"/>
      <c r="D6" s="582"/>
      <c r="E6" s="582"/>
      <c r="F6" s="582"/>
    </row>
    <row r="7" spans="1:6" ht="12.75" customHeight="1" x14ac:dyDescent="0.2">
      <c r="A7" s="340" t="s">
        <v>305</v>
      </c>
      <c r="B7" s="340"/>
      <c r="C7" s="340"/>
      <c r="D7" s="340"/>
      <c r="E7" s="340"/>
      <c r="F7" s="340"/>
    </row>
    <row r="8" spans="1:6" ht="12.75" customHeight="1" x14ac:dyDescent="0.2">
      <c r="A8" s="340" t="s">
        <v>431</v>
      </c>
      <c r="B8" s="340"/>
      <c r="C8" s="340"/>
      <c r="D8" s="340"/>
      <c r="E8" s="340"/>
      <c r="F8" s="340"/>
    </row>
    <row r="9" spans="1:6" ht="12.75" customHeight="1" x14ac:dyDescent="0.2">
      <c r="A9" s="341" t="s">
        <v>430</v>
      </c>
      <c r="B9" s="568"/>
      <c r="C9" s="568"/>
      <c r="D9" s="568"/>
      <c r="E9" s="568"/>
      <c r="F9" s="568"/>
    </row>
    <row r="10" spans="1:6" x14ac:dyDescent="0.2">
      <c r="A10" s="582" t="s">
        <v>286</v>
      </c>
      <c r="B10" s="582"/>
      <c r="C10" s="582"/>
      <c r="D10" s="582"/>
      <c r="E10" s="582"/>
      <c r="F10" s="582"/>
    </row>
    <row r="11" spans="1:6" x14ac:dyDescent="0.2">
      <c r="A11" s="582"/>
      <c r="B11" s="582"/>
      <c r="C11" s="582"/>
      <c r="D11" s="582"/>
      <c r="E11" s="582"/>
      <c r="F11" s="582"/>
    </row>
    <row r="12" spans="1:6" ht="12.75" customHeight="1" x14ac:dyDescent="0.2">
      <c r="A12" s="582" t="s">
        <v>312</v>
      </c>
      <c r="B12" s="582"/>
      <c r="C12" s="582"/>
      <c r="D12" s="582"/>
      <c r="E12" s="582"/>
      <c r="F12" s="582"/>
    </row>
    <row r="13" spans="1:6" x14ac:dyDescent="0.2">
      <c r="A13" s="582"/>
      <c r="B13" s="582"/>
      <c r="C13" s="582"/>
      <c r="D13" s="582"/>
      <c r="E13" s="582"/>
      <c r="F13" s="582"/>
    </row>
    <row r="14" spans="1:6" x14ac:dyDescent="0.2">
      <c r="A14" s="582" t="s">
        <v>301</v>
      </c>
      <c r="B14" s="582"/>
      <c r="C14" s="582"/>
      <c r="D14" s="582"/>
      <c r="E14" s="582"/>
      <c r="F14" s="582"/>
    </row>
    <row r="15" spans="1:6" ht="12.75" customHeight="1" x14ac:dyDescent="0.2">
      <c r="A15" s="582" t="s">
        <v>313</v>
      </c>
      <c r="B15" s="582"/>
      <c r="C15" s="582"/>
      <c r="D15" s="582"/>
      <c r="E15" s="582"/>
      <c r="F15" s="582"/>
    </row>
    <row r="16" spans="1:6" x14ac:dyDescent="0.2">
      <c r="A16" s="582"/>
      <c r="B16" s="582"/>
      <c r="C16" s="582"/>
      <c r="D16" s="582"/>
      <c r="E16" s="582"/>
      <c r="F16" s="582"/>
    </row>
    <row r="17" spans="1:6" ht="12.75" customHeight="1" x14ac:dyDescent="0.2">
      <c r="A17" s="582" t="s">
        <v>421</v>
      </c>
      <c r="B17" s="582"/>
      <c r="C17" s="582"/>
      <c r="D17" s="582"/>
      <c r="E17" s="582"/>
      <c r="F17" s="582"/>
    </row>
    <row r="18" spans="1:6" x14ac:dyDescent="0.2">
      <c r="A18" s="582"/>
      <c r="B18" s="582"/>
      <c r="C18" s="582"/>
      <c r="D18" s="582"/>
      <c r="E18" s="582"/>
      <c r="F18" s="582"/>
    </row>
    <row r="19" spans="1:6" ht="12.75" customHeight="1" x14ac:dyDescent="0.2">
      <c r="A19" s="582" t="s">
        <v>300</v>
      </c>
      <c r="B19" s="582"/>
      <c r="C19" s="582"/>
      <c r="D19" s="582"/>
      <c r="E19" s="582"/>
      <c r="F19" s="582"/>
    </row>
    <row r="20" spans="1:6" x14ac:dyDescent="0.2">
      <c r="A20" s="582"/>
      <c r="B20" s="582"/>
      <c r="C20" s="582"/>
      <c r="D20" s="582"/>
      <c r="E20" s="582"/>
      <c r="F20" s="582"/>
    </row>
    <row r="21" spans="1:6" ht="12.75" customHeight="1" x14ac:dyDescent="0.2">
      <c r="A21" s="582" t="s">
        <v>422</v>
      </c>
      <c r="B21" s="582"/>
      <c r="C21" s="582"/>
      <c r="D21" s="582"/>
      <c r="E21" s="582"/>
      <c r="F21" s="582"/>
    </row>
    <row r="22" spans="1:6" x14ac:dyDescent="0.2">
      <c r="A22" s="582"/>
      <c r="B22" s="582"/>
      <c r="C22" s="582"/>
      <c r="D22" s="582"/>
      <c r="E22" s="582"/>
      <c r="F22" s="582"/>
    </row>
    <row r="23" spans="1:6" x14ac:dyDescent="0.2">
      <c r="A23" s="503"/>
      <c r="B23" s="503"/>
      <c r="C23" s="503"/>
      <c r="D23" s="503"/>
      <c r="E23" s="503"/>
      <c r="F23" s="503"/>
    </row>
    <row r="24" spans="1:6" x14ac:dyDescent="0.2">
      <c r="A24" s="55" t="s">
        <v>287</v>
      </c>
      <c r="B24" s="503"/>
      <c r="C24" s="503"/>
      <c r="D24" s="503"/>
      <c r="E24" s="503"/>
      <c r="F24" s="503"/>
    </row>
    <row r="25" spans="1:6" ht="25.5" customHeight="1" x14ac:dyDescent="0.2">
      <c r="A25" s="55"/>
      <c r="B25" s="351" t="s">
        <v>294</v>
      </c>
      <c r="C25" s="351" t="s">
        <v>295</v>
      </c>
      <c r="D25" s="351" t="s">
        <v>296</v>
      </c>
    </row>
    <row r="26" spans="1:6" x14ac:dyDescent="0.2">
      <c r="A26" s="342" t="s">
        <v>288</v>
      </c>
      <c r="B26" s="343" t="s">
        <v>302</v>
      </c>
      <c r="C26" s="343" t="s">
        <v>293</v>
      </c>
      <c r="D26" s="343" t="s">
        <v>303</v>
      </c>
    </row>
    <row r="27" spans="1:6" ht="7.5" customHeight="1" x14ac:dyDescent="0.2">
      <c r="A27" s="506"/>
      <c r="B27" s="505"/>
      <c r="C27" s="505"/>
      <c r="D27" s="505"/>
    </row>
    <row r="28" spans="1:6" x14ac:dyDescent="0.2">
      <c r="A28" s="342" t="s">
        <v>297</v>
      </c>
      <c r="B28" s="505" t="s">
        <v>289</v>
      </c>
      <c r="C28" s="505" t="s">
        <v>290</v>
      </c>
      <c r="D28" s="505"/>
    </row>
    <row r="29" spans="1:6" x14ac:dyDescent="0.2">
      <c r="A29" s="506" t="s">
        <v>291</v>
      </c>
    </row>
    <row r="30" spans="1:6" x14ac:dyDescent="0.2">
      <c r="A30" s="342" t="s">
        <v>298</v>
      </c>
      <c r="B30" s="505" t="s">
        <v>289</v>
      </c>
      <c r="C30" s="505" t="s">
        <v>290</v>
      </c>
      <c r="D30" s="505"/>
      <c r="E30" s="503"/>
      <c r="F30" s="503"/>
    </row>
    <row r="31" spans="1:6" x14ac:dyDescent="0.2">
      <c r="A31" s="506" t="s">
        <v>299</v>
      </c>
      <c r="E31" s="504"/>
      <c r="F31" s="504"/>
    </row>
    <row r="32" spans="1:6" x14ac:dyDescent="0.2">
      <c r="A32" s="583"/>
      <c r="B32" s="583"/>
      <c r="C32" s="583"/>
      <c r="D32" s="583"/>
      <c r="E32" s="583"/>
      <c r="F32" s="583"/>
    </row>
    <row r="33" spans="1:6" x14ac:dyDescent="0.2">
      <c r="A33" s="583"/>
      <c r="B33" s="583"/>
      <c r="C33" s="583"/>
      <c r="D33" s="583"/>
      <c r="E33" s="583"/>
      <c r="F33" s="583"/>
    </row>
    <row r="34" spans="1:6" x14ac:dyDescent="0.2">
      <c r="A34" s="569" t="s">
        <v>423</v>
      </c>
      <c r="B34" s="570"/>
      <c r="C34" s="502"/>
      <c r="D34" s="502"/>
      <c r="E34" s="502"/>
      <c r="F34" s="502"/>
    </row>
    <row r="35" spans="1:6" x14ac:dyDescent="0.2">
      <c r="A35" s="571" t="s">
        <v>424</v>
      </c>
      <c r="B35" s="571"/>
    </row>
    <row r="36" spans="1:6" x14ac:dyDescent="0.2">
      <c r="A36" s="571" t="s">
        <v>425</v>
      </c>
      <c r="B36" s="571"/>
    </row>
    <row r="37" spans="1:6" x14ac:dyDescent="0.2">
      <c r="A37" s="571" t="s">
        <v>426</v>
      </c>
      <c r="B37" s="571"/>
    </row>
    <row r="38" spans="1:6" x14ac:dyDescent="0.2">
      <c r="A38" s="571" t="s">
        <v>427</v>
      </c>
      <c r="B38" s="571"/>
    </row>
    <row r="39" spans="1:6" x14ac:dyDescent="0.2">
      <c r="A39" s="571" t="s">
        <v>428</v>
      </c>
      <c r="B39" s="571"/>
    </row>
    <row r="40" spans="1:6" x14ac:dyDescent="0.2">
      <c r="A40" s="571" t="s">
        <v>429</v>
      </c>
      <c r="B40" s="571"/>
    </row>
    <row r="41" spans="1:6" x14ac:dyDescent="0.2">
      <c r="A41" s="346"/>
      <c r="B41" s="346"/>
    </row>
    <row r="42" spans="1:6" x14ac:dyDescent="0.2">
      <c r="A42" s="346"/>
      <c r="B42" s="346"/>
    </row>
    <row r="43" spans="1:6" x14ac:dyDescent="0.2">
      <c r="A43" s="346"/>
      <c r="B43" s="346"/>
    </row>
    <row r="44" spans="1:6" x14ac:dyDescent="0.2">
      <c r="B44" s="347"/>
    </row>
    <row r="45" spans="1:6" x14ac:dyDescent="0.2">
      <c r="A45" s="344"/>
      <c r="B45" s="345"/>
    </row>
    <row r="46" spans="1:6" x14ac:dyDescent="0.2">
      <c r="A46" s="359"/>
      <c r="B46" s="348"/>
    </row>
    <row r="47" spans="1:6" x14ac:dyDescent="0.2">
      <c r="A47" s="359"/>
      <c r="B47" s="349"/>
    </row>
    <row r="48" spans="1:6" x14ac:dyDescent="0.2">
      <c r="A48" s="572"/>
      <c r="B48" s="349"/>
    </row>
    <row r="49" spans="1:2" x14ac:dyDescent="0.2">
      <c r="A49" s="572"/>
      <c r="B49" s="349"/>
    </row>
    <row r="50" spans="1:2" x14ac:dyDescent="0.2">
      <c r="A50" s="359"/>
      <c r="B50" s="348"/>
    </row>
    <row r="51" spans="1:2" x14ac:dyDescent="0.2">
      <c r="A51" s="572"/>
      <c r="B51" s="348"/>
    </row>
    <row r="52" spans="1:2" x14ac:dyDescent="0.2">
      <c r="A52" s="572"/>
      <c r="B52" s="349"/>
    </row>
    <row r="53" spans="1:2" x14ac:dyDescent="0.2">
      <c r="A53" s="572"/>
      <c r="B53" s="349"/>
    </row>
    <row r="54" spans="1:2" x14ac:dyDescent="0.2">
      <c r="A54" s="359"/>
      <c r="B54" s="349"/>
    </row>
    <row r="57" spans="1:2" x14ac:dyDescent="0.2">
      <c r="A57" s="345"/>
      <c r="B57" s="345"/>
    </row>
  </sheetData>
  <mergeCells count="10">
    <mergeCell ref="A17:F18"/>
    <mergeCell ref="A19:F20"/>
    <mergeCell ref="A21:F22"/>
    <mergeCell ref="A32:F33"/>
    <mergeCell ref="A1:F2"/>
    <mergeCell ref="A5:F6"/>
    <mergeCell ref="A10:F11"/>
    <mergeCell ref="A12:F13"/>
    <mergeCell ref="A14:F14"/>
    <mergeCell ref="A15:F16"/>
  </mergeCells>
  <hyperlinks>
    <hyperlink ref="A9" r:id="rId1"/>
  </hyperlinks>
  <pageMargins left="0.73229166666666667" right="0.7" top="0.75" bottom="0.75" header="0.3" footer="0.3"/>
  <pageSetup scale="88" fitToHeight="0" orientation="portrait" r:id="rId2"/>
  <headerFooter>
    <oddHeader xml:space="preserve">&amp;L&amp;G&amp;C&amp;"Arial,Bold"PSE Monitoring-Based Cx
Introduction
</oddHeader>
  </headerFooter>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108"/>
  <sheetViews>
    <sheetView view="pageLayout" topLeftCell="A40" zoomScaleNormal="100" zoomScaleSheetLayoutView="100" workbookViewId="0">
      <selection activeCell="H53" sqref="H53"/>
    </sheetView>
  </sheetViews>
  <sheetFormatPr defaultColWidth="9.140625" defaultRowHeight="14.25" customHeight="1" x14ac:dyDescent="0.2"/>
  <cols>
    <col min="1" max="1" width="2.5703125" style="54" customWidth="1"/>
    <col min="2" max="2" width="1" style="54" customWidth="1"/>
    <col min="3" max="3" width="2.5703125" style="54" customWidth="1"/>
    <col min="4" max="4" width="1" style="54" customWidth="1"/>
    <col min="5" max="5" width="9.5703125" style="54" customWidth="1"/>
    <col min="6" max="6" width="12.85546875" style="54" bestFit="1" customWidth="1"/>
    <col min="7" max="7" width="7.140625" style="54" customWidth="1"/>
    <col min="8" max="8" width="9.140625" style="54"/>
    <col min="9" max="9" width="14.7109375" style="54" bestFit="1" customWidth="1"/>
    <col min="10" max="10" width="7.140625" style="54" customWidth="1"/>
    <col min="11" max="11" width="13.85546875" style="54" customWidth="1"/>
    <col min="12" max="12" width="7.140625" style="54" customWidth="1"/>
    <col min="13" max="13" width="8.140625" style="54" customWidth="1"/>
    <col min="14" max="14" width="7.28515625" style="54" bestFit="1" customWidth="1"/>
    <col min="15" max="16384" width="9.140625" style="54"/>
  </cols>
  <sheetData>
    <row r="1" spans="1:14" ht="7.5" customHeight="1" x14ac:dyDescent="0.2"/>
    <row r="2" spans="1:14" ht="16.5" customHeight="1" x14ac:dyDescent="0.2">
      <c r="A2" s="584" t="s">
        <v>27</v>
      </c>
      <c r="B2" s="584"/>
      <c r="C2" s="584"/>
      <c r="D2" s="584"/>
      <c r="E2" s="584"/>
      <c r="F2" s="602"/>
      <c r="G2" s="602"/>
      <c r="H2" s="602"/>
      <c r="I2" s="74"/>
      <c r="J2" s="68" t="s">
        <v>0</v>
      </c>
      <c r="K2" s="90"/>
      <c r="M2" s="62"/>
      <c r="N2" s="62"/>
    </row>
    <row r="3" spans="1:14" ht="16.5" customHeight="1" x14ac:dyDescent="0.2">
      <c r="A3" s="585" t="s">
        <v>85</v>
      </c>
      <c r="B3" s="585"/>
      <c r="C3" s="585"/>
      <c r="D3" s="585"/>
      <c r="E3" s="585"/>
      <c r="F3" s="602"/>
      <c r="G3" s="602"/>
      <c r="H3" s="602"/>
      <c r="I3" s="74"/>
    </row>
    <row r="4" spans="1:14" ht="16.5" customHeight="1" x14ac:dyDescent="0.2">
      <c r="A4" s="585" t="s">
        <v>1</v>
      </c>
      <c r="B4" s="585"/>
      <c r="C4" s="585"/>
      <c r="D4" s="585"/>
      <c r="E4" s="585"/>
      <c r="F4" s="602"/>
      <c r="G4" s="602"/>
      <c r="H4" s="602"/>
      <c r="I4" s="74"/>
      <c r="J4" s="68" t="s">
        <v>2</v>
      </c>
      <c r="K4" s="602"/>
      <c r="L4" s="602"/>
      <c r="M4" s="602"/>
      <c r="N4" s="89"/>
    </row>
    <row r="5" spans="1:14" ht="21" customHeight="1" x14ac:dyDescent="0.2">
      <c r="A5" s="71"/>
      <c r="B5" s="71"/>
      <c r="C5" s="71"/>
      <c r="D5" s="71"/>
      <c r="E5" s="71"/>
      <c r="F5" s="74"/>
      <c r="G5" s="74"/>
      <c r="H5" s="74"/>
      <c r="I5" s="74"/>
    </row>
    <row r="6" spans="1:14" ht="12.75" x14ac:dyDescent="0.2">
      <c r="A6" s="595" t="s">
        <v>133</v>
      </c>
      <c r="B6" s="595"/>
      <c r="C6" s="595"/>
      <c r="D6" s="595"/>
      <c r="E6" s="595"/>
      <c r="F6" s="595"/>
      <c r="G6" s="74"/>
      <c r="H6" s="74"/>
      <c r="I6" s="74"/>
    </row>
    <row r="7" spans="1:14" ht="12.75" customHeight="1" x14ac:dyDescent="0.2">
      <c r="A7" s="88"/>
      <c r="B7" s="88"/>
      <c r="C7" s="599" t="s">
        <v>132</v>
      </c>
      <c r="D7" s="599"/>
      <c r="E7" s="599"/>
      <c r="F7" s="87">
        <v>50000</v>
      </c>
      <c r="G7" s="603" t="s">
        <v>131</v>
      </c>
      <c r="H7" s="603"/>
      <c r="I7" s="86" t="s">
        <v>156</v>
      </c>
      <c r="K7" s="80" t="s">
        <v>129</v>
      </c>
      <c r="L7" s="597">
        <v>1000000</v>
      </c>
      <c r="M7" s="597"/>
      <c r="N7" s="85" t="s">
        <v>128</v>
      </c>
    </row>
    <row r="8" spans="1:14" ht="12.75" x14ac:dyDescent="0.2">
      <c r="E8" s="68"/>
      <c r="H8" s="56"/>
      <c r="I8" s="62"/>
      <c r="J8" s="62"/>
      <c r="K8" s="84"/>
      <c r="L8" s="597">
        <v>20000</v>
      </c>
      <c r="M8" s="597"/>
      <c r="N8" s="77" t="s">
        <v>127</v>
      </c>
    </row>
    <row r="9" spans="1:14" ht="12.75" x14ac:dyDescent="0.2">
      <c r="C9" s="598" t="s">
        <v>126</v>
      </c>
      <c r="D9" s="598"/>
      <c r="E9" s="598"/>
      <c r="F9" s="83" t="s">
        <v>125</v>
      </c>
      <c r="H9" s="82" t="s">
        <v>124</v>
      </c>
      <c r="J9" s="62"/>
      <c r="K9" s="80"/>
      <c r="L9" s="79"/>
      <c r="M9" s="79"/>
      <c r="N9" s="77"/>
    </row>
    <row r="10" spans="1:14" ht="12.75" x14ac:dyDescent="0.2">
      <c r="C10" s="599" t="s">
        <v>123</v>
      </c>
      <c r="D10" s="599"/>
      <c r="E10" s="599"/>
      <c r="F10" s="81">
        <v>6</v>
      </c>
      <c r="H10" s="81">
        <v>5</v>
      </c>
      <c r="K10" s="80"/>
      <c r="L10" s="79"/>
      <c r="M10" s="79"/>
      <c r="N10" s="77"/>
    </row>
    <row r="11" spans="1:14" ht="12.75" x14ac:dyDescent="0.2">
      <c r="C11" s="599" t="s">
        <v>122</v>
      </c>
      <c r="D11" s="599"/>
      <c r="E11" s="599"/>
      <c r="F11" s="78"/>
      <c r="H11" s="78"/>
      <c r="K11" s="75"/>
      <c r="N11" s="77"/>
    </row>
    <row r="12" spans="1:14" ht="26.25" customHeight="1" x14ac:dyDescent="0.2">
      <c r="C12" s="600" t="s">
        <v>121</v>
      </c>
      <c r="D12" s="600"/>
      <c r="E12" s="600"/>
      <c r="F12" s="601"/>
      <c r="G12" s="601"/>
      <c r="H12" s="601"/>
      <c r="I12" s="601"/>
      <c r="J12" s="601"/>
      <c r="K12" s="601"/>
      <c r="L12" s="601"/>
      <c r="M12" s="601"/>
      <c r="N12" s="76"/>
    </row>
    <row r="13" spans="1:14" ht="12.75" x14ac:dyDescent="0.2">
      <c r="F13" s="75"/>
      <c r="G13" s="75"/>
      <c r="H13" s="75"/>
      <c r="I13" s="62"/>
      <c r="J13" s="62"/>
      <c r="L13" s="74"/>
      <c r="M13" s="74"/>
      <c r="N13" s="74"/>
    </row>
    <row r="14" spans="1:14" ht="12.75" x14ac:dyDescent="0.2">
      <c r="C14" s="584" t="s">
        <v>306</v>
      </c>
      <c r="D14" s="584"/>
      <c r="E14" s="584"/>
      <c r="F14" s="584"/>
      <c r="G14" s="584"/>
      <c r="H14" s="584"/>
      <c r="I14" s="584"/>
      <c r="J14" s="584"/>
      <c r="K14" s="584"/>
      <c r="L14" s="584"/>
      <c r="M14" s="584"/>
      <c r="N14" s="584"/>
    </row>
    <row r="15" spans="1:14" ht="12.75" x14ac:dyDescent="0.2">
      <c r="C15" s="584"/>
      <c r="D15" s="584"/>
      <c r="E15" s="584"/>
      <c r="F15" s="584"/>
      <c r="G15" s="584"/>
      <c r="H15" s="584"/>
      <c r="I15" s="584"/>
      <c r="J15" s="584"/>
      <c r="K15" s="584"/>
      <c r="L15" s="584"/>
      <c r="M15" s="584"/>
      <c r="N15" s="584"/>
    </row>
    <row r="16" spans="1:14" ht="12.75" x14ac:dyDescent="0.2">
      <c r="C16" s="584"/>
      <c r="D16" s="584"/>
      <c r="E16" s="584"/>
      <c r="F16" s="584"/>
      <c r="G16" s="584"/>
      <c r="H16" s="584"/>
      <c r="I16" s="584"/>
      <c r="J16" s="584"/>
      <c r="K16" s="584"/>
      <c r="L16" s="584"/>
      <c r="M16" s="584"/>
      <c r="N16" s="584"/>
    </row>
    <row r="17" spans="1:14" ht="15.75" customHeight="1" x14ac:dyDescent="0.25">
      <c r="C17" s="594" t="s">
        <v>120</v>
      </c>
      <c r="D17" s="594"/>
      <c r="E17" s="594"/>
      <c r="F17" s="594"/>
      <c r="G17" s="73"/>
      <c r="H17" s="73"/>
      <c r="I17" s="73"/>
      <c r="J17" s="71"/>
      <c r="K17" s="72"/>
      <c r="L17" s="71"/>
      <c r="M17" s="71"/>
      <c r="N17" s="71"/>
    </row>
    <row r="18" spans="1:14" ht="12.75" x14ac:dyDescent="0.2">
      <c r="A18" s="595" t="s">
        <v>3</v>
      </c>
      <c r="B18" s="595"/>
      <c r="C18" s="595"/>
      <c r="D18" s="595"/>
      <c r="E18" s="595"/>
      <c r="F18" s="595"/>
      <c r="G18" s="70" t="b">
        <v>0</v>
      </c>
      <c r="H18" s="59"/>
      <c r="I18" s="70" t="b">
        <v>0</v>
      </c>
      <c r="J18" s="59"/>
    </row>
    <row r="19" spans="1:14" ht="14.25" customHeight="1" x14ac:dyDescent="0.2">
      <c r="C19" s="54" t="s">
        <v>119</v>
      </c>
      <c r="G19" s="59" t="s">
        <v>118</v>
      </c>
      <c r="H19" s="59"/>
      <c r="I19" s="59" t="s">
        <v>117</v>
      </c>
    </row>
    <row r="20" spans="1:14" ht="12.75" x14ac:dyDescent="0.2">
      <c r="E20" s="584" t="s">
        <v>116</v>
      </c>
      <c r="F20" s="584"/>
      <c r="G20" s="584"/>
      <c r="H20" s="584"/>
      <c r="I20" s="584"/>
      <c r="J20" s="584"/>
      <c r="K20" s="584"/>
      <c r="L20" s="584"/>
      <c r="M20" s="584"/>
      <c r="N20" s="584"/>
    </row>
    <row r="21" spans="1:14" ht="12.75" x14ac:dyDescent="0.2">
      <c r="E21" s="584"/>
      <c r="F21" s="584"/>
      <c r="G21" s="584"/>
      <c r="H21" s="584"/>
      <c r="I21" s="584"/>
      <c r="J21" s="584"/>
      <c r="K21" s="584"/>
      <c r="L21" s="584"/>
      <c r="M21" s="584"/>
      <c r="N21" s="584"/>
    </row>
    <row r="22" spans="1:14" ht="12.75" x14ac:dyDescent="0.2">
      <c r="C22" s="596" t="s">
        <v>115</v>
      </c>
      <c r="D22" s="596"/>
      <c r="E22" s="596"/>
      <c r="F22" s="596"/>
      <c r="G22" s="596"/>
      <c r="H22" s="596"/>
      <c r="I22" s="596"/>
      <c r="J22" s="596"/>
      <c r="K22" s="596"/>
      <c r="L22" s="596"/>
      <c r="M22" s="596"/>
      <c r="N22" s="596"/>
    </row>
    <row r="23" spans="1:14" ht="12.75" x14ac:dyDescent="0.2">
      <c r="A23" s="69"/>
      <c r="C23" s="596"/>
      <c r="D23" s="596"/>
      <c r="E23" s="596"/>
      <c r="F23" s="596"/>
      <c r="G23" s="596"/>
      <c r="H23" s="596"/>
      <c r="I23" s="596"/>
      <c r="J23" s="596"/>
      <c r="K23" s="596"/>
      <c r="L23" s="596"/>
      <c r="M23" s="596"/>
      <c r="N23" s="596"/>
    </row>
    <row r="24" spans="1:14" ht="12.75" x14ac:dyDescent="0.2">
      <c r="C24" s="588" t="s">
        <v>114</v>
      </c>
      <c r="D24" s="588"/>
      <c r="E24" s="588"/>
      <c r="F24" s="588"/>
      <c r="G24" s="588"/>
      <c r="H24" s="588"/>
      <c r="I24" s="588"/>
      <c r="J24" s="588"/>
      <c r="K24" s="588"/>
      <c r="L24" s="588"/>
      <c r="M24" s="588"/>
      <c r="N24" s="588"/>
    </row>
    <row r="25" spans="1:14" ht="12.75" x14ac:dyDescent="0.2">
      <c r="C25" s="588"/>
      <c r="D25" s="588"/>
      <c r="E25" s="588"/>
      <c r="F25" s="588"/>
      <c r="G25" s="588"/>
      <c r="H25" s="588"/>
      <c r="I25" s="588"/>
      <c r="J25" s="588"/>
      <c r="K25" s="588"/>
      <c r="L25" s="588"/>
      <c r="M25" s="588"/>
      <c r="N25" s="588"/>
    </row>
    <row r="26" spans="1:14" ht="12.75" x14ac:dyDescent="0.2">
      <c r="C26" s="54" t="s">
        <v>113</v>
      </c>
    </row>
    <row r="27" spans="1:14" ht="12.75" x14ac:dyDescent="0.2">
      <c r="C27" s="54" t="s">
        <v>4</v>
      </c>
    </row>
    <row r="28" spans="1:14" ht="20.25" customHeight="1" x14ac:dyDescent="0.2">
      <c r="A28" s="589" t="s">
        <v>112</v>
      </c>
      <c r="B28" s="590"/>
      <c r="C28" s="590"/>
      <c r="D28" s="590"/>
      <c r="E28" s="590"/>
      <c r="F28" s="590"/>
      <c r="G28" s="590"/>
      <c r="H28" s="590"/>
      <c r="J28" s="59"/>
      <c r="K28" s="59"/>
    </row>
    <row r="29" spans="1:14" ht="14.25" customHeight="1" x14ac:dyDescent="0.2">
      <c r="C29" s="54" t="s">
        <v>101</v>
      </c>
    </row>
    <row r="30" spans="1:14" ht="14.25" customHeight="1" x14ac:dyDescent="0.2">
      <c r="C30" s="591" t="s">
        <v>111</v>
      </c>
      <c r="D30" s="591"/>
      <c r="E30" s="591"/>
      <c r="F30" s="591"/>
      <c r="G30" s="591"/>
      <c r="H30" s="591"/>
      <c r="I30" s="591"/>
      <c r="J30" s="591"/>
      <c r="K30" s="591"/>
      <c r="L30" s="591"/>
      <c r="M30" s="591"/>
      <c r="N30" s="591"/>
    </row>
    <row r="31" spans="1:14" ht="14.25" customHeight="1" x14ac:dyDescent="0.2">
      <c r="C31" s="591"/>
      <c r="D31" s="591"/>
      <c r="E31" s="591"/>
      <c r="F31" s="591"/>
      <c r="G31" s="591"/>
      <c r="H31" s="591"/>
      <c r="I31" s="591"/>
      <c r="J31" s="591"/>
      <c r="K31" s="591"/>
      <c r="L31" s="591"/>
      <c r="M31" s="591"/>
      <c r="N31" s="591"/>
    </row>
    <row r="32" spans="1:14" ht="21" customHeight="1" x14ac:dyDescent="0.2">
      <c r="A32" s="592" t="s">
        <v>110</v>
      </c>
      <c r="B32" s="585"/>
      <c r="C32" s="585"/>
      <c r="D32" s="585"/>
      <c r="E32" s="585"/>
      <c r="F32" s="585"/>
      <c r="G32" s="68"/>
      <c r="H32" s="593"/>
      <c r="I32" s="593"/>
    </row>
    <row r="33" spans="3:14" ht="14.25" customHeight="1" x14ac:dyDescent="0.2">
      <c r="C33" s="54" t="s">
        <v>109</v>
      </c>
      <c r="G33" s="67">
        <f>J33*3.412+L33*100</f>
        <v>108.24</v>
      </c>
      <c r="H33" s="56" t="s">
        <v>5</v>
      </c>
      <c r="J33" s="66">
        <f>L7/F7</f>
        <v>20</v>
      </c>
      <c r="K33" s="56" t="s">
        <v>6</v>
      </c>
      <c r="L33" s="66">
        <f>L8/F7</f>
        <v>0.4</v>
      </c>
      <c r="M33" s="56" t="s">
        <v>7</v>
      </c>
    </row>
    <row r="34" spans="3:14" s="59" customFormat="1" ht="12.75" x14ac:dyDescent="0.2">
      <c r="C34" s="65" t="s">
        <v>108</v>
      </c>
      <c r="D34" s="65"/>
      <c r="E34" s="65"/>
      <c r="F34" s="65"/>
      <c r="G34" s="64">
        <f>J34*3.412+L34*100</f>
        <v>57.955731402434395</v>
      </c>
      <c r="H34" s="63" t="s">
        <v>5</v>
      </c>
      <c r="I34" s="65"/>
      <c r="J34" s="64">
        <f>VLOOKUP(I7,Table3[],2)</f>
        <v>6.3891895746296603</v>
      </c>
      <c r="K34" s="63" t="s">
        <v>6</v>
      </c>
      <c r="L34" s="64">
        <f>VLOOKUP($I$7,Table4[],2)</f>
        <v>0.36155816573798</v>
      </c>
      <c r="M34" s="63" t="s">
        <v>7</v>
      </c>
    </row>
    <row r="35" spans="3:14" s="59" customFormat="1" ht="12.75" x14ac:dyDescent="0.2">
      <c r="C35" s="65"/>
      <c r="D35" s="65"/>
      <c r="E35" s="65"/>
      <c r="F35" s="65"/>
      <c r="G35" s="64"/>
      <c r="H35" s="63"/>
      <c r="I35" s="65"/>
      <c r="J35" s="64"/>
      <c r="K35" s="65"/>
      <c r="L35" s="64"/>
      <c r="M35" s="64"/>
      <c r="N35" s="63"/>
    </row>
    <row r="36" spans="3:14" ht="14.25" customHeight="1" x14ac:dyDescent="0.2">
      <c r="C36" s="54" t="s">
        <v>107</v>
      </c>
      <c r="F36" s="56"/>
      <c r="G36" s="56"/>
      <c r="H36" s="56"/>
    </row>
    <row r="37" spans="3:14" ht="14.25" customHeight="1" x14ac:dyDescent="0.2">
      <c r="C37" s="54" t="s">
        <v>106</v>
      </c>
      <c r="N37" s="59"/>
    </row>
    <row r="38" spans="3:14" ht="14.25" customHeight="1" x14ac:dyDescent="0.2">
      <c r="E38" s="54" t="s">
        <v>8</v>
      </c>
    </row>
    <row r="39" spans="3:14" ht="14.25" customHeight="1" x14ac:dyDescent="0.2">
      <c r="E39" s="54" t="s">
        <v>105</v>
      </c>
      <c r="N39" s="59"/>
    </row>
    <row r="40" spans="3:14" ht="14.25" customHeight="1" x14ac:dyDescent="0.2">
      <c r="E40" s="54" t="s">
        <v>9</v>
      </c>
    </row>
    <row r="41" spans="3:14" ht="14.25" customHeight="1" x14ac:dyDescent="0.2">
      <c r="E41" s="54" t="s">
        <v>10</v>
      </c>
    </row>
    <row r="42" spans="3:14" ht="14.25" customHeight="1" x14ac:dyDescent="0.2">
      <c r="E42" s="54" t="s">
        <v>11</v>
      </c>
    </row>
    <row r="43" spans="3:14" ht="14.25" customHeight="1" x14ac:dyDescent="0.2">
      <c r="E43" s="54" t="s">
        <v>12</v>
      </c>
      <c r="F43" s="57"/>
      <c r="G43" s="57"/>
      <c r="H43" s="57"/>
      <c r="I43" s="57"/>
      <c r="J43" s="57"/>
      <c r="K43" s="57"/>
      <c r="L43" s="57"/>
      <c r="M43" s="57"/>
      <c r="N43" s="57"/>
    </row>
    <row r="44" spans="3:14" ht="14.25" customHeight="1" x14ac:dyDescent="0.2">
      <c r="C44" s="585" t="s">
        <v>104</v>
      </c>
      <c r="D44" s="585"/>
      <c r="E44" s="585"/>
      <c r="F44" s="585"/>
      <c r="G44" s="585"/>
      <c r="H44" s="585"/>
      <c r="I44" s="585"/>
      <c r="J44" s="585"/>
      <c r="K44" s="585"/>
      <c r="L44" s="585"/>
      <c r="M44" s="585"/>
      <c r="N44" s="585"/>
    </row>
    <row r="45" spans="3:14" ht="14.25" customHeight="1" x14ac:dyDescent="0.2">
      <c r="D45" s="62"/>
      <c r="F45" s="62"/>
      <c r="G45" s="62"/>
      <c r="H45" s="60" t="s">
        <v>103</v>
      </c>
      <c r="I45" s="61"/>
      <c r="K45" s="60" t="s">
        <v>13</v>
      </c>
      <c r="L45" s="57"/>
      <c r="M45" s="57"/>
      <c r="N45" s="57"/>
    </row>
    <row r="46" spans="3:14" ht="14.25" customHeight="1" x14ac:dyDescent="0.2">
      <c r="C46" s="54" t="s">
        <v>14</v>
      </c>
    </row>
    <row r="47" spans="3:14" ht="14.25" customHeight="1" x14ac:dyDescent="0.2">
      <c r="C47" s="54" t="s">
        <v>15</v>
      </c>
    </row>
    <row r="48" spans="3:14" ht="14.25" customHeight="1" x14ac:dyDescent="0.2">
      <c r="C48" s="584" t="s">
        <v>100</v>
      </c>
      <c r="D48" s="584"/>
      <c r="E48" s="584"/>
      <c r="F48" s="584"/>
      <c r="G48" s="584"/>
      <c r="H48" s="584"/>
      <c r="I48" s="584"/>
      <c r="J48" s="584"/>
      <c r="K48" s="584"/>
      <c r="L48" s="584"/>
      <c r="M48" s="584"/>
      <c r="N48" s="584"/>
    </row>
    <row r="49" spans="1:14" ht="14.25" customHeight="1" x14ac:dyDescent="0.2">
      <c r="C49" s="58" t="s">
        <v>102</v>
      </c>
    </row>
    <row r="50" spans="1:14" ht="14.25" customHeight="1" x14ac:dyDescent="0.2">
      <c r="C50" s="58" t="s">
        <v>16</v>
      </c>
      <c r="J50" s="57"/>
      <c r="N50" s="59"/>
    </row>
    <row r="51" spans="1:14" ht="14.25" customHeight="1" x14ac:dyDescent="0.2">
      <c r="C51" s="58" t="s">
        <v>17</v>
      </c>
    </row>
    <row r="52" spans="1:14" ht="14.25" customHeight="1" x14ac:dyDescent="0.2">
      <c r="E52" s="54" t="s">
        <v>18</v>
      </c>
    </row>
    <row r="53" spans="1:14" ht="14.25" customHeight="1" x14ac:dyDescent="0.2">
      <c r="E53" s="54" t="s">
        <v>19</v>
      </c>
    </row>
    <row r="54" spans="1:14" ht="14.25" customHeight="1" x14ac:dyDescent="0.2">
      <c r="E54" s="54" t="s">
        <v>20</v>
      </c>
    </row>
    <row r="55" spans="1:14" ht="14.25" customHeight="1" x14ac:dyDescent="0.2">
      <c r="E55" s="54" t="s">
        <v>21</v>
      </c>
    </row>
    <row r="56" spans="1:14" ht="14.25" customHeight="1" x14ac:dyDescent="0.2">
      <c r="E56" s="54" t="s">
        <v>12</v>
      </c>
      <c r="F56" s="57"/>
      <c r="G56" s="57"/>
      <c r="H56" s="57"/>
      <c r="I56" s="57"/>
      <c r="J56" s="57"/>
    </row>
    <row r="57" spans="1:14" ht="14.25" customHeight="1" x14ac:dyDescent="0.2">
      <c r="F57" s="56"/>
      <c r="G57" s="56"/>
      <c r="H57" s="56"/>
      <c r="I57" s="56"/>
      <c r="J57" s="56"/>
    </row>
    <row r="58" spans="1:14" ht="14.25" customHeight="1" x14ac:dyDescent="0.2">
      <c r="A58" s="55" t="s">
        <v>22</v>
      </c>
    </row>
    <row r="59" spans="1:14" ht="14.25" customHeight="1" x14ac:dyDescent="0.2">
      <c r="A59" s="586"/>
      <c r="B59" s="586"/>
      <c r="C59" s="586"/>
      <c r="D59" s="586"/>
      <c r="E59" s="586"/>
      <c r="F59" s="586"/>
      <c r="G59" s="586"/>
      <c r="H59" s="586"/>
      <c r="I59" s="586"/>
      <c r="J59" s="586"/>
      <c r="K59" s="586"/>
      <c r="L59" s="586"/>
      <c r="M59" s="586"/>
      <c r="N59" s="586"/>
    </row>
    <row r="60" spans="1:14" ht="14.25" customHeight="1" x14ac:dyDescent="0.2">
      <c r="A60" s="586"/>
      <c r="B60" s="586"/>
      <c r="C60" s="586"/>
      <c r="D60" s="586"/>
      <c r="E60" s="586"/>
      <c r="F60" s="586"/>
      <c r="G60" s="586"/>
      <c r="H60" s="586"/>
      <c r="I60" s="586"/>
      <c r="J60" s="586"/>
      <c r="K60" s="586"/>
      <c r="L60" s="586"/>
      <c r="M60" s="586"/>
      <c r="N60" s="586"/>
    </row>
    <row r="61" spans="1:14" ht="14.25" customHeight="1" x14ac:dyDescent="0.2">
      <c r="A61" s="586"/>
      <c r="B61" s="586"/>
      <c r="C61" s="586"/>
      <c r="D61" s="586"/>
      <c r="E61" s="586"/>
      <c r="F61" s="586"/>
      <c r="G61" s="586"/>
      <c r="H61" s="586"/>
      <c r="I61" s="586"/>
      <c r="J61" s="586"/>
      <c r="K61" s="586"/>
      <c r="L61" s="586"/>
      <c r="M61" s="586"/>
      <c r="N61" s="586"/>
    </row>
    <row r="62" spans="1:14" ht="14.25" customHeight="1" x14ac:dyDescent="0.2">
      <c r="A62" s="586"/>
      <c r="B62" s="586"/>
      <c r="C62" s="586"/>
      <c r="D62" s="586"/>
      <c r="E62" s="586"/>
      <c r="F62" s="586"/>
      <c r="G62" s="586"/>
      <c r="H62" s="586"/>
      <c r="I62" s="586"/>
      <c r="J62" s="586"/>
      <c r="K62" s="586"/>
      <c r="L62" s="586"/>
      <c r="M62" s="586"/>
      <c r="N62" s="586"/>
    </row>
    <row r="63" spans="1:14" ht="14.25" customHeight="1" x14ac:dyDescent="0.2">
      <c r="A63" s="586"/>
      <c r="B63" s="586"/>
      <c r="C63" s="586"/>
      <c r="D63" s="586"/>
      <c r="E63" s="586"/>
      <c r="F63" s="586"/>
      <c r="G63" s="586"/>
      <c r="H63" s="586"/>
      <c r="I63" s="586"/>
      <c r="J63" s="586"/>
      <c r="K63" s="586"/>
      <c r="L63" s="586"/>
      <c r="M63" s="586"/>
      <c r="N63" s="586"/>
    </row>
    <row r="64" spans="1:14" ht="14.25" customHeight="1" x14ac:dyDescent="0.2">
      <c r="A64" s="586"/>
      <c r="B64" s="586"/>
      <c r="C64" s="586"/>
      <c r="D64" s="586"/>
      <c r="E64" s="586"/>
      <c r="F64" s="586"/>
      <c r="G64" s="586"/>
      <c r="H64" s="586"/>
      <c r="I64" s="586"/>
      <c r="J64" s="586"/>
      <c r="K64" s="586"/>
      <c r="L64" s="586"/>
      <c r="M64" s="586"/>
      <c r="N64" s="586"/>
    </row>
    <row r="65" spans="1:14" ht="14.25" customHeight="1" x14ac:dyDescent="0.2">
      <c r="A65" s="586"/>
      <c r="B65" s="586"/>
      <c r="C65" s="586"/>
      <c r="D65" s="586"/>
      <c r="E65" s="586"/>
      <c r="F65" s="586"/>
      <c r="G65" s="586"/>
      <c r="H65" s="586"/>
      <c r="I65" s="586"/>
      <c r="J65" s="586"/>
      <c r="K65" s="586"/>
      <c r="L65" s="586"/>
      <c r="M65" s="586"/>
      <c r="N65" s="586"/>
    </row>
    <row r="66" spans="1:14" ht="14.25" customHeight="1" x14ac:dyDescent="0.2">
      <c r="A66" s="587" t="s">
        <v>307</v>
      </c>
      <c r="B66" s="587"/>
      <c r="C66" s="587"/>
      <c r="D66" s="587"/>
      <c r="E66" s="587"/>
      <c r="F66" s="587"/>
      <c r="G66" s="587"/>
      <c r="H66" s="587"/>
      <c r="I66" s="587"/>
      <c r="J66" s="587"/>
      <c r="K66" s="587"/>
      <c r="L66" s="587"/>
      <c r="M66" s="587"/>
      <c r="N66" s="587"/>
    </row>
    <row r="67" spans="1:14" ht="14.25" customHeight="1" x14ac:dyDescent="0.2">
      <c r="A67" s="587"/>
      <c r="B67" s="587"/>
      <c r="C67" s="587"/>
      <c r="D67" s="587"/>
      <c r="E67" s="587"/>
      <c r="F67" s="587"/>
      <c r="G67" s="587"/>
      <c r="H67" s="587"/>
      <c r="I67" s="587"/>
      <c r="J67" s="587"/>
      <c r="K67" s="587"/>
      <c r="L67" s="587"/>
      <c r="M67" s="587"/>
      <c r="N67" s="587"/>
    </row>
    <row r="68" spans="1:14" ht="14.25" customHeight="1" x14ac:dyDescent="0.2">
      <c r="A68" s="586"/>
      <c r="B68" s="586"/>
      <c r="C68" s="586"/>
      <c r="D68" s="586"/>
      <c r="E68" s="586"/>
      <c r="F68" s="586"/>
      <c r="G68" s="586"/>
      <c r="H68" s="586"/>
      <c r="I68" s="586"/>
      <c r="J68" s="586"/>
      <c r="K68" s="586"/>
      <c r="L68" s="586"/>
      <c r="M68" s="586"/>
      <c r="N68" s="586"/>
    </row>
    <row r="69" spans="1:14" ht="14.25" customHeight="1" x14ac:dyDescent="0.2">
      <c r="A69" s="586"/>
      <c r="B69" s="586"/>
      <c r="C69" s="586"/>
      <c r="D69" s="586"/>
      <c r="E69" s="586"/>
      <c r="F69" s="586"/>
      <c r="G69" s="586"/>
      <c r="H69" s="586"/>
      <c r="I69" s="586"/>
      <c r="J69" s="586"/>
      <c r="K69" s="586"/>
      <c r="L69" s="586"/>
      <c r="M69" s="586"/>
      <c r="N69" s="586"/>
    </row>
    <row r="70" spans="1:14" ht="14.25" customHeight="1" x14ac:dyDescent="0.2">
      <c r="A70" s="586"/>
      <c r="B70" s="586"/>
      <c r="C70" s="586"/>
      <c r="D70" s="586"/>
      <c r="E70" s="586"/>
      <c r="F70" s="586"/>
      <c r="G70" s="586"/>
      <c r="H70" s="586"/>
      <c r="I70" s="586"/>
      <c r="J70" s="586"/>
      <c r="K70" s="586"/>
      <c r="L70" s="586"/>
      <c r="M70" s="586"/>
      <c r="N70" s="586"/>
    </row>
    <row r="71" spans="1:14" ht="14.25" customHeight="1" x14ac:dyDescent="0.2">
      <c r="A71" s="586"/>
      <c r="B71" s="586"/>
      <c r="C71" s="586"/>
      <c r="D71" s="586"/>
      <c r="E71" s="586"/>
      <c r="F71" s="586"/>
      <c r="G71" s="586"/>
      <c r="H71" s="586"/>
      <c r="I71" s="586"/>
      <c r="J71" s="586"/>
      <c r="K71" s="586"/>
      <c r="L71" s="586"/>
      <c r="M71" s="586"/>
      <c r="N71" s="586"/>
    </row>
    <row r="72" spans="1:14" ht="14.25" customHeight="1" x14ac:dyDescent="0.2">
      <c r="A72" s="586"/>
      <c r="B72" s="586"/>
      <c r="C72" s="586"/>
      <c r="D72" s="586"/>
      <c r="E72" s="586"/>
      <c r="F72" s="586"/>
      <c r="G72" s="586"/>
      <c r="H72" s="586"/>
      <c r="I72" s="586"/>
      <c r="J72" s="586"/>
      <c r="K72" s="586"/>
      <c r="L72" s="586"/>
      <c r="M72" s="586"/>
      <c r="N72" s="586"/>
    </row>
    <row r="73" spans="1:14" ht="14.25" customHeight="1" x14ac:dyDescent="0.2">
      <c r="A73" s="586"/>
      <c r="B73" s="586"/>
      <c r="C73" s="586"/>
      <c r="D73" s="586"/>
      <c r="E73" s="586"/>
      <c r="F73" s="586"/>
      <c r="G73" s="586"/>
      <c r="H73" s="586"/>
      <c r="I73" s="586"/>
      <c r="J73" s="586"/>
      <c r="K73" s="586"/>
      <c r="L73" s="586"/>
      <c r="M73" s="586"/>
      <c r="N73" s="586"/>
    </row>
    <row r="74" spans="1:14" ht="14.25" customHeight="1" x14ac:dyDescent="0.2">
      <c r="A74" s="587" t="s">
        <v>23</v>
      </c>
      <c r="B74" s="587"/>
      <c r="C74" s="587"/>
      <c r="D74" s="587"/>
      <c r="E74" s="587"/>
      <c r="F74" s="587"/>
      <c r="G74" s="587"/>
      <c r="H74" s="587"/>
      <c r="I74" s="587"/>
      <c r="J74" s="587"/>
      <c r="K74" s="587"/>
      <c r="L74" s="587"/>
      <c r="M74" s="587"/>
      <c r="N74" s="587"/>
    </row>
    <row r="75" spans="1:14" ht="14.25" customHeight="1" x14ac:dyDescent="0.2">
      <c r="A75" s="587"/>
      <c r="B75" s="587"/>
      <c r="C75" s="587"/>
      <c r="D75" s="587"/>
      <c r="E75" s="587"/>
      <c r="F75" s="587"/>
      <c r="G75" s="587"/>
      <c r="H75" s="587"/>
      <c r="I75" s="587"/>
      <c r="J75" s="587"/>
      <c r="K75" s="587"/>
      <c r="L75" s="587"/>
      <c r="M75" s="587"/>
      <c r="N75" s="587"/>
    </row>
    <row r="76" spans="1:14" ht="14.25" customHeight="1" x14ac:dyDescent="0.2">
      <c r="A76" s="586"/>
      <c r="B76" s="586"/>
      <c r="C76" s="586"/>
      <c r="D76" s="586"/>
      <c r="E76" s="586"/>
      <c r="F76" s="586"/>
      <c r="G76" s="586"/>
      <c r="H76" s="586"/>
      <c r="I76" s="586"/>
      <c r="J76" s="586"/>
      <c r="K76" s="586"/>
      <c r="L76" s="586"/>
      <c r="M76" s="586"/>
      <c r="N76" s="586"/>
    </row>
    <row r="77" spans="1:14" ht="14.25" customHeight="1" x14ac:dyDescent="0.2">
      <c r="A77" s="586"/>
      <c r="B77" s="586"/>
      <c r="C77" s="586"/>
      <c r="D77" s="586"/>
      <c r="E77" s="586"/>
      <c r="F77" s="586"/>
      <c r="G77" s="586"/>
      <c r="H77" s="586"/>
      <c r="I77" s="586"/>
      <c r="J77" s="586"/>
      <c r="K77" s="586"/>
      <c r="L77" s="586"/>
      <c r="M77" s="586"/>
      <c r="N77" s="586"/>
    </row>
    <row r="78" spans="1:14" ht="14.25" customHeight="1" x14ac:dyDescent="0.2">
      <c r="A78" s="586"/>
      <c r="B78" s="586"/>
      <c r="C78" s="586"/>
      <c r="D78" s="586"/>
      <c r="E78" s="586"/>
      <c r="F78" s="586"/>
      <c r="G78" s="586"/>
      <c r="H78" s="586"/>
      <c r="I78" s="586"/>
      <c r="J78" s="586"/>
      <c r="K78" s="586"/>
      <c r="L78" s="586"/>
      <c r="M78" s="586"/>
      <c r="N78" s="586"/>
    </row>
    <row r="79" spans="1:14" ht="14.25" customHeight="1" x14ac:dyDescent="0.2">
      <c r="A79" s="586"/>
      <c r="B79" s="586"/>
      <c r="C79" s="586"/>
      <c r="D79" s="586"/>
      <c r="E79" s="586"/>
      <c r="F79" s="586"/>
      <c r="G79" s="586"/>
      <c r="H79" s="586"/>
      <c r="I79" s="586"/>
      <c r="J79" s="586"/>
      <c r="K79" s="586"/>
      <c r="L79" s="586"/>
      <c r="M79" s="586"/>
      <c r="N79" s="586"/>
    </row>
    <row r="80" spans="1:14" ht="14.25" customHeight="1" x14ac:dyDescent="0.2">
      <c r="A80" s="586"/>
      <c r="B80" s="586"/>
      <c r="C80" s="586"/>
      <c r="D80" s="586"/>
      <c r="E80" s="586"/>
      <c r="F80" s="586"/>
      <c r="G80" s="586"/>
      <c r="H80" s="586"/>
      <c r="I80" s="586"/>
      <c r="J80" s="586"/>
      <c r="K80" s="586"/>
      <c r="L80" s="586"/>
      <c r="M80" s="586"/>
      <c r="N80" s="586"/>
    </row>
    <row r="81" spans="1:14" ht="14.25" customHeight="1" x14ac:dyDescent="0.2">
      <c r="A81" s="586"/>
      <c r="B81" s="586"/>
      <c r="C81" s="586"/>
      <c r="D81" s="586"/>
      <c r="E81" s="586"/>
      <c r="F81" s="586"/>
      <c r="G81" s="586"/>
      <c r="H81" s="586"/>
      <c r="I81" s="586"/>
      <c r="J81" s="586"/>
      <c r="K81" s="586"/>
      <c r="L81" s="586"/>
      <c r="M81" s="586"/>
      <c r="N81" s="586"/>
    </row>
    <row r="82" spans="1:14" ht="14.25" customHeight="1" x14ac:dyDescent="0.2">
      <c r="A82" s="586"/>
      <c r="B82" s="586"/>
      <c r="C82" s="586"/>
      <c r="D82" s="586"/>
      <c r="E82" s="586"/>
      <c r="F82" s="586"/>
      <c r="G82" s="586"/>
      <c r="H82" s="586"/>
      <c r="I82" s="586"/>
      <c r="J82" s="586"/>
      <c r="K82" s="586"/>
      <c r="L82" s="586"/>
      <c r="M82" s="586"/>
      <c r="N82" s="586"/>
    </row>
    <row r="83" spans="1:14" ht="14.25" customHeight="1" x14ac:dyDescent="0.2">
      <c r="A83" s="586"/>
      <c r="B83" s="586"/>
      <c r="C83" s="586"/>
      <c r="D83" s="586"/>
      <c r="E83" s="586"/>
      <c r="F83" s="586"/>
      <c r="G83" s="586"/>
      <c r="H83" s="586"/>
      <c r="I83" s="586"/>
      <c r="J83" s="586"/>
      <c r="K83" s="586"/>
      <c r="L83" s="586"/>
      <c r="M83" s="586"/>
      <c r="N83" s="586"/>
    </row>
    <row r="84" spans="1:14" ht="14.25" customHeight="1" x14ac:dyDescent="0.2">
      <c r="A84" s="586"/>
      <c r="B84" s="586"/>
      <c r="C84" s="586"/>
      <c r="D84" s="586"/>
      <c r="E84" s="586"/>
      <c r="F84" s="586"/>
      <c r="G84" s="586"/>
      <c r="H84" s="586"/>
      <c r="I84" s="586"/>
      <c r="J84" s="586"/>
      <c r="K84" s="586"/>
      <c r="L84" s="586"/>
      <c r="M84" s="586"/>
      <c r="N84" s="586"/>
    </row>
    <row r="85" spans="1:14" ht="14.25" customHeight="1" x14ac:dyDescent="0.2">
      <c r="A85" s="584" t="s">
        <v>24</v>
      </c>
      <c r="B85" s="584"/>
      <c r="C85" s="584"/>
      <c r="D85" s="584"/>
      <c r="E85" s="584"/>
      <c r="F85" s="584"/>
      <c r="G85" s="584"/>
      <c r="H85" s="584"/>
      <c r="I85" s="584"/>
      <c r="J85" s="584"/>
      <c r="K85" s="584"/>
      <c r="L85" s="584"/>
      <c r="M85" s="584"/>
      <c r="N85" s="584"/>
    </row>
    <row r="86" spans="1:14" ht="14.25" customHeight="1" x14ac:dyDescent="0.2">
      <c r="A86" s="584"/>
      <c r="B86" s="584"/>
      <c r="C86" s="584"/>
      <c r="D86" s="584"/>
      <c r="E86" s="584"/>
      <c r="F86" s="584"/>
      <c r="G86" s="584"/>
      <c r="H86" s="584"/>
      <c r="I86" s="584"/>
      <c r="J86" s="584"/>
      <c r="K86" s="584"/>
      <c r="L86" s="584"/>
      <c r="M86" s="584"/>
      <c r="N86" s="584"/>
    </row>
    <row r="87" spans="1:14" ht="14.25" customHeight="1" x14ac:dyDescent="0.2">
      <c r="A87" s="586"/>
      <c r="B87" s="586"/>
      <c r="C87" s="586"/>
      <c r="D87" s="586"/>
      <c r="E87" s="586"/>
      <c r="F87" s="586"/>
      <c r="G87" s="586"/>
      <c r="H87" s="586"/>
      <c r="I87" s="586"/>
      <c r="J87" s="586"/>
      <c r="K87" s="586"/>
      <c r="L87" s="586"/>
      <c r="M87" s="586"/>
      <c r="N87" s="586"/>
    </row>
    <row r="88" spans="1:14" ht="14.25" customHeight="1" x14ac:dyDescent="0.2">
      <c r="A88" s="586"/>
      <c r="B88" s="586"/>
      <c r="C88" s="586"/>
      <c r="D88" s="586"/>
      <c r="E88" s="586"/>
      <c r="F88" s="586"/>
      <c r="G88" s="586"/>
      <c r="H88" s="586"/>
      <c r="I88" s="586"/>
      <c r="J88" s="586"/>
      <c r="K88" s="586"/>
      <c r="L88" s="586"/>
      <c r="M88" s="586"/>
      <c r="N88" s="586"/>
    </row>
    <row r="89" spans="1:14" ht="14.25" customHeight="1" x14ac:dyDescent="0.2">
      <c r="A89" s="586"/>
      <c r="B89" s="586"/>
      <c r="C89" s="586"/>
      <c r="D89" s="586"/>
      <c r="E89" s="586"/>
      <c r="F89" s="586"/>
      <c r="G89" s="586"/>
      <c r="H89" s="586"/>
      <c r="I89" s="586"/>
      <c r="J89" s="586"/>
      <c r="K89" s="586"/>
      <c r="L89" s="586"/>
      <c r="M89" s="586"/>
      <c r="N89" s="586"/>
    </row>
    <row r="90" spans="1:14" ht="14.25" customHeight="1" x14ac:dyDescent="0.2">
      <c r="A90" s="586"/>
      <c r="B90" s="586"/>
      <c r="C90" s="586"/>
      <c r="D90" s="586"/>
      <c r="E90" s="586"/>
      <c r="F90" s="586"/>
      <c r="G90" s="586"/>
      <c r="H90" s="586"/>
      <c r="I90" s="586"/>
      <c r="J90" s="586"/>
      <c r="K90" s="586"/>
      <c r="L90" s="586"/>
      <c r="M90" s="586"/>
      <c r="N90" s="586"/>
    </row>
    <row r="91" spans="1:14" ht="14.25" customHeight="1" x14ac:dyDescent="0.2">
      <c r="A91" s="586"/>
      <c r="B91" s="586"/>
      <c r="C91" s="586"/>
      <c r="D91" s="586"/>
      <c r="E91" s="586"/>
      <c r="F91" s="586"/>
      <c r="G91" s="586"/>
      <c r="H91" s="586"/>
      <c r="I91" s="586"/>
      <c r="J91" s="586"/>
      <c r="K91" s="586"/>
      <c r="L91" s="586"/>
      <c r="M91" s="586"/>
      <c r="N91" s="586"/>
    </row>
    <row r="92" spans="1:14" ht="14.25" customHeight="1" x14ac:dyDescent="0.2">
      <c r="A92" s="586"/>
      <c r="B92" s="586"/>
      <c r="C92" s="586"/>
      <c r="D92" s="586"/>
      <c r="E92" s="586"/>
      <c r="F92" s="586"/>
      <c r="G92" s="586"/>
      <c r="H92" s="586"/>
      <c r="I92" s="586"/>
      <c r="J92" s="586"/>
      <c r="K92" s="586"/>
      <c r="L92" s="586"/>
      <c r="M92" s="586"/>
      <c r="N92" s="586"/>
    </row>
    <row r="93" spans="1:14" ht="14.25" customHeight="1" x14ac:dyDescent="0.2">
      <c r="A93" s="586"/>
      <c r="B93" s="586"/>
      <c r="C93" s="586"/>
      <c r="D93" s="586"/>
      <c r="E93" s="586"/>
      <c r="F93" s="586"/>
      <c r="G93" s="586"/>
      <c r="H93" s="586"/>
      <c r="I93" s="586"/>
      <c r="J93" s="586"/>
      <c r="K93" s="586"/>
      <c r="L93" s="586"/>
      <c r="M93" s="586"/>
      <c r="N93" s="586"/>
    </row>
    <row r="94" spans="1:14" ht="14.25" customHeight="1" x14ac:dyDescent="0.2">
      <c r="A94" s="586"/>
      <c r="B94" s="586"/>
      <c r="C94" s="586"/>
      <c r="D94" s="586"/>
      <c r="E94" s="586"/>
      <c r="F94" s="586"/>
      <c r="G94" s="586"/>
      <c r="H94" s="586"/>
      <c r="I94" s="586"/>
      <c r="J94" s="586"/>
      <c r="K94" s="586"/>
      <c r="L94" s="586"/>
      <c r="M94" s="586"/>
      <c r="N94" s="586"/>
    </row>
    <row r="95" spans="1:14" ht="14.25" customHeight="1" x14ac:dyDescent="0.2">
      <c r="A95" s="54" t="s">
        <v>25</v>
      </c>
    </row>
    <row r="96" spans="1:14" ht="14.25" customHeight="1" x14ac:dyDescent="0.2">
      <c r="A96" s="586"/>
      <c r="B96" s="586"/>
      <c r="C96" s="586"/>
      <c r="D96" s="586"/>
      <c r="E96" s="586"/>
      <c r="F96" s="586"/>
      <c r="G96" s="586"/>
      <c r="H96" s="586"/>
      <c r="I96" s="586"/>
      <c r="J96" s="586"/>
      <c r="K96" s="586"/>
      <c r="L96" s="586"/>
      <c r="M96" s="586"/>
      <c r="N96" s="586"/>
    </row>
    <row r="97" spans="1:14" ht="14.25" customHeight="1" x14ac:dyDescent="0.2">
      <c r="A97" s="586"/>
      <c r="B97" s="586"/>
      <c r="C97" s="586"/>
      <c r="D97" s="586"/>
      <c r="E97" s="586"/>
      <c r="F97" s="586"/>
      <c r="G97" s="586"/>
      <c r="H97" s="586"/>
      <c r="I97" s="586"/>
      <c r="J97" s="586"/>
      <c r="K97" s="586"/>
      <c r="L97" s="586"/>
      <c r="M97" s="586"/>
      <c r="N97" s="586"/>
    </row>
    <row r="98" spans="1:14" ht="14.25" customHeight="1" x14ac:dyDescent="0.2">
      <c r="A98" s="586"/>
      <c r="B98" s="586"/>
      <c r="C98" s="586"/>
      <c r="D98" s="586"/>
      <c r="E98" s="586"/>
      <c r="F98" s="586"/>
      <c r="G98" s="586"/>
      <c r="H98" s="586"/>
      <c r="I98" s="586"/>
      <c r="J98" s="586"/>
      <c r="K98" s="586"/>
      <c r="L98" s="586"/>
      <c r="M98" s="586"/>
      <c r="N98" s="586"/>
    </row>
    <row r="99" spans="1:14" ht="14.25" customHeight="1" x14ac:dyDescent="0.2">
      <c r="A99" s="54" t="s">
        <v>26</v>
      </c>
    </row>
    <row r="100" spans="1:14" ht="14.25" customHeight="1" x14ac:dyDescent="0.2">
      <c r="A100" s="586"/>
      <c r="B100" s="586"/>
      <c r="C100" s="586"/>
      <c r="D100" s="586"/>
      <c r="E100" s="586"/>
      <c r="F100" s="586"/>
      <c r="G100" s="586"/>
      <c r="H100" s="586"/>
      <c r="I100" s="586"/>
      <c r="J100" s="586"/>
      <c r="K100" s="586"/>
      <c r="L100" s="586"/>
      <c r="M100" s="586"/>
      <c r="N100" s="586"/>
    </row>
    <row r="101" spans="1:14" ht="14.25" customHeight="1" x14ac:dyDescent="0.2">
      <c r="A101" s="586"/>
      <c r="B101" s="586"/>
      <c r="C101" s="586"/>
      <c r="D101" s="586"/>
      <c r="E101" s="586"/>
      <c r="F101" s="586"/>
      <c r="G101" s="586"/>
      <c r="H101" s="586"/>
      <c r="I101" s="586"/>
      <c r="J101" s="586"/>
      <c r="K101" s="586"/>
      <c r="L101" s="586"/>
      <c r="M101" s="586"/>
      <c r="N101" s="586"/>
    </row>
    <row r="102" spans="1:14" ht="14.25" customHeight="1" x14ac:dyDescent="0.2">
      <c r="A102" s="586"/>
      <c r="B102" s="586"/>
      <c r="C102" s="586"/>
      <c r="D102" s="586"/>
      <c r="E102" s="586"/>
      <c r="F102" s="586"/>
      <c r="G102" s="586"/>
      <c r="H102" s="586"/>
      <c r="I102" s="586"/>
      <c r="J102" s="586"/>
      <c r="K102" s="586"/>
      <c r="L102" s="586"/>
      <c r="M102" s="586"/>
      <c r="N102" s="586"/>
    </row>
    <row r="103" spans="1:14" ht="15.75" customHeight="1" x14ac:dyDescent="0.2">
      <c r="A103" s="586"/>
      <c r="B103" s="586"/>
      <c r="C103" s="586"/>
      <c r="D103" s="586"/>
      <c r="E103" s="586"/>
      <c r="F103" s="586"/>
      <c r="G103" s="586"/>
      <c r="H103" s="586"/>
      <c r="I103" s="586"/>
      <c r="J103" s="586"/>
      <c r="K103" s="586"/>
      <c r="L103" s="586"/>
      <c r="M103" s="586"/>
      <c r="N103" s="586"/>
    </row>
    <row r="104" spans="1:14" ht="14.25" customHeight="1" x14ac:dyDescent="0.2">
      <c r="A104" s="586"/>
      <c r="B104" s="586"/>
      <c r="C104" s="586"/>
      <c r="D104" s="586"/>
      <c r="E104" s="586"/>
      <c r="F104" s="586"/>
      <c r="G104" s="586"/>
      <c r="H104" s="586"/>
      <c r="I104" s="586"/>
      <c r="J104" s="586"/>
      <c r="K104" s="586"/>
      <c r="L104" s="586"/>
      <c r="M104" s="586"/>
      <c r="N104" s="586"/>
    </row>
    <row r="105" spans="1:14" ht="14.25" customHeight="1" x14ac:dyDescent="0.2">
      <c r="A105" s="586"/>
      <c r="B105" s="586"/>
      <c r="C105" s="586"/>
      <c r="D105" s="586"/>
      <c r="E105" s="586"/>
      <c r="F105" s="586"/>
      <c r="G105" s="586"/>
      <c r="H105" s="586"/>
      <c r="I105" s="586"/>
      <c r="J105" s="586"/>
      <c r="K105" s="586"/>
      <c r="L105" s="586"/>
      <c r="M105" s="586"/>
      <c r="N105" s="586"/>
    </row>
    <row r="106" spans="1:14" ht="14.25" customHeight="1" x14ac:dyDescent="0.2">
      <c r="A106" s="586"/>
      <c r="B106" s="586"/>
      <c r="C106" s="586"/>
      <c r="D106" s="586"/>
      <c r="E106" s="586"/>
      <c r="F106" s="586"/>
      <c r="G106" s="586"/>
      <c r="H106" s="586"/>
      <c r="I106" s="586"/>
      <c r="J106" s="586"/>
      <c r="K106" s="586"/>
      <c r="L106" s="586"/>
      <c r="M106" s="586"/>
      <c r="N106" s="586"/>
    </row>
    <row r="107" spans="1:14" ht="14.25" customHeight="1" x14ac:dyDescent="0.2">
      <c r="A107" s="586"/>
      <c r="B107" s="586"/>
      <c r="C107" s="586"/>
      <c r="D107" s="586"/>
      <c r="E107" s="586"/>
      <c r="F107" s="586"/>
      <c r="G107" s="586"/>
      <c r="H107" s="586"/>
      <c r="I107" s="586"/>
      <c r="J107" s="586"/>
      <c r="K107" s="586"/>
      <c r="L107" s="586"/>
      <c r="M107" s="586"/>
      <c r="N107" s="586"/>
    </row>
    <row r="108" spans="1:14" ht="14.25" customHeight="1" x14ac:dyDescent="0.2">
      <c r="A108" s="586"/>
      <c r="B108" s="586"/>
      <c r="C108" s="586"/>
      <c r="D108" s="586"/>
      <c r="E108" s="586"/>
      <c r="F108" s="586"/>
      <c r="G108" s="586"/>
      <c r="H108" s="586"/>
      <c r="I108" s="586"/>
      <c r="J108" s="586"/>
      <c r="K108" s="586"/>
      <c r="L108" s="586"/>
      <c r="M108" s="586"/>
      <c r="N108" s="586"/>
    </row>
  </sheetData>
  <sheetProtection selectLockedCells="1"/>
  <mergeCells count="38">
    <mergeCell ref="A2:E2"/>
    <mergeCell ref="F2:H2"/>
    <mergeCell ref="A3:E3"/>
    <mergeCell ref="F3:H3"/>
    <mergeCell ref="A4:E4"/>
    <mergeCell ref="F4:H4"/>
    <mergeCell ref="K4:M4"/>
    <mergeCell ref="A6:F6"/>
    <mergeCell ref="C7:E7"/>
    <mergeCell ref="G7:H7"/>
    <mergeCell ref="L7:M7"/>
    <mergeCell ref="L8:M8"/>
    <mergeCell ref="C9:E9"/>
    <mergeCell ref="C10:E10"/>
    <mergeCell ref="C11:E11"/>
    <mergeCell ref="C12:E12"/>
    <mergeCell ref="F12:M12"/>
    <mergeCell ref="C14:N16"/>
    <mergeCell ref="C17:F17"/>
    <mergeCell ref="A18:F18"/>
    <mergeCell ref="E20:N21"/>
    <mergeCell ref="C22:N23"/>
    <mergeCell ref="C24:N25"/>
    <mergeCell ref="A28:H28"/>
    <mergeCell ref="C30:N31"/>
    <mergeCell ref="A32:F32"/>
    <mergeCell ref="H32:I32"/>
    <mergeCell ref="C44:N44"/>
    <mergeCell ref="C48:N48"/>
    <mergeCell ref="A59:N65"/>
    <mergeCell ref="A96:N98"/>
    <mergeCell ref="A100:N108"/>
    <mergeCell ref="A66:N67"/>
    <mergeCell ref="A68:N73"/>
    <mergeCell ref="A74:N75"/>
    <mergeCell ref="A76:N84"/>
    <mergeCell ref="A85:N86"/>
    <mergeCell ref="A87:N94"/>
  </mergeCells>
  <conditionalFormatting sqref="G33">
    <cfRule type="cellIs" dxfId="22" priority="1" operator="greaterThanOrEqual">
      <formula>$G$34*1.1</formula>
    </cfRule>
    <cfRule type="cellIs" dxfId="21" priority="2" operator="lessThanOrEqual">
      <formula>$G$34*0.9</formula>
    </cfRule>
  </conditionalFormatting>
  <dataValidations disablePrompts="1" count="1">
    <dataValidation type="list" allowBlank="1" showInputMessage="1" showErrorMessage="1" sqref="F10:F11 H10:H11">
      <formula1>"1,2,3,4,5,6,7,8,9,10,11,12"</formula1>
    </dataValidation>
  </dataValidations>
  <hyperlinks>
    <hyperlink ref="C17:F17" r:id="rId1" display="PSE Application"/>
  </hyperlinks>
  <pageMargins left="0.7" right="0.7" top="0.75" bottom="0.75" header="0.3" footer="0.3"/>
  <pageSetup scale="88" fitToHeight="4" orientation="portrait" r:id="rId2"/>
  <headerFooter>
    <oddHeader xml:space="preserve">&amp;L&amp;G&amp;C&amp;"Arial,Bold"PSE Monitoring-Based Cx
Pre-Screening / Eligibility Report 
</oddHeader>
    <oddFooter>&amp;LPre-screening / Eligibility Report - 04/01/2021&amp;RPage &amp;P of &amp;N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0</xdr:col>
                    <xdr:colOff>0</xdr:colOff>
                    <xdr:row>18</xdr:row>
                    <xdr:rowOff>19050</xdr:rowOff>
                  </from>
                  <to>
                    <xdr:col>1</xdr:col>
                    <xdr:colOff>0</xdr:colOff>
                    <xdr:row>19</xdr:row>
                    <xdr:rowOff>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xdr:col>
                    <xdr:colOff>0</xdr:colOff>
                    <xdr:row>19</xdr:row>
                    <xdr:rowOff>19050</xdr:rowOff>
                  </from>
                  <to>
                    <xdr:col>3</xdr:col>
                    <xdr:colOff>0</xdr:colOff>
                    <xdr:row>20</xdr:row>
                    <xdr:rowOff>19050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0</xdr:col>
                    <xdr:colOff>0</xdr:colOff>
                    <xdr:row>21</xdr:row>
                    <xdr:rowOff>19050</xdr:rowOff>
                  </from>
                  <to>
                    <xdr:col>1</xdr:col>
                    <xdr:colOff>0</xdr:colOff>
                    <xdr:row>22</xdr:row>
                    <xdr:rowOff>19050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0</xdr:col>
                    <xdr:colOff>0</xdr:colOff>
                    <xdr:row>23</xdr:row>
                    <xdr:rowOff>19050</xdr:rowOff>
                  </from>
                  <to>
                    <xdr:col>1</xdr:col>
                    <xdr:colOff>0</xdr:colOff>
                    <xdr:row>24</xdr:row>
                    <xdr:rowOff>19050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0</xdr:col>
                    <xdr:colOff>0</xdr:colOff>
                    <xdr:row>25</xdr:row>
                    <xdr:rowOff>19050</xdr:rowOff>
                  </from>
                  <to>
                    <xdr:col>1</xdr:col>
                    <xdr:colOff>0</xdr:colOff>
                    <xdr:row>26</xdr:row>
                    <xdr:rowOff>19050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0</xdr:col>
                    <xdr:colOff>0</xdr:colOff>
                    <xdr:row>26</xdr:row>
                    <xdr:rowOff>19050</xdr:rowOff>
                  </from>
                  <to>
                    <xdr:col>1</xdr:col>
                    <xdr:colOff>0</xdr:colOff>
                    <xdr:row>27</xdr:row>
                    <xdr:rowOff>19050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0</xdr:col>
                    <xdr:colOff>0</xdr:colOff>
                    <xdr:row>28</xdr:row>
                    <xdr:rowOff>19050</xdr:rowOff>
                  </from>
                  <to>
                    <xdr:col>1</xdr:col>
                    <xdr:colOff>0</xdr:colOff>
                    <xdr:row>29</xdr:row>
                    <xdr:rowOff>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0</xdr:col>
                    <xdr:colOff>0</xdr:colOff>
                    <xdr:row>29</xdr:row>
                    <xdr:rowOff>19050</xdr:rowOff>
                  </from>
                  <to>
                    <xdr:col>1</xdr:col>
                    <xdr:colOff>0</xdr:colOff>
                    <xdr:row>30</xdr:row>
                    <xdr:rowOff>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0</xdr:col>
                    <xdr:colOff>0</xdr:colOff>
                    <xdr:row>35</xdr:row>
                    <xdr:rowOff>19050</xdr:rowOff>
                  </from>
                  <to>
                    <xdr:col>1</xdr:col>
                    <xdr:colOff>9525</xdr:colOff>
                    <xdr:row>36</xdr:row>
                    <xdr:rowOff>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0</xdr:col>
                    <xdr:colOff>0</xdr:colOff>
                    <xdr:row>36</xdr:row>
                    <xdr:rowOff>19050</xdr:rowOff>
                  </from>
                  <to>
                    <xdr:col>1</xdr:col>
                    <xdr:colOff>9525</xdr:colOff>
                    <xdr:row>37</xdr:row>
                    <xdr:rowOff>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2</xdr:col>
                    <xdr:colOff>0</xdr:colOff>
                    <xdr:row>37</xdr:row>
                    <xdr:rowOff>19050</xdr:rowOff>
                  </from>
                  <to>
                    <xdr:col>3</xdr:col>
                    <xdr:colOff>9525</xdr:colOff>
                    <xdr:row>38</xdr:row>
                    <xdr:rowOff>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xdr:col>
                    <xdr:colOff>0</xdr:colOff>
                    <xdr:row>38</xdr:row>
                    <xdr:rowOff>19050</xdr:rowOff>
                  </from>
                  <to>
                    <xdr:col>3</xdr:col>
                    <xdr:colOff>9525</xdr:colOff>
                    <xdr:row>39</xdr:row>
                    <xdr:rowOff>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xdr:col>
                    <xdr:colOff>0</xdr:colOff>
                    <xdr:row>39</xdr:row>
                    <xdr:rowOff>19050</xdr:rowOff>
                  </from>
                  <to>
                    <xdr:col>3</xdr:col>
                    <xdr:colOff>9525</xdr:colOff>
                    <xdr:row>40</xdr:row>
                    <xdr:rowOff>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xdr:col>
                    <xdr:colOff>0</xdr:colOff>
                    <xdr:row>40</xdr:row>
                    <xdr:rowOff>19050</xdr:rowOff>
                  </from>
                  <to>
                    <xdr:col>3</xdr:col>
                    <xdr:colOff>9525</xdr:colOff>
                    <xdr:row>41</xdr:row>
                    <xdr:rowOff>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2</xdr:col>
                    <xdr:colOff>0</xdr:colOff>
                    <xdr:row>41</xdr:row>
                    <xdr:rowOff>19050</xdr:rowOff>
                  </from>
                  <to>
                    <xdr:col>3</xdr:col>
                    <xdr:colOff>9525</xdr:colOff>
                    <xdr:row>42</xdr:row>
                    <xdr:rowOff>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xdr:col>
                    <xdr:colOff>0</xdr:colOff>
                    <xdr:row>42</xdr:row>
                    <xdr:rowOff>19050</xdr:rowOff>
                  </from>
                  <to>
                    <xdr:col>3</xdr:col>
                    <xdr:colOff>9525</xdr:colOff>
                    <xdr:row>43</xdr:row>
                    <xdr:rowOff>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0</xdr:col>
                    <xdr:colOff>0</xdr:colOff>
                    <xdr:row>43</xdr:row>
                    <xdr:rowOff>19050</xdr:rowOff>
                  </from>
                  <to>
                    <xdr:col>1</xdr:col>
                    <xdr:colOff>9525</xdr:colOff>
                    <xdr:row>44</xdr:row>
                    <xdr:rowOff>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0</xdr:col>
                    <xdr:colOff>0</xdr:colOff>
                    <xdr:row>45</xdr:row>
                    <xdr:rowOff>19050</xdr:rowOff>
                  </from>
                  <to>
                    <xdr:col>1</xdr:col>
                    <xdr:colOff>9525</xdr:colOff>
                    <xdr:row>46</xdr:row>
                    <xdr:rowOff>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0</xdr:col>
                    <xdr:colOff>0</xdr:colOff>
                    <xdr:row>46</xdr:row>
                    <xdr:rowOff>19050</xdr:rowOff>
                  </from>
                  <to>
                    <xdr:col>1</xdr:col>
                    <xdr:colOff>9525</xdr:colOff>
                    <xdr:row>47</xdr:row>
                    <xdr:rowOff>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0</xdr:col>
                    <xdr:colOff>0</xdr:colOff>
                    <xdr:row>47</xdr:row>
                    <xdr:rowOff>19050</xdr:rowOff>
                  </from>
                  <to>
                    <xdr:col>1</xdr:col>
                    <xdr:colOff>9525</xdr:colOff>
                    <xdr:row>48</xdr:row>
                    <xdr:rowOff>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0</xdr:col>
                    <xdr:colOff>0</xdr:colOff>
                    <xdr:row>48</xdr:row>
                    <xdr:rowOff>19050</xdr:rowOff>
                  </from>
                  <to>
                    <xdr:col>1</xdr:col>
                    <xdr:colOff>9525</xdr:colOff>
                    <xdr:row>49</xdr:row>
                    <xdr:rowOff>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0</xdr:col>
                    <xdr:colOff>0</xdr:colOff>
                    <xdr:row>49</xdr:row>
                    <xdr:rowOff>19050</xdr:rowOff>
                  </from>
                  <to>
                    <xdr:col>1</xdr:col>
                    <xdr:colOff>9525</xdr:colOff>
                    <xdr:row>50</xdr:row>
                    <xdr:rowOff>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0</xdr:col>
                    <xdr:colOff>0</xdr:colOff>
                    <xdr:row>50</xdr:row>
                    <xdr:rowOff>19050</xdr:rowOff>
                  </from>
                  <to>
                    <xdr:col>1</xdr:col>
                    <xdr:colOff>9525</xdr:colOff>
                    <xdr:row>51</xdr:row>
                    <xdr:rowOff>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xdr:col>
                    <xdr:colOff>0</xdr:colOff>
                    <xdr:row>51</xdr:row>
                    <xdr:rowOff>19050</xdr:rowOff>
                  </from>
                  <to>
                    <xdr:col>3</xdr:col>
                    <xdr:colOff>9525</xdr:colOff>
                    <xdr:row>52</xdr:row>
                    <xdr:rowOff>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xdr:col>
                    <xdr:colOff>0</xdr:colOff>
                    <xdr:row>52</xdr:row>
                    <xdr:rowOff>19050</xdr:rowOff>
                  </from>
                  <to>
                    <xdr:col>3</xdr:col>
                    <xdr:colOff>9525</xdr:colOff>
                    <xdr:row>53</xdr:row>
                    <xdr:rowOff>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xdr:col>
                    <xdr:colOff>0</xdr:colOff>
                    <xdr:row>53</xdr:row>
                    <xdr:rowOff>19050</xdr:rowOff>
                  </from>
                  <to>
                    <xdr:col>3</xdr:col>
                    <xdr:colOff>9525</xdr:colOff>
                    <xdr:row>54</xdr:row>
                    <xdr:rowOff>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2</xdr:col>
                    <xdr:colOff>0</xdr:colOff>
                    <xdr:row>54</xdr:row>
                    <xdr:rowOff>19050</xdr:rowOff>
                  </from>
                  <to>
                    <xdr:col>3</xdr:col>
                    <xdr:colOff>9525</xdr:colOff>
                    <xdr:row>55</xdr:row>
                    <xdr:rowOff>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xdr:col>
                    <xdr:colOff>0</xdr:colOff>
                    <xdr:row>55</xdr:row>
                    <xdr:rowOff>19050</xdr:rowOff>
                  </from>
                  <to>
                    <xdr:col>3</xdr:col>
                    <xdr:colOff>9525</xdr:colOff>
                    <xdr:row>56</xdr:row>
                    <xdr:rowOff>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5</xdr:col>
                    <xdr:colOff>657225</xdr:colOff>
                    <xdr:row>18</xdr:row>
                    <xdr:rowOff>9525</xdr:rowOff>
                  </from>
                  <to>
                    <xdr:col>5</xdr:col>
                    <xdr:colOff>828675</xdr:colOff>
                    <xdr:row>18</xdr:row>
                    <xdr:rowOff>171450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7</xdr:col>
                    <xdr:colOff>409575</xdr:colOff>
                    <xdr:row>18</xdr:row>
                    <xdr:rowOff>9525</xdr:rowOff>
                  </from>
                  <to>
                    <xdr:col>7</xdr:col>
                    <xdr:colOff>590550</xdr:colOff>
                    <xdr:row>18</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3" operator="greaterThanOrEqual" id="{0BA2870F-9616-443D-BB77-80A32832122D}">
            <xm:f>VLOOKUP($I$7,'\\Sestdpt1.puget.com\Sopscci\4-Energy Efficiency\BEM\_Grants\250- CI Retro\_Commissioning\Building Tune-up\00_Requirements\[Building Tune-Up_FormVer05-27-2020.xlsx]Pre-screen'!#REF!,4)</xm:f>
            <x14:dxf>
              <fill>
                <patternFill>
                  <bgColor theme="9" tint="0.79998168889431442"/>
                </patternFill>
              </fill>
            </x14:dxf>
          </x14:cfRule>
          <x14:cfRule type="cellIs" priority="4" operator="lessThanOrEqual" id="{2C528B80-5E20-4F75-B677-BE503B0CAB1F}">
            <xm:f>VLOOKUP($I$7,'\\Sestdpt1.puget.com\Sopscci\4-Energy Efficiency\BEM\_Grants\250- CI Retro\_Commissioning\Building Tune-up\00_Requirements\[Building Tune-Up_FormVer05-27-2020.xlsx]Pre-screen'!#REF!,3)</xm:f>
            <x14:dxf>
              <fill>
                <patternFill>
                  <bgColor theme="6" tint="0.79998168889431442"/>
                </patternFill>
              </fill>
            </x14:dxf>
          </x14:cfRule>
          <xm:sqref>J33</xm:sqref>
        </x14:conditionalFormatting>
        <x14:conditionalFormatting xmlns:xm="http://schemas.microsoft.com/office/excel/2006/main">
          <x14:cfRule type="cellIs" priority="5" operator="greaterThanOrEqual" id="{D369D1D9-024F-48C4-9C35-331FCA935F05}">
            <xm:f>VLOOKUP($I$7,'\\Sestdpt1.puget.com\Sopscci\4-Energy Efficiency\BEM\_Grants\250- CI Retro\_Commissioning\Building Tune-up\00_Requirements\[Building Tune-Up_FormVer05-27-2020.xlsx]Pre-screen'!#REF!,4)</xm:f>
            <x14:dxf>
              <fill>
                <patternFill>
                  <bgColor theme="9" tint="0.79998168889431442"/>
                </patternFill>
              </fill>
            </x14:dxf>
          </x14:cfRule>
          <x14:cfRule type="cellIs" priority="6" operator="lessThanOrEqual" id="{E5D6419C-2AD4-4CE6-B983-86CFE4456D7D}">
            <xm:f>VLOOKUP($I$7,'\\Sestdpt1.puget.com\Sopscci\4-Energy Efficiency\BEM\_Grants\250- CI Retro\_Commissioning\Building Tune-up\00_Requirements\[Building Tune-Up_FormVer05-27-2020.xlsx]Pre-screen'!#REF!,3)</xm:f>
            <x14:dxf>
              <fill>
                <patternFill>
                  <bgColor theme="6" tint="0.79998168889431442"/>
                </patternFill>
              </fill>
            </x14:dxf>
          </x14:cfRule>
          <xm:sqref>L33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primary space use type">
          <x14:formula1>
            <xm:f>Hidden!$V$4:$V$13</xm:f>
          </x14:formula1>
          <xm:sqref>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Layout" zoomScaleNormal="100" workbookViewId="0">
      <selection activeCell="A39" sqref="A39"/>
    </sheetView>
  </sheetViews>
  <sheetFormatPr defaultColWidth="9.140625" defaultRowHeight="15" x14ac:dyDescent="0.25"/>
  <cols>
    <col min="1" max="1" width="39.140625" style="463" customWidth="1"/>
    <col min="2" max="2" width="13.140625" style="464" customWidth="1"/>
    <col min="3" max="3" width="12.7109375" style="464" customWidth="1"/>
    <col min="4" max="4" width="13.42578125" style="464" customWidth="1"/>
    <col min="5" max="5" width="49.42578125" style="463" customWidth="1"/>
    <col min="6" max="16384" width="9.140625" style="463"/>
  </cols>
  <sheetData>
    <row r="1" spans="1:5" ht="19.5" thickBot="1" x14ac:dyDescent="0.35">
      <c r="A1" s="605" t="s">
        <v>27</v>
      </c>
      <c r="B1" s="606"/>
      <c r="C1" s="606"/>
      <c r="D1" s="606"/>
      <c r="E1" s="573" t="s">
        <v>194</v>
      </c>
    </row>
    <row r="2" spans="1:5" x14ac:dyDescent="0.25">
      <c r="A2" s="463" t="s">
        <v>368</v>
      </c>
    </row>
    <row r="3" spans="1:5" ht="10.5" customHeight="1" thickBot="1" x14ac:dyDescent="0.3"/>
    <row r="4" spans="1:5" x14ac:dyDescent="0.25">
      <c r="A4" s="607" t="s">
        <v>369</v>
      </c>
      <c r="B4" s="609" t="s">
        <v>370</v>
      </c>
      <c r="C4" s="610"/>
      <c r="D4" s="611"/>
      <c r="E4" s="612" t="s">
        <v>371</v>
      </c>
    </row>
    <row r="5" spans="1:5" ht="15.75" thickBot="1" x14ac:dyDescent="0.3">
      <c r="A5" s="608"/>
      <c r="B5" s="465" t="s">
        <v>372</v>
      </c>
      <c r="C5" s="466" t="s">
        <v>373</v>
      </c>
      <c r="D5" s="465" t="s">
        <v>374</v>
      </c>
      <c r="E5" s="613"/>
    </row>
    <row r="6" spans="1:5" x14ac:dyDescent="0.25">
      <c r="A6" s="476" t="s">
        <v>391</v>
      </c>
      <c r="B6" s="507"/>
      <c r="C6" s="508"/>
      <c r="D6" s="467"/>
      <c r="E6" s="614" t="s">
        <v>388</v>
      </c>
    </row>
    <row r="7" spans="1:5" x14ac:dyDescent="0.25">
      <c r="A7" s="476" t="s">
        <v>389</v>
      </c>
      <c r="B7" s="509"/>
      <c r="C7" s="510"/>
      <c r="D7" s="473"/>
      <c r="E7" s="615"/>
    </row>
    <row r="8" spans="1:5" x14ac:dyDescent="0.25">
      <c r="A8" s="476" t="s">
        <v>390</v>
      </c>
      <c r="B8" s="509"/>
      <c r="C8" s="510"/>
      <c r="D8" s="473"/>
      <c r="E8" s="616"/>
    </row>
    <row r="9" spans="1:5" x14ac:dyDescent="0.25">
      <c r="A9" s="468" t="s">
        <v>375</v>
      </c>
      <c r="B9" s="469"/>
      <c r="C9" s="470"/>
      <c r="D9" s="513"/>
      <c r="E9" s="471" t="s">
        <v>376</v>
      </c>
    </row>
    <row r="10" spans="1:5" x14ac:dyDescent="0.25">
      <c r="A10" s="484" t="s">
        <v>392</v>
      </c>
      <c r="B10" s="509"/>
      <c r="C10" s="470"/>
      <c r="D10" s="513"/>
      <c r="E10" s="474" t="s">
        <v>377</v>
      </c>
    </row>
    <row r="11" spans="1:5" x14ac:dyDescent="0.25">
      <c r="A11" s="476" t="s">
        <v>393</v>
      </c>
      <c r="B11" s="509"/>
      <c r="C11" s="470"/>
      <c r="D11" s="513"/>
      <c r="E11" s="471"/>
    </row>
    <row r="12" spans="1:5" x14ac:dyDescent="0.25">
      <c r="A12" s="476" t="s">
        <v>394</v>
      </c>
      <c r="B12" s="509"/>
      <c r="C12" s="470"/>
      <c r="D12" s="513"/>
      <c r="E12" s="471"/>
    </row>
    <row r="13" spans="1:5" x14ac:dyDescent="0.25">
      <c r="A13" s="476" t="s">
        <v>395</v>
      </c>
      <c r="B13" s="509"/>
      <c r="C13" s="470"/>
      <c r="D13" s="513"/>
      <c r="E13" s="471"/>
    </row>
    <row r="14" spans="1:5" x14ac:dyDescent="0.25">
      <c r="A14" s="476" t="s">
        <v>397</v>
      </c>
      <c r="B14" s="511"/>
      <c r="C14" s="470"/>
      <c r="D14" s="513"/>
      <c r="E14" s="474" t="s">
        <v>377</v>
      </c>
    </row>
    <row r="15" spans="1:5" x14ac:dyDescent="0.25">
      <c r="A15" s="476" t="s">
        <v>398</v>
      </c>
      <c r="B15" s="511"/>
      <c r="C15" s="470"/>
      <c r="D15" s="513"/>
      <c r="E15" s="471"/>
    </row>
    <row r="16" spans="1:5" x14ac:dyDescent="0.25">
      <c r="A16" s="476" t="s">
        <v>396</v>
      </c>
      <c r="B16" s="511"/>
      <c r="C16" s="470"/>
      <c r="D16" s="513"/>
      <c r="E16" s="471"/>
    </row>
    <row r="17" spans="1:5" x14ac:dyDescent="0.25">
      <c r="A17" s="476" t="s">
        <v>399</v>
      </c>
      <c r="B17" s="511"/>
      <c r="C17" s="470"/>
      <c r="D17" s="513"/>
      <c r="E17" s="471"/>
    </row>
    <row r="18" spans="1:5" x14ac:dyDescent="0.25">
      <c r="A18" s="476" t="s">
        <v>400</v>
      </c>
      <c r="B18" s="511"/>
      <c r="C18" s="470"/>
      <c r="D18" s="513"/>
      <c r="E18" s="471"/>
    </row>
    <row r="19" spans="1:5" x14ac:dyDescent="0.25">
      <c r="A19" s="472" t="s">
        <v>401</v>
      </c>
      <c r="B19" s="509"/>
      <c r="C19" s="470"/>
      <c r="D19" s="473"/>
      <c r="E19" s="474" t="s">
        <v>416</v>
      </c>
    </row>
    <row r="20" spans="1:5" x14ac:dyDescent="0.25">
      <c r="A20" s="476" t="s">
        <v>402</v>
      </c>
      <c r="B20" s="509"/>
      <c r="C20" s="470"/>
      <c r="D20" s="473"/>
      <c r="E20" s="494" t="s">
        <v>414</v>
      </c>
    </row>
    <row r="21" spans="1:5" x14ac:dyDescent="0.25">
      <c r="A21" s="476" t="s">
        <v>403</v>
      </c>
      <c r="B21" s="509"/>
      <c r="C21" s="470"/>
      <c r="D21" s="473"/>
      <c r="E21" s="487" t="s">
        <v>415</v>
      </c>
    </row>
    <row r="22" spans="1:5" x14ac:dyDescent="0.25">
      <c r="A22" s="472" t="s">
        <v>404</v>
      </c>
      <c r="B22" s="509"/>
      <c r="C22" s="470"/>
      <c r="D22" s="473"/>
      <c r="E22" s="493"/>
    </row>
    <row r="23" spans="1:5" x14ac:dyDescent="0.25">
      <c r="A23" s="472" t="s">
        <v>405</v>
      </c>
      <c r="B23" s="509"/>
      <c r="C23" s="470"/>
      <c r="D23" s="473"/>
      <c r="E23" s="479"/>
    </row>
    <row r="24" spans="1:5" x14ac:dyDescent="0.25">
      <c r="A24" s="472" t="s">
        <v>409</v>
      </c>
      <c r="B24" s="509"/>
      <c r="C24" s="510"/>
      <c r="D24" s="475"/>
      <c r="E24" s="495" t="s">
        <v>417</v>
      </c>
    </row>
    <row r="25" spans="1:5" x14ac:dyDescent="0.25">
      <c r="A25" s="476" t="s">
        <v>407</v>
      </c>
      <c r="B25" s="509"/>
      <c r="C25" s="510"/>
      <c r="D25" s="473"/>
      <c r="E25" s="477"/>
    </row>
    <row r="26" spans="1:5" x14ac:dyDescent="0.25">
      <c r="A26" s="476" t="s">
        <v>408</v>
      </c>
      <c r="B26" s="509"/>
      <c r="C26" s="510"/>
      <c r="D26" s="473"/>
      <c r="E26" s="478"/>
    </row>
    <row r="27" spans="1:5" x14ac:dyDescent="0.25">
      <c r="A27" s="472" t="s">
        <v>410</v>
      </c>
      <c r="B27" s="509"/>
      <c r="C27" s="470"/>
      <c r="D27" s="514"/>
      <c r="E27" s="472" t="s">
        <v>378</v>
      </c>
    </row>
    <row r="28" spans="1:5" x14ac:dyDescent="0.25">
      <c r="A28" s="472" t="s">
        <v>411</v>
      </c>
      <c r="B28" s="509"/>
      <c r="C28" s="470"/>
      <c r="D28" s="513"/>
      <c r="E28" s="487" t="s">
        <v>419</v>
      </c>
    </row>
    <row r="29" spans="1:5" x14ac:dyDescent="0.25">
      <c r="A29" s="492" t="s">
        <v>413</v>
      </c>
      <c r="B29" s="509"/>
      <c r="C29" s="510"/>
      <c r="D29" s="513"/>
      <c r="E29" s="487" t="s">
        <v>418</v>
      </c>
    </row>
    <row r="30" spans="1:5" x14ac:dyDescent="0.25">
      <c r="A30" s="489" t="s">
        <v>406</v>
      </c>
      <c r="B30" s="509"/>
      <c r="C30" s="510"/>
      <c r="D30" s="513"/>
      <c r="E30" s="490"/>
    </row>
    <row r="31" spans="1:5" ht="15.75" thickBot="1" x14ac:dyDescent="0.3">
      <c r="A31" s="491" t="s">
        <v>412</v>
      </c>
      <c r="B31" s="512"/>
      <c r="C31" s="516"/>
      <c r="D31" s="515"/>
      <c r="E31" s="488"/>
    </row>
    <row r="32" spans="1:5" ht="15.75" thickBot="1" x14ac:dyDescent="0.3"/>
    <row r="33" spans="1:5" ht="15.75" thickBot="1" x14ac:dyDescent="0.3">
      <c r="A33" s="617" t="s">
        <v>379</v>
      </c>
      <c r="B33" s="618"/>
      <c r="C33" s="618"/>
      <c r="D33" s="618"/>
      <c r="E33" s="619"/>
    </row>
    <row r="34" spans="1:5" x14ac:dyDescent="0.25">
      <c r="A34" s="480" t="s">
        <v>380</v>
      </c>
      <c r="B34" s="620" t="s">
        <v>381</v>
      </c>
      <c r="C34" s="620"/>
      <c r="D34" s="620"/>
      <c r="E34" s="480" t="s">
        <v>382</v>
      </c>
    </row>
    <row r="35" spans="1:5" x14ac:dyDescent="0.25">
      <c r="A35" s="481" t="s">
        <v>383</v>
      </c>
      <c r="B35" s="604"/>
      <c r="C35" s="604"/>
      <c r="D35" s="604"/>
      <c r="E35" s="520"/>
    </row>
    <row r="36" spans="1:5" x14ac:dyDescent="0.25">
      <c r="A36" s="481" t="s">
        <v>384</v>
      </c>
      <c r="B36" s="604"/>
      <c r="C36" s="604"/>
      <c r="D36" s="604"/>
      <c r="E36" s="520"/>
    </row>
    <row r="37" spans="1:5" x14ac:dyDescent="0.25">
      <c r="A37" s="481" t="s">
        <v>385</v>
      </c>
      <c r="B37" s="604"/>
      <c r="C37" s="604"/>
      <c r="D37" s="604"/>
      <c r="E37" s="520"/>
    </row>
    <row r="38" spans="1:5" x14ac:dyDescent="0.25">
      <c r="A38" s="481" t="s">
        <v>386</v>
      </c>
      <c r="B38" s="604"/>
      <c r="C38" s="604"/>
      <c r="D38" s="604"/>
      <c r="E38" s="520"/>
    </row>
    <row r="39" spans="1:5" x14ac:dyDescent="0.25">
      <c r="A39" s="481" t="s">
        <v>387</v>
      </c>
      <c r="B39" s="604"/>
      <c r="C39" s="604"/>
      <c r="D39" s="604"/>
      <c r="E39" s="520"/>
    </row>
    <row r="40" spans="1:5" x14ac:dyDescent="0.25">
      <c r="A40" s="481" t="s">
        <v>387</v>
      </c>
      <c r="B40" s="604"/>
      <c r="C40" s="604"/>
      <c r="D40" s="604"/>
      <c r="E40" s="520"/>
    </row>
    <row r="41" spans="1:5" x14ac:dyDescent="0.25">
      <c r="A41" s="481" t="s">
        <v>387</v>
      </c>
      <c r="B41" s="604"/>
      <c r="C41" s="604"/>
      <c r="D41" s="604"/>
      <c r="E41" s="520"/>
    </row>
    <row r="42" spans="1:5" x14ac:dyDescent="0.25">
      <c r="A42" s="481" t="s">
        <v>387</v>
      </c>
      <c r="B42" s="604"/>
      <c r="C42" s="604"/>
      <c r="D42" s="604"/>
      <c r="E42" s="520"/>
    </row>
  </sheetData>
  <mergeCells count="15">
    <mergeCell ref="B37:D37"/>
    <mergeCell ref="A1:D1"/>
    <mergeCell ref="A4:A5"/>
    <mergeCell ref="B4:D4"/>
    <mergeCell ref="E4:E5"/>
    <mergeCell ref="E6:E8"/>
    <mergeCell ref="A33:E33"/>
    <mergeCell ref="B34:D34"/>
    <mergeCell ref="B35:D35"/>
    <mergeCell ref="B36:D36"/>
    <mergeCell ref="B38:D38"/>
    <mergeCell ref="B39:D39"/>
    <mergeCell ref="B40:D40"/>
    <mergeCell ref="B41:D41"/>
    <mergeCell ref="B42:D42"/>
  </mergeCells>
  <printOptions horizontalCentered="1" verticalCentered="1"/>
  <pageMargins left="0.7" right="0.7" top="0.88166666666666671" bottom="0.62" header="0.3" footer="0.3"/>
  <pageSetup scale="82" orientation="landscape" r:id="rId1"/>
  <headerFooter>
    <oddHeader>&amp;L&amp;G&amp;C&amp;"Arial,Bold"&amp;12Monitoring-Based Commissioning
Schedule of Major Tasks</oddHeader>
    <oddFooter>&amp;R&amp;9Schedule of Major Tasks - MBCx - 04/01/2021</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S93"/>
  <sheetViews>
    <sheetView zoomScaleNormal="100" workbookViewId="0">
      <selection activeCell="B6" sqref="B6"/>
    </sheetView>
  </sheetViews>
  <sheetFormatPr defaultColWidth="9.140625" defaultRowHeight="15" x14ac:dyDescent="0.25"/>
  <cols>
    <col min="1" max="1" width="20" style="160" customWidth="1"/>
    <col min="2" max="2" width="18.5703125" style="160" customWidth="1"/>
    <col min="3" max="3" width="13.28515625" style="160" customWidth="1"/>
    <col min="4" max="4" width="14.85546875" style="160" customWidth="1"/>
    <col min="5" max="5" width="14" style="160" customWidth="1"/>
    <col min="6" max="6" width="14.140625" style="160" customWidth="1"/>
    <col min="7" max="7" width="13.28515625" style="160" customWidth="1"/>
    <col min="8" max="8" width="14.7109375" style="160" customWidth="1"/>
    <col min="9" max="9" width="16" style="160" customWidth="1"/>
    <col min="10" max="10" width="13.5703125" style="158" bestFit="1" customWidth="1"/>
    <col min="11" max="11" width="12.5703125" style="158" bestFit="1" customWidth="1"/>
    <col min="12" max="12" width="18" style="158" bestFit="1" customWidth="1"/>
    <col min="13" max="13" width="12.5703125" style="158" bestFit="1" customWidth="1"/>
    <col min="14" max="14" width="16.7109375" style="158" bestFit="1" customWidth="1"/>
    <col min="15" max="15" width="12.5703125" style="158" bestFit="1" customWidth="1"/>
    <col min="16" max="16" width="13.42578125" style="158" customWidth="1"/>
    <col min="17" max="17" width="11.7109375" style="158" customWidth="1"/>
    <col min="18" max="18" width="12.28515625" style="158" bestFit="1" customWidth="1"/>
    <col min="19" max="19" width="15.5703125" style="158" customWidth="1"/>
    <col min="20" max="20" width="15.85546875" style="158" customWidth="1"/>
    <col min="21" max="21" width="14.5703125" style="158" customWidth="1"/>
    <col min="22" max="22" width="12.85546875" style="158" customWidth="1"/>
    <col min="23" max="35" width="9.140625" style="158"/>
    <col min="36" max="42" width="9.140625" style="160"/>
    <col min="43" max="43" width="12.5703125" style="160" bestFit="1" customWidth="1"/>
    <col min="44" max="16384" width="9.140625" style="160"/>
  </cols>
  <sheetData>
    <row r="1" spans="1:45" ht="24" thickBot="1" x14ac:dyDescent="0.4">
      <c r="A1" s="623" t="s">
        <v>432</v>
      </c>
      <c r="B1" s="624"/>
      <c r="C1" s="624"/>
      <c r="D1" s="624"/>
      <c r="E1" s="624"/>
      <c r="F1" s="624"/>
      <c r="G1" s="625"/>
      <c r="H1" s="626">
        <f ca="1">NOW()</f>
        <v>44455.573089467594</v>
      </c>
      <c r="I1" s="627"/>
      <c r="J1" s="157"/>
      <c r="M1" s="174"/>
      <c r="N1" s="174"/>
      <c r="O1" s="174"/>
      <c r="S1" s="159"/>
      <c r="T1" s="159"/>
      <c r="AJ1" s="159"/>
      <c r="AK1" s="159"/>
      <c r="AL1" s="159"/>
      <c r="AM1" s="159"/>
      <c r="AN1" s="159"/>
      <c r="AO1" s="159"/>
      <c r="AP1" s="159"/>
      <c r="AQ1" s="159"/>
      <c r="AR1" s="159"/>
    </row>
    <row r="2" spans="1:45" x14ac:dyDescent="0.25">
      <c r="A2" s="161" t="s">
        <v>188</v>
      </c>
      <c r="B2" s="628" t="s">
        <v>266</v>
      </c>
      <c r="C2" s="628"/>
      <c r="D2" s="629"/>
      <c r="E2" s="162"/>
      <c r="F2" s="162"/>
      <c r="G2" s="162"/>
      <c r="H2" s="162"/>
      <c r="I2" s="163"/>
      <c r="J2" s="157"/>
      <c r="K2" s="164"/>
      <c r="L2" s="300" t="s">
        <v>265</v>
      </c>
      <c r="M2" s="300"/>
      <c r="N2" s="300"/>
      <c r="O2" s="300"/>
      <c r="S2" s="159"/>
      <c r="T2" s="159"/>
      <c r="AJ2" s="159"/>
      <c r="AK2" s="159"/>
      <c r="AL2" s="159"/>
      <c r="AM2" s="159"/>
      <c r="AN2" s="159"/>
      <c r="AO2" s="159"/>
      <c r="AP2" s="159"/>
      <c r="AQ2" s="159"/>
      <c r="AR2" s="159"/>
    </row>
    <row r="3" spans="1:45" x14ac:dyDescent="0.25">
      <c r="A3" s="165" t="s">
        <v>189</v>
      </c>
      <c r="B3" s="630" t="s">
        <v>190</v>
      </c>
      <c r="C3" s="630"/>
      <c r="D3" s="631"/>
      <c r="E3" s="166"/>
      <c r="F3" s="166"/>
      <c r="G3" s="166"/>
      <c r="H3" s="166"/>
      <c r="I3" s="167"/>
      <c r="J3" s="157"/>
      <c r="L3" s="300" t="s">
        <v>199</v>
      </c>
      <c r="M3" s="300" t="s">
        <v>200</v>
      </c>
      <c r="N3" s="300" t="s">
        <v>201</v>
      </c>
      <c r="O3" s="300" t="s">
        <v>202</v>
      </c>
      <c r="P3" s="158" t="s">
        <v>275</v>
      </c>
      <c r="Q3" s="158" t="s">
        <v>276</v>
      </c>
      <c r="R3" s="158" t="s">
        <v>277</v>
      </c>
      <c r="S3" s="159"/>
      <c r="T3" s="159"/>
      <c r="AJ3" s="159"/>
      <c r="AK3" s="159"/>
      <c r="AL3" s="159"/>
      <c r="AM3" s="159"/>
      <c r="AN3" s="159"/>
      <c r="AO3" s="159"/>
      <c r="AP3" s="159"/>
      <c r="AQ3" s="159"/>
      <c r="AR3" s="159"/>
    </row>
    <row r="4" spans="1:45" ht="16.5" customHeight="1" x14ac:dyDescent="0.25">
      <c r="A4" s="165" t="s">
        <v>191</v>
      </c>
      <c r="B4" s="621">
        <v>1234</v>
      </c>
      <c r="C4" s="621"/>
      <c r="D4" s="622"/>
      <c r="E4" s="166"/>
      <c r="F4" s="166"/>
      <c r="G4" s="166"/>
      <c r="H4" s="166"/>
      <c r="I4" s="167"/>
      <c r="J4" s="157"/>
      <c r="L4" s="300" t="s">
        <v>207</v>
      </c>
      <c r="M4" s="300">
        <f>K12</f>
        <v>-22500</v>
      </c>
      <c r="N4" s="300">
        <f>+L12</f>
        <v>22500</v>
      </c>
      <c r="O4" s="300">
        <f>+M12</f>
        <v>8505.6350000000002</v>
      </c>
      <c r="Q4" s="262">
        <f>F41+1</f>
        <v>3.7077589979981331</v>
      </c>
      <c r="R4" s="158">
        <v>0</v>
      </c>
      <c r="S4" s="159"/>
      <c r="T4" s="159"/>
      <c r="AJ4" s="159"/>
      <c r="AK4" s="159"/>
      <c r="AL4" s="159"/>
      <c r="AM4" s="159"/>
      <c r="AN4" s="159"/>
      <c r="AO4" s="159"/>
      <c r="AP4" s="159"/>
      <c r="AQ4" s="159"/>
      <c r="AR4" s="159"/>
    </row>
    <row r="5" spans="1:45" ht="15.75" customHeight="1" thickBot="1" x14ac:dyDescent="0.3">
      <c r="A5" s="165"/>
      <c r="B5" s="621" t="s">
        <v>192</v>
      </c>
      <c r="C5" s="621"/>
      <c r="D5" s="622"/>
      <c r="E5" s="168"/>
      <c r="F5" s="168"/>
      <c r="G5" s="168"/>
      <c r="H5" s="168"/>
      <c r="I5" s="169"/>
      <c r="J5" s="157"/>
      <c r="L5" s="299" t="s">
        <v>210</v>
      </c>
      <c r="M5" s="299">
        <f>K13</f>
        <v>-25000</v>
      </c>
      <c r="N5" s="299">
        <f t="shared" ref="N5:O7" si="0">L13</f>
        <v>10800.8</v>
      </c>
      <c r="O5" s="299">
        <f t="shared" si="0"/>
        <v>12207.618599999998</v>
      </c>
      <c r="Q5" s="262">
        <f>Q4</f>
        <v>3.7077589979981331</v>
      </c>
      <c r="R5" s="158">
        <v>1</v>
      </c>
      <c r="S5" s="159"/>
      <c r="T5" s="159"/>
      <c r="AJ5" s="159"/>
      <c r="AK5" s="159"/>
      <c r="AL5" s="159"/>
      <c r="AM5" s="159"/>
      <c r="AN5" s="159"/>
      <c r="AO5" s="159"/>
      <c r="AP5" s="159"/>
      <c r="AQ5" s="159"/>
      <c r="AR5" s="159"/>
    </row>
    <row r="6" spans="1:45" ht="16.5" customHeight="1" x14ac:dyDescent="0.25">
      <c r="A6" s="170" t="s">
        <v>193</v>
      </c>
      <c r="B6" s="171" t="s">
        <v>142</v>
      </c>
      <c r="C6" s="172" t="s">
        <v>194</v>
      </c>
      <c r="D6" s="173">
        <v>43916</v>
      </c>
      <c r="E6" s="635"/>
      <c r="F6" s="635"/>
      <c r="G6" s="635"/>
      <c r="H6" s="635"/>
      <c r="I6" s="636"/>
      <c r="J6" s="157"/>
      <c r="K6" s="331"/>
      <c r="L6" s="158" t="s">
        <v>213</v>
      </c>
      <c r="M6" s="158">
        <f t="shared" ref="M6:M9" si="1">K14</f>
        <v>-25000</v>
      </c>
      <c r="N6" s="158">
        <f t="shared" si="0"/>
        <v>25000</v>
      </c>
      <c r="O6" s="158">
        <f t="shared" si="0"/>
        <v>13082.341</v>
      </c>
      <c r="S6" s="159"/>
      <c r="T6" s="159"/>
      <c r="AJ6" s="159"/>
      <c r="AK6" s="159"/>
      <c r="AL6" s="159"/>
      <c r="AM6" s="159"/>
      <c r="AN6" s="159"/>
      <c r="AO6" s="159"/>
      <c r="AP6" s="159"/>
      <c r="AQ6" s="159"/>
      <c r="AR6" s="159"/>
    </row>
    <row r="7" spans="1:45" ht="15" customHeight="1" x14ac:dyDescent="0.25">
      <c r="A7" s="175" t="str">
        <f>IF(Project_Type="PSE gas/other elec","","Electric Rate:")</f>
        <v>Electric Rate:</v>
      </c>
      <c r="B7" s="176" t="s">
        <v>44</v>
      </c>
      <c r="C7" s="172" t="str">
        <f>IF(OR(Project_Type="All PSE (gas/elec)",Project_Type="PSE gas/other elec"),"Gas Rate:","")</f>
        <v>Gas Rate:</v>
      </c>
      <c r="D7" s="177" t="s">
        <v>46</v>
      </c>
      <c r="E7" s="637"/>
      <c r="F7" s="637"/>
      <c r="G7" s="637"/>
      <c r="H7" s="637"/>
      <c r="I7" s="638"/>
      <c r="J7" s="157"/>
      <c r="K7" s="174"/>
      <c r="L7" s="158" t="s">
        <v>216</v>
      </c>
      <c r="M7" s="158">
        <f t="shared" si="1"/>
        <v>0</v>
      </c>
      <c r="N7" s="158">
        <f t="shared" si="0"/>
        <v>0</v>
      </c>
      <c r="O7" s="158">
        <f t="shared" si="0"/>
        <v>13082.341</v>
      </c>
      <c r="Q7" s="174"/>
      <c r="R7" s="174"/>
      <c r="S7" s="159"/>
      <c r="T7" s="159"/>
      <c r="U7" s="159"/>
      <c r="V7" s="159"/>
      <c r="W7" s="159"/>
      <c r="AJ7" s="159"/>
      <c r="AK7" s="159"/>
      <c r="AL7" s="159"/>
      <c r="AM7" s="159"/>
      <c r="AN7" s="159"/>
      <c r="AO7" s="159"/>
      <c r="AP7" s="159"/>
      <c r="AQ7" s="159"/>
      <c r="AR7" s="159"/>
    </row>
    <row r="8" spans="1:45" x14ac:dyDescent="0.25">
      <c r="A8" s="180" t="s">
        <v>195</v>
      </c>
      <c r="B8" s="181">
        <v>50000</v>
      </c>
      <c r="C8" s="182"/>
      <c r="D8" s="183"/>
      <c r="E8" s="637"/>
      <c r="F8" s="637"/>
      <c r="G8" s="637"/>
      <c r="H8" s="637"/>
      <c r="I8" s="638"/>
      <c r="J8" s="157"/>
      <c r="K8" s="174"/>
      <c r="L8" s="158" t="s">
        <v>217</v>
      </c>
      <c r="M8" s="158">
        <f t="shared" si="1"/>
        <v>0</v>
      </c>
      <c r="N8" s="158">
        <f t="shared" ref="N8:N9" si="2">L16</f>
        <v>0</v>
      </c>
      <c r="O8" s="158">
        <f>M16</f>
        <v>13082.341</v>
      </c>
      <c r="Q8" s="174"/>
      <c r="R8" s="174"/>
      <c r="S8" s="159"/>
      <c r="T8" s="159"/>
      <c r="U8" s="159"/>
      <c r="V8" s="159"/>
      <c r="W8" s="159"/>
      <c r="AJ8" s="159"/>
      <c r="AK8" s="159"/>
      <c r="AL8" s="159"/>
      <c r="AM8" s="159"/>
      <c r="AN8" s="159"/>
      <c r="AO8" s="159"/>
      <c r="AP8" s="159"/>
      <c r="AQ8" s="159"/>
      <c r="AR8" s="159"/>
    </row>
    <row r="9" spans="1:45" ht="18.75" customHeight="1" thickBot="1" x14ac:dyDescent="0.3">
      <c r="A9" s="185" t="s">
        <v>196</v>
      </c>
      <c r="B9" s="186">
        <f>+VLOOKUP(Project_Type,Hidden!A3:C6,2)*sqft</f>
        <v>22500</v>
      </c>
      <c r="C9" s="318" t="str">
        <f>CONCATENATE("$",VLOOKUP(Project_Type,Hidden!A3:C6,2),"/sq.ft.")</f>
        <v>$0.15/sq.ft.</v>
      </c>
      <c r="D9" s="183"/>
      <c r="E9" s="639"/>
      <c r="F9" s="639"/>
      <c r="G9" s="639"/>
      <c r="H9" s="639"/>
      <c r="I9" s="640"/>
      <c r="J9" s="157"/>
      <c r="K9" s="332"/>
      <c r="L9" s="158" t="s">
        <v>218</v>
      </c>
      <c r="M9" s="158">
        <f t="shared" si="1"/>
        <v>0</v>
      </c>
      <c r="N9" s="158">
        <f t="shared" si="2"/>
        <v>0</v>
      </c>
      <c r="O9" s="158">
        <f>M17</f>
        <v>13082.341</v>
      </c>
      <c r="Q9" s="174"/>
      <c r="R9" s="174"/>
      <c r="S9" s="188"/>
      <c r="T9" s="188"/>
      <c r="U9" s="179"/>
      <c r="V9" s="179"/>
      <c r="W9" s="159"/>
      <c r="X9" s="159"/>
      <c r="Y9" s="159"/>
      <c r="Z9" s="159"/>
      <c r="AJ9" s="159"/>
      <c r="AK9" s="159"/>
      <c r="AL9" s="159"/>
      <c r="AM9" s="159"/>
      <c r="AS9" s="174"/>
    </row>
    <row r="10" spans="1:45" ht="15.75" thickBot="1" x14ac:dyDescent="0.3">
      <c r="A10" s="189" t="s">
        <v>197</v>
      </c>
      <c r="B10" s="190">
        <v>150000</v>
      </c>
      <c r="C10" s="191"/>
      <c r="D10" s="192"/>
      <c r="E10" s="193"/>
      <c r="F10" s="193"/>
      <c r="G10" s="193"/>
      <c r="H10" s="193"/>
      <c r="I10" s="194"/>
      <c r="J10" s="157"/>
      <c r="K10" s="174"/>
      <c r="L10" s="300"/>
      <c r="M10" s="300"/>
      <c r="N10" s="300"/>
      <c r="O10" s="300"/>
      <c r="Q10" s="174"/>
      <c r="R10" s="174"/>
      <c r="S10" s="313"/>
      <c r="T10" s="313"/>
      <c r="U10" s="314"/>
      <c r="V10" s="314"/>
      <c r="W10" s="159"/>
      <c r="X10" s="159"/>
      <c r="Y10" s="159"/>
      <c r="Z10" s="159"/>
      <c r="AJ10" s="159"/>
      <c r="AK10" s="159"/>
      <c r="AL10" s="159"/>
      <c r="AM10" s="159"/>
      <c r="AS10" s="174"/>
    </row>
    <row r="11" spans="1:45" ht="15.75" customHeight="1" thickBot="1" x14ac:dyDescent="0.3">
      <c r="A11" s="641" t="s">
        <v>198</v>
      </c>
      <c r="B11" s="642"/>
      <c r="C11" s="642"/>
      <c r="D11" s="643"/>
      <c r="E11" s="196"/>
      <c r="F11" s="166"/>
      <c r="G11" s="166"/>
      <c r="H11" s="166"/>
      <c r="I11" s="167"/>
      <c r="J11" s="299" t="s">
        <v>199</v>
      </c>
      <c r="K11" s="299" t="s">
        <v>200</v>
      </c>
      <c r="L11" s="299" t="s">
        <v>201</v>
      </c>
      <c r="M11" s="299" t="s">
        <v>202</v>
      </c>
      <c r="N11" s="299" t="s">
        <v>267</v>
      </c>
      <c r="O11" s="299" t="s">
        <v>268</v>
      </c>
      <c r="P11" s="299" t="s">
        <v>268</v>
      </c>
      <c r="Q11" s="174" t="s">
        <v>203</v>
      </c>
      <c r="R11" s="174" t="s">
        <v>204</v>
      </c>
      <c r="S11" s="159"/>
      <c r="T11" s="159"/>
      <c r="U11" s="179"/>
      <c r="V11" s="179"/>
      <c r="W11" s="313"/>
      <c r="X11" s="159"/>
      <c r="Y11" s="159"/>
      <c r="Z11" s="159"/>
      <c r="AJ11" s="159"/>
      <c r="AK11" s="159"/>
      <c r="AL11" s="159"/>
      <c r="AM11" s="159"/>
      <c r="AS11" s="174"/>
    </row>
    <row r="12" spans="1:45" x14ac:dyDescent="0.25">
      <c r="A12" s="197" t="s">
        <v>205</v>
      </c>
      <c r="B12" s="198">
        <v>20000</v>
      </c>
      <c r="C12" s="199">
        <f>+IF(OR(B10=0,B12=0),0,B12/B10)</f>
        <v>0.13333333333333333</v>
      </c>
      <c r="D12" s="200" t="s">
        <v>206</v>
      </c>
      <c r="E12" s="196"/>
      <c r="F12" s="166"/>
      <c r="G12" s="166"/>
      <c r="H12" s="166"/>
      <c r="I12" s="167"/>
      <c r="J12" s="300" t="s">
        <v>207</v>
      </c>
      <c r="K12" s="300">
        <f>+(D52+D56)*-1</f>
        <v>-22500</v>
      </c>
      <c r="L12" s="300">
        <f>B19</f>
        <v>22500</v>
      </c>
      <c r="M12" s="300">
        <f>C36*VLOOKUP(D7,Hidden!M14:N17,2)+D36*(VLOOKUP(B7,Hidden!M2:N12,2)/100)</f>
        <v>8505.6350000000002</v>
      </c>
      <c r="N12" s="300"/>
      <c r="O12" s="333"/>
      <c r="Q12" s="201">
        <f>(K12+K13+K14)*-1</f>
        <v>72500</v>
      </c>
      <c r="R12" s="358">
        <f>+Q12*-1+Q14</f>
        <v>-14199.199999999997</v>
      </c>
      <c r="S12" s="159"/>
      <c r="T12" s="159"/>
      <c r="Y12" s="159"/>
      <c r="Z12" s="159"/>
      <c r="AJ12" s="159"/>
      <c r="AK12" s="159"/>
      <c r="AL12" s="159"/>
      <c r="AM12" s="159"/>
      <c r="AS12" s="174"/>
    </row>
    <row r="13" spans="1:45" x14ac:dyDescent="0.25">
      <c r="A13" s="202" t="s">
        <v>208</v>
      </c>
      <c r="B13" s="203">
        <v>2700000</v>
      </c>
      <c r="C13" s="204">
        <f>IF(OR(B10=0,B13=0),0,B13/B10)</f>
        <v>18</v>
      </c>
      <c r="D13" s="205" t="s">
        <v>209</v>
      </c>
      <c r="E13" s="196"/>
      <c r="F13" s="166"/>
      <c r="G13" s="166"/>
      <c r="H13" s="166"/>
      <c r="I13" s="167"/>
      <c r="J13" s="300" t="s">
        <v>210</v>
      </c>
      <c r="K13" s="300">
        <f>(D53+D57)*-1</f>
        <v>-25000</v>
      </c>
      <c r="L13" s="300">
        <f>C21</f>
        <v>10800.8</v>
      </c>
      <c r="M13" s="300">
        <f>C37*VLOOKUP(D7,Hidden!M14:N17,2)+D37*(VLOOKUP(B7,Hidden!M2:N12,2)/100)</f>
        <v>12207.618599999998</v>
      </c>
      <c r="N13" s="300">
        <f>+M13+L13+K13</f>
        <v>-1991.5814000000028</v>
      </c>
      <c r="O13" s="300">
        <f>PV($C$15,1,,-1*N13)</f>
        <v>-1810.5285454545478</v>
      </c>
      <c r="Q13" s="335" t="s">
        <v>201</v>
      </c>
      <c r="R13" s="336">
        <f>+N13</f>
        <v>-1991.5814000000028</v>
      </c>
      <c r="S13" s="159"/>
      <c r="T13" s="159"/>
      <c r="Y13" s="159"/>
      <c r="Z13" s="159"/>
      <c r="AJ13" s="159"/>
      <c r="AK13" s="159"/>
      <c r="AL13" s="159"/>
      <c r="AM13" s="159"/>
      <c r="AS13" s="174"/>
    </row>
    <row r="14" spans="1:45" x14ac:dyDescent="0.25">
      <c r="A14" s="644" t="s">
        <v>211</v>
      </c>
      <c r="B14" s="645"/>
      <c r="C14" s="206">
        <f>+(C13*3412+C12*100000)/1000</f>
        <v>74.749333333333325</v>
      </c>
      <c r="D14" s="207" t="s">
        <v>212</v>
      </c>
      <c r="E14" s="196"/>
      <c r="F14" s="166"/>
      <c r="G14" s="166"/>
      <c r="H14" s="166"/>
      <c r="I14" s="167"/>
      <c r="J14" s="300" t="s">
        <v>213</v>
      </c>
      <c r="K14" s="300">
        <f>(D54+D58)*-1</f>
        <v>-25000</v>
      </c>
      <c r="L14" s="300">
        <f>D21</f>
        <v>25000</v>
      </c>
      <c r="M14" s="300">
        <f>C38*VLOOKUP(D7,Hidden!M14:N17,2)+D38*(VLOOKUP(B7,Hidden!M2:N12,2)/100)</f>
        <v>13082.341</v>
      </c>
      <c r="N14" s="300">
        <f>+M14+L14+K14</f>
        <v>13082.341</v>
      </c>
      <c r="O14" s="300">
        <f>PV($C$15,2,,-1*N14)</f>
        <v>10811.852066115702</v>
      </c>
      <c r="Q14" s="337">
        <f>+C21+D21+B21</f>
        <v>58300.800000000003</v>
      </c>
      <c r="R14" s="336">
        <f>+N14</f>
        <v>13082.341</v>
      </c>
      <c r="S14" s="159"/>
      <c r="T14" s="159"/>
      <c r="Y14" s="159"/>
      <c r="Z14" s="159"/>
      <c r="AJ14" s="159"/>
      <c r="AK14" s="159"/>
      <c r="AL14" s="159"/>
      <c r="AM14" s="159"/>
      <c r="AS14" s="208"/>
    </row>
    <row r="15" spans="1:45" ht="15.75" customHeight="1" thickBot="1" x14ac:dyDescent="0.3">
      <c r="A15" s="646" t="s">
        <v>214</v>
      </c>
      <c r="B15" s="646"/>
      <c r="C15" s="209">
        <v>0.1</v>
      </c>
      <c r="D15" s="183" t="s">
        <v>215</v>
      </c>
      <c r="E15" s="196"/>
      <c r="F15" s="166"/>
      <c r="G15" s="166"/>
      <c r="H15" s="166"/>
      <c r="I15" s="167"/>
      <c r="J15" s="300" t="s">
        <v>216</v>
      </c>
      <c r="K15" s="300"/>
      <c r="L15" s="300"/>
      <c r="M15" s="300">
        <f>M14</f>
        <v>13082.341</v>
      </c>
      <c r="N15" s="300">
        <f>+M15+K15</f>
        <v>13082.341</v>
      </c>
      <c r="O15" s="300">
        <f>PV($C$15,3,,-1*N15)</f>
        <v>9828.9564237415452</v>
      </c>
      <c r="Q15" s="338"/>
      <c r="R15" s="336">
        <f>+N15</f>
        <v>13082.341</v>
      </c>
      <c r="S15" s="159"/>
      <c r="T15" s="159"/>
      <c r="Y15" s="159"/>
      <c r="Z15" s="159"/>
      <c r="AJ15" s="159"/>
      <c r="AK15" s="159"/>
      <c r="AL15" s="159"/>
      <c r="AM15" s="159"/>
      <c r="AS15" s="208"/>
    </row>
    <row r="16" spans="1:45" ht="16.5" thickBot="1" x14ac:dyDescent="0.3">
      <c r="A16" s="647" t="s">
        <v>219</v>
      </c>
      <c r="B16" s="648"/>
      <c r="C16" s="649"/>
      <c r="D16" s="650"/>
      <c r="E16" s="196"/>
      <c r="F16" s="166"/>
      <c r="G16" s="166"/>
      <c r="H16" s="166"/>
      <c r="I16" s="167"/>
      <c r="J16" s="300" t="s">
        <v>217</v>
      </c>
      <c r="K16" s="300"/>
      <c r="L16" s="300"/>
      <c r="M16" s="300">
        <f>M15</f>
        <v>13082.341</v>
      </c>
      <c r="N16" s="300">
        <f>+M16+K16</f>
        <v>13082.341</v>
      </c>
      <c r="O16" s="300">
        <f>PV($C$15,4,,-1*N16)</f>
        <v>8935.4149306741328</v>
      </c>
      <c r="R16" s="336">
        <f>+N16</f>
        <v>13082.341</v>
      </c>
      <c r="S16" s="159"/>
      <c r="T16" s="159"/>
      <c r="Y16" s="159"/>
      <c r="Z16" s="159"/>
      <c r="AJ16" s="159"/>
      <c r="AK16" s="159"/>
      <c r="AL16" s="159"/>
      <c r="AM16" s="159"/>
      <c r="AS16" s="208"/>
    </row>
    <row r="17" spans="1:45" x14ac:dyDescent="0.25">
      <c r="A17" s="210"/>
      <c r="B17" s="287" t="s">
        <v>257</v>
      </c>
      <c r="C17" s="289" t="s">
        <v>263</v>
      </c>
      <c r="D17" s="288" t="s">
        <v>264</v>
      </c>
      <c r="E17" s="196"/>
      <c r="F17" s="166"/>
      <c r="G17" s="166"/>
      <c r="H17" s="166"/>
      <c r="I17" s="167"/>
      <c r="J17" s="300" t="s">
        <v>218</v>
      </c>
      <c r="K17" s="300"/>
      <c r="L17" s="300"/>
      <c r="M17" s="300">
        <f>M16</f>
        <v>13082.341</v>
      </c>
      <c r="N17" s="300">
        <f>+M17+K17</f>
        <v>13082.341</v>
      </c>
      <c r="O17" s="300">
        <f>PV($C$15,5,,-1*N17)</f>
        <v>8123.1044824310284</v>
      </c>
      <c r="R17" s="336">
        <f>+N17</f>
        <v>13082.341</v>
      </c>
      <c r="S17" s="159"/>
      <c r="T17" s="159"/>
      <c r="Y17" s="159"/>
      <c r="Z17" s="159"/>
      <c r="AJ17" s="159"/>
      <c r="AK17" s="159"/>
      <c r="AL17" s="159"/>
      <c r="AM17" s="159"/>
      <c r="AS17" s="208"/>
    </row>
    <row r="18" spans="1:45" x14ac:dyDescent="0.25">
      <c r="A18" s="651" t="s">
        <v>281</v>
      </c>
      <c r="B18" s="652"/>
      <c r="C18" s="319"/>
      <c r="D18" s="207"/>
      <c r="E18" s="166"/>
      <c r="F18" s="166"/>
      <c r="G18" s="166"/>
      <c r="H18" s="166"/>
      <c r="I18" s="167"/>
      <c r="J18" s="300"/>
      <c r="K18" s="300"/>
      <c r="L18" s="300"/>
      <c r="M18" s="300"/>
      <c r="N18" s="300"/>
      <c r="O18" s="300"/>
      <c r="Q18" s="338"/>
      <c r="R18" s="336"/>
      <c r="S18" s="159"/>
      <c r="T18" s="159"/>
      <c r="Y18" s="159"/>
      <c r="Z18" s="159"/>
      <c r="AJ18" s="159"/>
      <c r="AK18" s="159"/>
      <c r="AL18" s="159"/>
      <c r="AM18" s="159"/>
      <c r="AS18" s="208"/>
    </row>
    <row r="19" spans="1:45" x14ac:dyDescent="0.25">
      <c r="A19" s="323" t="s">
        <v>220</v>
      </c>
      <c r="B19" s="320">
        <f>sqft*VLOOKUP(Project_Type,Hidden!A3:H6,2,FALSE)</f>
        <v>22500</v>
      </c>
      <c r="C19" s="328" t="s">
        <v>283</v>
      </c>
      <c r="D19" s="329" t="s">
        <v>283</v>
      </c>
      <c r="F19" s="166"/>
      <c r="G19" s="166"/>
      <c r="H19" s="166"/>
      <c r="I19" s="167"/>
      <c r="J19" s="299"/>
      <c r="K19" s="299"/>
      <c r="L19" s="299"/>
      <c r="M19" s="299"/>
      <c r="N19" s="299"/>
      <c r="O19" s="300"/>
      <c r="P19" s="339">
        <f>SUM(O13:O17)</f>
        <v>35888.799357507858</v>
      </c>
      <c r="Q19" s="338"/>
      <c r="R19" s="336"/>
      <c r="S19" s="159"/>
      <c r="T19" s="159"/>
      <c r="Y19" s="159"/>
      <c r="Z19" s="159"/>
      <c r="AJ19" s="159"/>
      <c r="AK19" s="159"/>
      <c r="AL19" s="159"/>
      <c r="AM19" s="159"/>
      <c r="AS19" s="208"/>
    </row>
    <row r="20" spans="1:45" x14ac:dyDescent="0.25">
      <c r="A20" s="651" t="s">
        <v>284</v>
      </c>
      <c r="B20" s="652"/>
      <c r="C20" s="321"/>
      <c r="D20" s="324"/>
      <c r="F20" s="166"/>
      <c r="G20" s="166"/>
      <c r="H20" s="166"/>
      <c r="I20" s="167"/>
      <c r="J20" s="299"/>
      <c r="O20" s="299"/>
      <c r="P20" s="299"/>
      <c r="Q20" s="174"/>
      <c r="S20" s="179"/>
      <c r="T20" s="159"/>
      <c r="Y20" s="159"/>
      <c r="Z20" s="159"/>
      <c r="AJ20" s="159"/>
      <c r="AK20" s="159"/>
      <c r="AL20" s="159"/>
      <c r="AM20" s="159"/>
      <c r="AS20" s="208"/>
    </row>
    <row r="21" spans="1:45" x14ac:dyDescent="0.25">
      <c r="A21" s="325"/>
      <c r="B21" s="320">
        <f>B19</f>
        <v>22500</v>
      </c>
      <c r="C21" s="320">
        <f>IF(B37&lt;6%,0,C37*0.8+D37*0.05)</f>
        <v>10800.8</v>
      </c>
      <c r="D21" s="326">
        <f>E54+E58</f>
        <v>25000</v>
      </c>
      <c r="F21" s="166"/>
      <c r="G21" s="166"/>
      <c r="H21" s="166"/>
      <c r="I21" s="167"/>
      <c r="J21" s="300"/>
      <c r="O21" s="300"/>
      <c r="Q21" s="334"/>
      <c r="R21" s="174"/>
      <c r="S21" s="179"/>
      <c r="T21" s="159"/>
      <c r="Y21" s="159"/>
      <c r="Z21" s="159"/>
      <c r="AJ21" s="159"/>
      <c r="AK21" s="159"/>
      <c r="AL21" s="159"/>
      <c r="AM21" s="159"/>
      <c r="AS21" s="208"/>
    </row>
    <row r="22" spans="1:45" x14ac:dyDescent="0.25">
      <c r="A22" s="651" t="s">
        <v>282</v>
      </c>
      <c r="B22" s="652"/>
      <c r="C22" s="322"/>
      <c r="D22" s="327"/>
      <c r="F22" s="166"/>
      <c r="G22" s="166"/>
      <c r="H22" s="166"/>
      <c r="I22" s="167"/>
      <c r="J22" s="300"/>
      <c r="O22" s="300"/>
      <c r="Q22" s="336"/>
      <c r="S22" s="159"/>
      <c r="T22" s="269"/>
      <c r="U22" s="270"/>
      <c r="V22" s="270"/>
      <c r="W22" s="270"/>
      <c r="X22" s="159"/>
      <c r="Y22" s="159"/>
      <c r="Z22" s="159"/>
      <c r="AJ22" s="159"/>
      <c r="AK22" s="159"/>
      <c r="AL22" s="159"/>
      <c r="AM22" s="159"/>
      <c r="AS22" s="208"/>
    </row>
    <row r="23" spans="1:45" ht="15.75" customHeight="1" x14ac:dyDescent="0.25">
      <c r="A23" s="323" t="s">
        <v>220</v>
      </c>
      <c r="B23" s="320">
        <f>B21</f>
        <v>22500</v>
      </c>
      <c r="C23" s="320">
        <f>(TotCost+AdjCost-B23)/2</f>
        <v>25000</v>
      </c>
      <c r="D23" s="326">
        <f>C23</f>
        <v>25000</v>
      </c>
      <c r="F23" s="166"/>
      <c r="G23" s="166"/>
      <c r="H23" s="166"/>
      <c r="I23" s="167"/>
      <c r="J23" s="265"/>
      <c r="K23" s="159"/>
      <c r="L23" s="159"/>
      <c r="M23" s="159"/>
      <c r="N23" s="159"/>
      <c r="O23" s="265"/>
      <c r="P23" s="159"/>
      <c r="Q23" s="267"/>
      <c r="R23" s="159"/>
      <c r="S23" s="159"/>
      <c r="T23" s="179"/>
      <c r="U23" s="271"/>
      <c r="V23" s="266"/>
      <c r="W23" s="266"/>
      <c r="X23" s="159"/>
      <c r="Y23" s="159"/>
      <c r="Z23" s="159"/>
      <c r="AJ23" s="159"/>
      <c r="AK23" s="159"/>
      <c r="AL23" s="159"/>
      <c r="AM23" s="159"/>
      <c r="AS23" s="208"/>
    </row>
    <row r="24" spans="1:45" ht="15.75" customHeight="1" x14ac:dyDescent="0.25">
      <c r="A24" s="653" t="s">
        <v>285</v>
      </c>
      <c r="B24" s="653"/>
      <c r="C24" s="653"/>
      <c r="D24" s="653"/>
      <c r="E24" s="653"/>
      <c r="F24" s="653"/>
      <c r="G24" s="653"/>
      <c r="H24" s="653"/>
      <c r="I24" s="654"/>
      <c r="J24" s="265"/>
      <c r="K24" s="159"/>
      <c r="L24" s="159"/>
      <c r="M24" s="159"/>
      <c r="N24" s="159"/>
      <c r="O24" s="265"/>
      <c r="P24" s="159"/>
      <c r="Q24" s="267"/>
      <c r="R24" s="159"/>
      <c r="S24" s="159"/>
      <c r="T24" s="159"/>
      <c r="U24" s="272"/>
      <c r="V24" s="273"/>
      <c r="W24" s="273"/>
      <c r="X24" s="159"/>
      <c r="Y24" s="159"/>
      <c r="Z24" s="159"/>
      <c r="AJ24" s="159"/>
      <c r="AK24" s="159"/>
      <c r="AL24" s="159"/>
      <c r="AM24" s="159"/>
      <c r="AS24" s="208"/>
    </row>
    <row r="25" spans="1:45" ht="15.75" thickBot="1" x14ac:dyDescent="0.3">
      <c r="A25" s="653"/>
      <c r="B25" s="653"/>
      <c r="C25" s="653"/>
      <c r="D25" s="653"/>
      <c r="E25" s="653"/>
      <c r="F25" s="653"/>
      <c r="G25" s="653"/>
      <c r="H25" s="653"/>
      <c r="I25" s="654"/>
      <c r="J25" s="265"/>
      <c r="K25" s="159"/>
      <c r="L25" s="159"/>
      <c r="M25" s="159"/>
      <c r="N25" s="159"/>
      <c r="O25" s="265"/>
      <c r="P25" s="159"/>
      <c r="Q25" s="267"/>
      <c r="R25" s="159"/>
      <c r="S25" s="159"/>
      <c r="T25" s="159"/>
      <c r="U25" s="272"/>
      <c r="V25" s="273"/>
      <c r="W25" s="273"/>
      <c r="AJ25" s="159"/>
      <c r="AK25" s="159"/>
      <c r="AL25" s="159"/>
      <c r="AM25" s="159"/>
      <c r="AS25" s="208"/>
    </row>
    <row r="26" spans="1:45" ht="15.75" hidden="1" customHeight="1" thickBot="1" x14ac:dyDescent="0.3">
      <c r="A26" s="655"/>
      <c r="B26" s="655"/>
      <c r="C26" s="655"/>
      <c r="D26" s="655"/>
      <c r="E26" s="655"/>
      <c r="F26" s="655"/>
      <c r="G26" s="655"/>
      <c r="H26" s="655"/>
      <c r="I26" s="656"/>
      <c r="J26" s="265"/>
      <c r="K26" s="159"/>
      <c r="L26" s="159"/>
      <c r="M26" s="159"/>
      <c r="N26" s="159"/>
      <c r="O26" s="265"/>
      <c r="P26" s="268"/>
      <c r="Q26" s="267"/>
      <c r="R26" s="159"/>
      <c r="S26" s="159"/>
      <c r="T26" s="159"/>
      <c r="U26" s="179"/>
      <c r="V26" s="159"/>
      <c r="W26" s="159"/>
      <c r="AJ26" s="159"/>
      <c r="AK26" s="159"/>
      <c r="AL26" s="159"/>
      <c r="AM26" s="159"/>
      <c r="AS26" s="174"/>
    </row>
    <row r="27" spans="1:45" ht="16.5" thickBot="1" x14ac:dyDescent="0.3">
      <c r="A27" s="647" t="s">
        <v>221</v>
      </c>
      <c r="B27" s="648"/>
      <c r="C27" s="648"/>
      <c r="D27" s="648"/>
      <c r="E27" s="648"/>
      <c r="F27" s="648"/>
      <c r="G27" s="648"/>
      <c r="H27" s="648"/>
      <c r="I27" s="650"/>
      <c r="J27" s="159"/>
      <c r="K27" s="159"/>
      <c r="L27" s="159"/>
      <c r="M27" s="159"/>
      <c r="N27" s="159"/>
      <c r="O27" s="159"/>
      <c r="P27" s="268"/>
      <c r="Q27" s="159"/>
      <c r="R27" s="159"/>
      <c r="S27" s="159"/>
      <c r="T27" s="159"/>
      <c r="U27" s="159"/>
      <c r="V27" s="159"/>
      <c r="W27" s="159"/>
      <c r="AJ27" s="159"/>
      <c r="AK27" s="159"/>
      <c r="AL27" s="159"/>
      <c r="AM27" s="159"/>
      <c r="AN27" s="159"/>
      <c r="AO27" s="159"/>
      <c r="AP27" s="159"/>
      <c r="AQ27" s="159"/>
      <c r="AR27" s="159"/>
    </row>
    <row r="28" spans="1:45" ht="26.25" x14ac:dyDescent="0.25">
      <c r="A28" s="632" t="s">
        <v>222</v>
      </c>
      <c r="B28" s="633"/>
      <c r="C28" s="213" t="s">
        <v>223</v>
      </c>
      <c r="D28" s="213" t="s">
        <v>224</v>
      </c>
      <c r="E28" s="213" t="s">
        <v>225</v>
      </c>
      <c r="F28" s="213" t="s">
        <v>226</v>
      </c>
      <c r="G28" s="633" t="s">
        <v>227</v>
      </c>
      <c r="H28" s="633"/>
      <c r="I28" s="634"/>
      <c r="J28" s="178"/>
      <c r="K28" s="159"/>
      <c r="L28" s="159"/>
      <c r="M28" s="159"/>
      <c r="N28" s="159"/>
      <c r="O28" s="159"/>
      <c r="P28" s="159"/>
      <c r="Q28" s="159"/>
      <c r="R28" s="159"/>
      <c r="S28" s="159"/>
      <c r="T28" s="159"/>
      <c r="AJ28" s="159"/>
      <c r="AK28" s="159"/>
      <c r="AL28" s="159"/>
      <c r="AM28" s="159"/>
      <c r="AN28" s="159"/>
      <c r="AO28" s="159"/>
      <c r="AP28" s="159"/>
      <c r="AQ28" s="159"/>
      <c r="AR28" s="159"/>
    </row>
    <row r="29" spans="1:45" x14ac:dyDescent="0.25">
      <c r="A29" s="657" t="s">
        <v>228</v>
      </c>
      <c r="B29" s="621"/>
      <c r="C29" s="214"/>
      <c r="D29" s="214"/>
      <c r="E29" s="215">
        <f>C29*D29</f>
        <v>0</v>
      </c>
      <c r="F29" s="216"/>
      <c r="G29" s="658"/>
      <c r="H29" s="658"/>
      <c r="I29" s="659"/>
      <c r="J29" s="178"/>
      <c r="K29" s="284"/>
      <c r="L29" s="159"/>
      <c r="M29" s="159"/>
      <c r="N29" s="159"/>
      <c r="O29" s="159"/>
      <c r="P29" s="159"/>
      <c r="Q29" s="159"/>
      <c r="R29" s="159"/>
      <c r="S29" s="159"/>
      <c r="T29" s="159"/>
      <c r="AJ29" s="159"/>
      <c r="AK29" s="159"/>
      <c r="AL29" s="159"/>
      <c r="AM29" s="159"/>
      <c r="AN29" s="159"/>
      <c r="AO29" s="159"/>
      <c r="AP29" s="159"/>
      <c r="AQ29" s="159"/>
      <c r="AR29" s="159"/>
    </row>
    <row r="30" spans="1:45" x14ac:dyDescent="0.25">
      <c r="A30" s="657" t="s">
        <v>229</v>
      </c>
      <c r="B30" s="621"/>
      <c r="C30" s="214"/>
      <c r="D30" s="214"/>
      <c r="E30" s="215">
        <f>C30*D30</f>
        <v>0</v>
      </c>
      <c r="F30" s="216"/>
      <c r="G30" s="658"/>
      <c r="H30" s="658"/>
      <c r="I30" s="659"/>
      <c r="J30" s="178"/>
      <c r="K30" s="159"/>
      <c r="L30" s="159"/>
      <c r="M30" s="159"/>
      <c r="N30" s="159"/>
      <c r="O30" s="159"/>
      <c r="P30" s="159"/>
      <c r="Q30" s="159"/>
      <c r="R30" s="159"/>
      <c r="S30" s="159"/>
      <c r="T30" s="159"/>
      <c r="AJ30" s="159"/>
      <c r="AK30" s="159"/>
      <c r="AL30" s="159"/>
      <c r="AM30" s="159"/>
      <c r="AN30" s="159"/>
      <c r="AO30" s="159"/>
      <c r="AP30" s="159"/>
      <c r="AQ30" s="159"/>
      <c r="AR30" s="159"/>
    </row>
    <row r="31" spans="1:45" x14ac:dyDescent="0.25">
      <c r="A31" s="657" t="s">
        <v>230</v>
      </c>
      <c r="B31" s="621"/>
      <c r="C31" s="214"/>
      <c r="D31" s="214"/>
      <c r="E31" s="215">
        <f>C31*D31</f>
        <v>0</v>
      </c>
      <c r="F31" s="216"/>
      <c r="G31" s="658"/>
      <c r="H31" s="658"/>
      <c r="I31" s="659"/>
      <c r="J31" s="178"/>
      <c r="K31" s="159"/>
      <c r="L31" s="159"/>
      <c r="M31" s="159"/>
      <c r="N31" s="159"/>
      <c r="O31" s="159"/>
      <c r="P31" s="159"/>
      <c r="Q31" s="159"/>
      <c r="R31" s="159"/>
      <c r="S31" s="159"/>
      <c r="T31" s="159"/>
      <c r="AJ31" s="159"/>
      <c r="AK31" s="159"/>
      <c r="AL31" s="159"/>
      <c r="AM31" s="159"/>
      <c r="AN31" s="159"/>
      <c r="AO31" s="159"/>
      <c r="AP31" s="159"/>
      <c r="AQ31" s="159"/>
      <c r="AR31" s="159"/>
    </row>
    <row r="32" spans="1:45" ht="15.75" thickBot="1" x14ac:dyDescent="0.3">
      <c r="A32" s="662" t="s">
        <v>231</v>
      </c>
      <c r="B32" s="663"/>
      <c r="C32" s="217"/>
      <c r="D32" s="217"/>
      <c r="E32" s="218">
        <f>C32*D32</f>
        <v>0</v>
      </c>
      <c r="F32" s="216"/>
      <c r="G32" s="664"/>
      <c r="H32" s="664"/>
      <c r="I32" s="665"/>
      <c r="J32" s="178"/>
      <c r="K32" s="276"/>
      <c r="L32" s="159"/>
      <c r="M32" s="159"/>
      <c r="N32" s="159"/>
      <c r="O32" s="159"/>
      <c r="P32" s="159"/>
      <c r="Q32" s="159"/>
      <c r="R32" s="159"/>
      <c r="S32" s="159"/>
      <c r="T32" s="159"/>
      <c r="AJ32" s="159"/>
      <c r="AK32" s="159"/>
      <c r="AL32" s="159"/>
      <c r="AM32" s="159"/>
      <c r="AN32" s="159"/>
      <c r="AO32" s="159"/>
      <c r="AP32" s="159"/>
      <c r="AQ32" s="159"/>
      <c r="AR32" s="159"/>
    </row>
    <row r="33" spans="1:44" ht="4.5" customHeight="1" thickBot="1" x14ac:dyDescent="0.3">
      <c r="A33" s="666"/>
      <c r="B33" s="667"/>
      <c r="C33" s="667"/>
      <c r="D33" s="667"/>
      <c r="E33" s="667"/>
      <c r="F33" s="667"/>
      <c r="G33" s="667"/>
      <c r="H33" s="667"/>
      <c r="I33" s="668"/>
      <c r="J33" s="178"/>
      <c r="K33" s="159"/>
      <c r="L33" s="159"/>
      <c r="M33" s="159"/>
      <c r="N33" s="159"/>
      <c r="O33" s="159"/>
      <c r="P33" s="159"/>
      <c r="Q33" s="159"/>
      <c r="R33" s="159"/>
      <c r="S33" s="159"/>
      <c r="T33" s="159"/>
      <c r="AJ33" s="159"/>
      <c r="AK33" s="159"/>
      <c r="AL33" s="159"/>
      <c r="AM33" s="159"/>
      <c r="AN33" s="159"/>
      <c r="AO33" s="159"/>
      <c r="AP33" s="159"/>
      <c r="AQ33" s="159"/>
      <c r="AR33" s="159"/>
    </row>
    <row r="34" spans="1:44" ht="16.5" thickBot="1" x14ac:dyDescent="0.3">
      <c r="A34" s="647" t="s">
        <v>232</v>
      </c>
      <c r="B34" s="648"/>
      <c r="C34" s="648"/>
      <c r="D34" s="648"/>
      <c r="E34" s="648"/>
      <c r="F34" s="648"/>
      <c r="G34" s="648"/>
      <c r="H34" s="648"/>
      <c r="I34" s="650"/>
      <c r="J34" s="178"/>
      <c r="K34" s="159"/>
      <c r="L34" s="159"/>
      <c r="M34" s="159"/>
      <c r="N34" s="159"/>
      <c r="O34" s="159"/>
      <c r="P34" s="159"/>
      <c r="Q34" s="159"/>
      <c r="R34" s="159"/>
      <c r="S34" s="159"/>
      <c r="T34" s="159"/>
      <c r="AJ34" s="159"/>
      <c r="AK34" s="159"/>
      <c r="AL34" s="159"/>
      <c r="AM34" s="159"/>
      <c r="AN34" s="159"/>
      <c r="AO34" s="159"/>
      <c r="AP34" s="159"/>
      <c r="AQ34" s="159"/>
      <c r="AR34" s="159"/>
    </row>
    <row r="35" spans="1:44" ht="26.25" x14ac:dyDescent="0.25">
      <c r="A35" s="302"/>
      <c r="B35" s="303" t="s">
        <v>233</v>
      </c>
      <c r="C35" s="304" t="s">
        <v>271</v>
      </c>
      <c r="D35" s="304" t="s">
        <v>270</v>
      </c>
      <c r="E35" s="303" t="s">
        <v>234</v>
      </c>
      <c r="F35" s="213" t="s">
        <v>235</v>
      </c>
      <c r="G35" s="303" t="s">
        <v>236</v>
      </c>
      <c r="H35" s="305" t="s">
        <v>278</v>
      </c>
      <c r="I35" s="306" t="s">
        <v>237</v>
      </c>
      <c r="J35" s="178"/>
      <c r="K35" s="159"/>
      <c r="L35" s="159"/>
      <c r="M35" s="159"/>
      <c r="N35" s="159"/>
      <c r="O35" s="159"/>
      <c r="P35" s="159"/>
      <c r="Q35" s="159"/>
      <c r="R35" s="159"/>
      <c r="S35" s="159"/>
      <c r="T35" s="159"/>
      <c r="AJ35" s="159"/>
      <c r="AK35" s="159"/>
      <c r="AL35" s="159"/>
      <c r="AM35" s="159"/>
      <c r="AN35" s="159"/>
      <c r="AO35" s="159"/>
      <c r="AP35" s="159"/>
      <c r="AQ35" s="159"/>
      <c r="AR35" s="159"/>
    </row>
    <row r="36" spans="1:44" x14ac:dyDescent="0.25">
      <c r="A36" s="219" t="s">
        <v>235</v>
      </c>
      <c r="B36" s="220">
        <v>0.05</v>
      </c>
      <c r="C36" s="274">
        <f>B42*B36*VLOOKUP(Project_Type,Hidden!A3:H6,5,FALSE)</f>
        <v>1000</v>
      </c>
      <c r="D36" s="274">
        <f>B41*B36*VLOOKUP(Project_Type,Hidden!A3:H6,6,FALSE)</f>
        <v>135000</v>
      </c>
      <c r="E36" s="222">
        <f>(C36*VLOOKUP(Project_Type,Hidden!$A$3:$H$6,5,FALSE)*100000+D36*VLOOKUP(Project_Type,Hidden!$A$3:$H$6,6,FALSE)*3412)/1000</f>
        <v>560620</v>
      </c>
      <c r="F36" s="223">
        <f>+B19</f>
        <v>22500</v>
      </c>
      <c r="G36" s="224"/>
      <c r="H36" s="211">
        <f>F36</f>
        <v>22500</v>
      </c>
      <c r="I36" s="307">
        <f>H36/(B8+AdjCost)</f>
        <v>0.31034482758620691</v>
      </c>
      <c r="J36" s="178"/>
      <c r="K36" s="159"/>
      <c r="L36" s="159"/>
      <c r="M36" s="159"/>
      <c r="N36" s="159"/>
      <c r="O36" s="159"/>
      <c r="P36" s="159"/>
      <c r="Q36" s="159"/>
      <c r="R36" s="159"/>
      <c r="S36" s="159"/>
      <c r="AJ36" s="159"/>
      <c r="AK36" s="159"/>
      <c r="AL36" s="159"/>
      <c r="AM36" s="159"/>
      <c r="AN36" s="159"/>
      <c r="AO36" s="159"/>
      <c r="AP36" s="159"/>
      <c r="AQ36" s="159"/>
      <c r="AR36" s="159"/>
    </row>
    <row r="37" spans="1:44" x14ac:dyDescent="0.25">
      <c r="A37" s="219" t="s">
        <v>279</v>
      </c>
      <c r="B37" s="220">
        <f>E37/((VLOOKUP(Project_Type,Hidden!$A$3:$H$6,6,FALSE)*B41*3412+VLOOKUP(Project_Type,Hidden!$A$3:$H$6,5,FALSE)*B42*100000)/1000)</f>
        <v>6.9788805251328884E-2</v>
      </c>
      <c r="C37" s="221">
        <v>1001</v>
      </c>
      <c r="D37" s="221">
        <v>200000</v>
      </c>
      <c r="E37" s="222">
        <f>(C37*VLOOKUP(Project_Type,Hidden!$A$3:$H$6,5,FALSE)*100000+D37*VLOOKUP(Project_Type,Hidden!$A$3:$H$6,6,FALSE)*3412)/1000</f>
        <v>782500</v>
      </c>
      <c r="F37" s="223"/>
      <c r="G37" s="224">
        <f>IF(C37*0.8*VLOOKUP(Project_Type,Hidden!$A$3:$H$6,5,FALSE)+D37*0.05*VLOOKUP(Project_Type,Hidden!$A$3:$H$6,6,FALSE)&gt;'IncentiveEst (optional)'!D53+'IncentiveEst (optional)'!D57,'IncentiveEst (optional)'!D53+'IncentiveEst (optional)'!D57,C37*0.8*VLOOKUP(Project_Type,Hidden!$A$3:$H$6,5,FALSE)+D37*0.05*VLOOKUP(Project_Type,Hidden!$A$3:$H$6,6,FALSE))</f>
        <v>10800.8</v>
      </c>
      <c r="H37" s="211">
        <f>F37+G37</f>
        <v>10800.8</v>
      </c>
      <c r="I37" s="307">
        <f>H37/(B9+AdjCost)</f>
        <v>0.24001777777777777</v>
      </c>
      <c r="J37" s="178"/>
      <c r="K37" s="159"/>
      <c r="L37" s="159"/>
      <c r="M37" s="159"/>
      <c r="N37" s="159"/>
      <c r="O37" s="159"/>
      <c r="P37" s="159"/>
      <c r="Q37" s="159"/>
      <c r="R37" s="159"/>
      <c r="S37" s="159"/>
      <c r="AJ37" s="159"/>
      <c r="AK37" s="159"/>
      <c r="AL37" s="159"/>
      <c r="AM37" s="159"/>
      <c r="AN37" s="159"/>
      <c r="AO37" s="159"/>
      <c r="AP37" s="159"/>
      <c r="AQ37" s="159"/>
      <c r="AR37" s="159"/>
    </row>
    <row r="38" spans="1:44" ht="16.5" customHeight="1" thickBot="1" x14ac:dyDescent="0.3">
      <c r="A38" s="308" t="s">
        <v>280</v>
      </c>
      <c r="B38" s="220">
        <f>E38/((VLOOKUP(Project_Type,Hidden!$A$3:$H$6,6,FALSE)*B41*3412+VLOOKUP(Project_Type,Hidden!$A$3:$H$6,5,FALSE)*B42*100000)/1000)</f>
        <v>7.9002889657878772E-2</v>
      </c>
      <c r="C38" s="309">
        <v>2000</v>
      </c>
      <c r="D38" s="309">
        <v>201000</v>
      </c>
      <c r="E38" s="222">
        <f>(C38*VLOOKUP(Project_Type,Hidden!$A$3:$H$6,5,FALSE)*100000+D38*VLOOKUP(Project_Type,Hidden!$A$3:$H$6,6,FALSE)*3412)/1000</f>
        <v>885812</v>
      </c>
      <c r="F38" s="310"/>
      <c r="G38" s="224">
        <f>IF(C38*0.8*VLOOKUP(Project_Type,Hidden!$A$3:$H$6,5,FALSE)+D38*0.05*VLOOKUP(Project_Type,Hidden!$A$3:$H$6,6,FALSE)&gt;'IncentiveEst (optional)'!D54+'IncentiveEst (optional)'!D58,'IncentiveEst (optional)'!D54+'IncentiveEst (optional)'!D58,C38*0.8*VLOOKUP(Project_Type,Hidden!$A$3:$H$6,5,FALSE)+D38*0.05*VLOOKUP(Project_Type,Hidden!$A$3:$H$6,6,FALSE))</f>
        <v>11650</v>
      </c>
      <c r="H38" s="311">
        <f>F38+Actual_Est</f>
        <v>11650</v>
      </c>
      <c r="I38" s="312">
        <f>H38/(B8+AdjCost)</f>
        <v>0.16068965517241379</v>
      </c>
      <c r="J38" s="178"/>
      <c r="K38" s="159"/>
      <c r="L38" s="159"/>
      <c r="M38" s="159"/>
      <c r="N38" s="159"/>
      <c r="O38" s="159"/>
      <c r="P38" s="159"/>
      <c r="Q38" s="159"/>
      <c r="R38" s="159"/>
      <c r="S38" s="159"/>
      <c r="AJ38" s="159"/>
      <c r="AK38" s="159"/>
      <c r="AL38" s="159"/>
      <c r="AM38" s="159"/>
      <c r="AN38" s="159"/>
      <c r="AO38" s="159"/>
      <c r="AP38" s="159"/>
      <c r="AQ38" s="159"/>
      <c r="AR38" s="159"/>
    </row>
    <row r="39" spans="1:44" ht="15.75" customHeight="1" thickBot="1" x14ac:dyDescent="0.3">
      <c r="A39" s="669" t="str">
        <f>IF(OR(B41&lt;0,B42&lt;0),"Invalid Inputs for Proper Baseline",IF(AND($E$29=0,$E$30=0,$E$31=0,E32=0),"Baseline Energy Use","Adjusted Baseline"))</f>
        <v>Baseline Energy Use</v>
      </c>
      <c r="B39" s="670"/>
      <c r="C39" s="275"/>
      <c r="D39" s="671" t="s">
        <v>238</v>
      </c>
      <c r="E39" s="672"/>
      <c r="F39" s="672"/>
      <c r="G39" s="672"/>
      <c r="H39" s="672"/>
      <c r="I39" s="673"/>
      <c r="J39" s="178"/>
      <c r="K39" s="277"/>
      <c r="L39" s="277"/>
      <c r="M39" s="159"/>
      <c r="N39" s="159"/>
      <c r="O39" s="159"/>
      <c r="P39" s="159"/>
      <c r="Q39" s="159"/>
      <c r="R39" s="159"/>
      <c r="S39" s="159"/>
      <c r="AJ39" s="159"/>
      <c r="AK39" s="159"/>
      <c r="AL39" s="159"/>
      <c r="AM39" s="159"/>
      <c r="AN39" s="159"/>
      <c r="AO39" s="159"/>
      <c r="AP39" s="159"/>
      <c r="AQ39" s="159"/>
      <c r="AR39" s="159"/>
    </row>
    <row r="40" spans="1:44" ht="39" x14ac:dyDescent="0.25">
      <c r="A40" s="210"/>
      <c r="B40" s="225" t="str">
        <f>IF(A39="Adjusted Baseline","Adjusted Use","Total Use (Actual)")</f>
        <v>Total Use (Actual)</v>
      </c>
      <c r="C40" s="292"/>
      <c r="D40" s="498"/>
      <c r="E40" s="213" t="s">
        <v>239</v>
      </c>
      <c r="F40" s="213" t="s">
        <v>240</v>
      </c>
      <c r="G40" s="213" t="s">
        <v>241</v>
      </c>
      <c r="H40" s="496" t="s">
        <v>242</v>
      </c>
      <c r="I40" s="225" t="s">
        <v>243</v>
      </c>
      <c r="J40" s="278"/>
      <c r="K40" s="279"/>
      <c r="L40" s="280"/>
      <c r="M40" s="159"/>
      <c r="N40" s="159"/>
      <c r="O40" s="159"/>
      <c r="P40" s="159"/>
      <c r="Q40" s="159"/>
      <c r="R40" s="159"/>
      <c r="S40" s="159"/>
      <c r="AJ40" s="159"/>
      <c r="AK40" s="159"/>
      <c r="AL40" s="159"/>
      <c r="AM40" s="159"/>
      <c r="AN40" s="159"/>
      <c r="AO40" s="159"/>
      <c r="AP40" s="159"/>
      <c r="AQ40" s="159"/>
      <c r="AR40" s="159"/>
    </row>
    <row r="41" spans="1:44" ht="15.75" thickBot="1" x14ac:dyDescent="0.3">
      <c r="A41" s="226" t="s">
        <v>160</v>
      </c>
      <c r="B41" s="227">
        <f>IF(AND(E29=0,E30=0,E31=0,E32=0),B13,B13-IF(F29="kwh",E29,0)-IF(F30="kwh",E30,0)-IF(F31="kwh",E31,0)-IF(F32="kwh",E32,0))</f>
        <v>2700000</v>
      </c>
      <c r="C41" s="292"/>
      <c r="D41" s="499"/>
      <c r="E41" s="228">
        <f>+MAX(C36:C38)*VLOOKUP(D7,Hidden!D24:E37,2)+MAX(D36:D38)*VLOOKUP(B7,Hidden!A23:B41,2)/100</f>
        <v>13553.347999999998</v>
      </c>
      <c r="F41" s="229">
        <f>+(Q12-Q14+B9)/E41</f>
        <v>2.7077589979981331</v>
      </c>
      <c r="G41" s="230">
        <f>IRR(R12:R19)</f>
        <v>0.4481538120057007</v>
      </c>
      <c r="H41" s="497">
        <f>AVERAGE(N13:N19)/Q12</f>
        <v>0.13886284855172415</v>
      </c>
      <c r="I41" s="231">
        <f>+P19-(Q12-Q14)</f>
        <v>21689.599357507861</v>
      </c>
      <c r="J41" s="278"/>
      <c r="K41" s="279"/>
      <c r="L41" s="280"/>
      <c r="M41" s="159"/>
      <c r="N41" s="159"/>
      <c r="O41" s="159"/>
      <c r="P41" s="159"/>
      <c r="Q41" s="159"/>
      <c r="R41" s="159"/>
      <c r="S41" s="159"/>
      <c r="AJ41" s="159"/>
      <c r="AK41" s="159"/>
      <c r="AL41" s="159"/>
      <c r="AM41" s="159"/>
      <c r="AN41" s="159"/>
      <c r="AO41" s="159"/>
      <c r="AP41" s="159"/>
      <c r="AQ41" s="159"/>
      <c r="AR41" s="159"/>
    </row>
    <row r="42" spans="1:44" ht="15.75" thickBot="1" x14ac:dyDescent="0.3">
      <c r="A42" s="290" t="s">
        <v>163</v>
      </c>
      <c r="B42" s="291">
        <f>IF(AND(E29=0,E30=0,E31=0,E32=0),B12,B12-IF(F29="therm",E29,0)-IF(F30="therm",E30,0)-IF(F31="therm",E31,0)-IF(F32="therm",E32,0))</f>
        <v>20000</v>
      </c>
      <c r="C42" s="292"/>
      <c r="D42" s="293"/>
      <c r="E42" s="294"/>
      <c r="F42" s="295"/>
      <c r="G42" s="296"/>
      <c r="H42" s="297"/>
      <c r="I42" s="298"/>
      <c r="J42" s="178"/>
      <c r="K42" s="281"/>
      <c r="L42" s="282"/>
      <c r="M42" s="159"/>
      <c r="N42" s="159"/>
      <c r="O42" s="159"/>
      <c r="P42" s="159"/>
      <c r="Q42" s="159"/>
      <c r="R42" s="159"/>
      <c r="S42" s="159"/>
      <c r="AJ42" s="159"/>
      <c r="AK42" s="159"/>
      <c r="AL42" s="159"/>
      <c r="AM42" s="159"/>
      <c r="AN42" s="159"/>
      <c r="AO42" s="159"/>
      <c r="AP42" s="159"/>
      <c r="AQ42" s="159"/>
      <c r="AR42" s="159"/>
    </row>
    <row r="43" spans="1:44" ht="15.75" thickBot="1" x14ac:dyDescent="0.3">
      <c r="A43" s="674" t="s">
        <v>244</v>
      </c>
      <c r="B43" s="675"/>
      <c r="C43" s="675"/>
      <c r="D43" s="675"/>
      <c r="E43" s="675"/>
      <c r="F43" s="675"/>
      <c r="G43" s="675"/>
      <c r="H43" s="675"/>
      <c r="I43" s="676"/>
      <c r="J43" s="178"/>
      <c r="K43" s="281"/>
      <c r="L43" s="282"/>
      <c r="M43" s="159"/>
      <c r="N43" s="159"/>
      <c r="O43" s="159"/>
      <c r="P43" s="159"/>
      <c r="Q43" s="159"/>
      <c r="R43" s="159"/>
      <c r="S43" s="159"/>
      <c r="AJ43" s="159"/>
      <c r="AK43" s="159"/>
      <c r="AL43" s="159"/>
      <c r="AM43" s="159"/>
      <c r="AN43" s="159"/>
      <c r="AO43" s="159"/>
      <c r="AP43" s="159"/>
      <c r="AQ43" s="159"/>
      <c r="AR43" s="159"/>
    </row>
    <row r="44" spans="1:44" x14ac:dyDescent="0.25">
      <c r="A44" s="677" t="s">
        <v>245</v>
      </c>
      <c r="B44" s="678"/>
      <c r="C44" s="678"/>
      <c r="D44" s="678"/>
      <c r="E44" s="678"/>
      <c r="F44" s="678"/>
      <c r="G44" s="678"/>
      <c r="H44" s="678"/>
      <c r="I44" s="679"/>
      <c r="J44" s="178"/>
      <c r="K44" s="159"/>
      <c r="L44" s="283"/>
      <c r="M44" s="159"/>
      <c r="N44" s="159"/>
      <c r="O44" s="159"/>
      <c r="P44" s="159"/>
      <c r="Q44" s="159"/>
      <c r="R44" s="159"/>
      <c r="S44" s="159"/>
      <c r="AJ44" s="159"/>
      <c r="AK44" s="159"/>
      <c r="AL44" s="159"/>
      <c r="AM44" s="159"/>
      <c r="AN44" s="159"/>
      <c r="AO44" s="159"/>
      <c r="AP44" s="159"/>
      <c r="AQ44" s="159"/>
      <c r="AR44" s="159"/>
    </row>
    <row r="45" spans="1:44" s="166" customFormat="1" x14ac:dyDescent="0.25">
      <c r="A45" s="680"/>
      <c r="B45" s="681"/>
      <c r="C45" s="681"/>
      <c r="D45" s="681"/>
      <c r="E45" s="681"/>
      <c r="F45" s="681"/>
      <c r="G45" s="681"/>
      <c r="H45" s="681"/>
      <c r="I45" s="682"/>
      <c r="J45" s="178"/>
      <c r="K45" s="179"/>
      <c r="L45" s="273"/>
      <c r="M45" s="179"/>
      <c r="N45" s="179"/>
      <c r="O45" s="179"/>
      <c r="P45" s="179"/>
      <c r="Q45" s="179"/>
      <c r="R45" s="179"/>
      <c r="S45" s="179"/>
      <c r="AH45" s="174"/>
      <c r="AI45" s="174"/>
      <c r="AJ45" s="179"/>
      <c r="AK45" s="179"/>
      <c r="AL45" s="179"/>
      <c r="AM45" s="179"/>
      <c r="AN45" s="179"/>
      <c r="AO45" s="179"/>
      <c r="AP45" s="179"/>
      <c r="AQ45" s="179"/>
      <c r="AR45" s="179"/>
    </row>
    <row r="46" spans="1:44" s="166" customFormat="1" x14ac:dyDescent="0.25">
      <c r="A46" s="680"/>
      <c r="B46" s="681"/>
      <c r="C46" s="681"/>
      <c r="D46" s="681"/>
      <c r="E46" s="681"/>
      <c r="F46" s="681"/>
      <c r="G46" s="681"/>
      <c r="H46" s="681"/>
      <c r="I46" s="682"/>
      <c r="J46" s="178"/>
      <c r="K46" s="179"/>
      <c r="L46" s="179"/>
      <c r="M46" s="179"/>
      <c r="N46" s="179"/>
      <c r="O46" s="179"/>
      <c r="P46" s="179"/>
      <c r="Q46" s="179"/>
      <c r="R46" s="179"/>
      <c r="S46" s="179"/>
      <c r="V46" s="174"/>
      <c r="W46" s="174"/>
      <c r="X46" s="174"/>
      <c r="Y46" s="174"/>
      <c r="Z46" s="174"/>
      <c r="AA46" s="174"/>
      <c r="AB46" s="174"/>
      <c r="AC46" s="174"/>
      <c r="AD46" s="174"/>
      <c r="AE46" s="174"/>
      <c r="AF46" s="174"/>
      <c r="AG46" s="174"/>
      <c r="AH46" s="174"/>
      <c r="AI46" s="174"/>
      <c r="AJ46" s="179"/>
      <c r="AK46" s="179"/>
      <c r="AL46" s="179"/>
      <c r="AM46" s="179"/>
      <c r="AN46" s="179"/>
      <c r="AO46" s="179"/>
      <c r="AP46" s="179"/>
      <c r="AQ46" s="179"/>
      <c r="AR46" s="179"/>
    </row>
    <row r="47" spans="1:44" s="166" customFormat="1" x14ac:dyDescent="0.25">
      <c r="A47" s="680"/>
      <c r="B47" s="681"/>
      <c r="C47" s="681"/>
      <c r="D47" s="681"/>
      <c r="E47" s="681"/>
      <c r="F47" s="681"/>
      <c r="G47" s="681"/>
      <c r="H47" s="681"/>
      <c r="I47" s="682"/>
      <c r="J47" s="178"/>
      <c r="K47" s="179"/>
      <c r="L47" s="179"/>
      <c r="M47" s="179"/>
      <c r="N47" s="179"/>
      <c r="O47" s="179"/>
      <c r="P47" s="179"/>
      <c r="Q47" s="179"/>
      <c r="R47" s="179"/>
      <c r="S47" s="179"/>
      <c r="V47" s="174"/>
      <c r="W47" s="174"/>
      <c r="X47" s="174"/>
      <c r="Y47" s="174"/>
      <c r="Z47" s="174"/>
      <c r="AA47" s="174"/>
      <c r="AB47" s="174"/>
      <c r="AC47" s="174"/>
      <c r="AD47" s="174"/>
      <c r="AE47" s="174"/>
      <c r="AF47" s="174"/>
      <c r="AG47" s="174"/>
      <c r="AH47" s="174"/>
      <c r="AI47" s="174"/>
      <c r="AJ47" s="179"/>
      <c r="AK47" s="179"/>
      <c r="AL47" s="179"/>
      <c r="AM47" s="179"/>
      <c r="AN47" s="179"/>
      <c r="AO47" s="179"/>
      <c r="AP47" s="179"/>
      <c r="AQ47" s="179"/>
      <c r="AR47" s="179"/>
    </row>
    <row r="48" spans="1:44" s="166" customFormat="1" x14ac:dyDescent="0.25">
      <c r="A48" s="680"/>
      <c r="B48" s="681"/>
      <c r="C48" s="681"/>
      <c r="D48" s="681"/>
      <c r="E48" s="681"/>
      <c r="F48" s="681"/>
      <c r="G48" s="681"/>
      <c r="H48" s="681"/>
      <c r="I48" s="682"/>
      <c r="J48" s="178"/>
      <c r="K48" s="179"/>
      <c r="L48" s="179"/>
      <c r="M48" s="179"/>
      <c r="N48" s="179"/>
      <c r="O48" s="179"/>
      <c r="P48" s="179"/>
      <c r="Q48" s="179"/>
      <c r="R48" s="179"/>
      <c r="S48" s="179"/>
      <c r="V48" s="174"/>
      <c r="W48" s="174"/>
      <c r="X48" s="174"/>
      <c r="Y48" s="174"/>
      <c r="Z48" s="174"/>
      <c r="AA48" s="174"/>
      <c r="AB48" s="174"/>
      <c r="AC48" s="174"/>
      <c r="AD48" s="174"/>
      <c r="AE48" s="174"/>
      <c r="AF48" s="174"/>
      <c r="AG48" s="174"/>
      <c r="AH48" s="174"/>
      <c r="AI48" s="174"/>
      <c r="AJ48" s="179"/>
      <c r="AK48" s="179"/>
      <c r="AL48" s="179"/>
      <c r="AM48" s="179"/>
      <c r="AN48" s="179"/>
      <c r="AO48" s="179"/>
      <c r="AP48" s="179"/>
      <c r="AQ48" s="179"/>
      <c r="AR48" s="179"/>
    </row>
    <row r="49" spans="1:44" s="166" customFormat="1" ht="46.5" customHeight="1" thickBot="1" x14ac:dyDescent="0.3">
      <c r="A49" s="683"/>
      <c r="B49" s="684"/>
      <c r="C49" s="684"/>
      <c r="D49" s="684"/>
      <c r="E49" s="684"/>
      <c r="F49" s="684"/>
      <c r="G49" s="684"/>
      <c r="H49" s="684"/>
      <c r="I49" s="685"/>
      <c r="J49" s="178"/>
      <c r="K49" s="179"/>
      <c r="L49" s="179"/>
      <c r="M49" s="179"/>
      <c r="N49" s="179"/>
      <c r="O49" s="179"/>
      <c r="P49" s="179"/>
      <c r="Q49" s="179"/>
      <c r="R49" s="179"/>
      <c r="S49" s="179"/>
      <c r="V49" s="174"/>
      <c r="W49" s="174"/>
      <c r="X49" s="174"/>
      <c r="Y49" s="174"/>
      <c r="Z49" s="174"/>
      <c r="AA49" s="174"/>
      <c r="AB49" s="174"/>
      <c r="AC49" s="174"/>
      <c r="AD49" s="174"/>
      <c r="AE49" s="174"/>
      <c r="AF49" s="174"/>
      <c r="AG49" s="174"/>
      <c r="AH49" s="174"/>
      <c r="AI49" s="174"/>
      <c r="AJ49" s="179"/>
      <c r="AK49" s="179"/>
      <c r="AL49" s="179"/>
      <c r="AM49" s="179"/>
      <c r="AN49" s="179"/>
      <c r="AO49" s="179"/>
      <c r="AP49" s="179"/>
      <c r="AQ49" s="179"/>
      <c r="AR49" s="179"/>
    </row>
    <row r="50" spans="1:44" s="166" customFormat="1" ht="15.75" thickBot="1" x14ac:dyDescent="0.3">
      <c r="A50" s="232" t="s">
        <v>139</v>
      </c>
      <c r="B50" s="686" t="s">
        <v>246</v>
      </c>
      <c r="C50" s="686"/>
      <c r="D50" s="686"/>
      <c r="E50" s="686"/>
      <c r="F50" s="686"/>
      <c r="G50" s="686"/>
      <c r="H50" s="686"/>
      <c r="I50" s="687"/>
      <c r="J50" s="178"/>
      <c r="K50" s="179"/>
      <c r="L50" s="179"/>
      <c r="M50" s="179"/>
      <c r="N50" s="179"/>
      <c r="O50" s="179"/>
      <c r="P50" s="179"/>
      <c r="Q50" s="179"/>
      <c r="R50" s="179"/>
      <c r="S50" s="179"/>
      <c r="V50" s="174"/>
      <c r="W50" s="174"/>
      <c r="X50" s="174"/>
      <c r="Y50" s="174"/>
      <c r="Z50" s="174"/>
      <c r="AA50" s="174"/>
      <c r="AB50" s="174"/>
      <c r="AC50" s="174"/>
      <c r="AD50" s="174"/>
      <c r="AE50" s="174"/>
      <c r="AF50" s="174"/>
      <c r="AG50" s="174"/>
      <c r="AH50" s="174"/>
      <c r="AI50" s="174"/>
      <c r="AJ50" s="179"/>
      <c r="AK50" s="179"/>
      <c r="AL50" s="179"/>
      <c r="AM50" s="179"/>
      <c r="AN50" s="179"/>
      <c r="AO50" s="179"/>
      <c r="AP50" s="179"/>
      <c r="AQ50" s="179"/>
      <c r="AR50" s="179"/>
    </row>
    <row r="51" spans="1:44" s="166" customFormat="1" ht="14.25" customHeight="1" x14ac:dyDescent="0.25">
      <c r="A51" s="688" t="s">
        <v>247</v>
      </c>
      <c r="B51" s="689"/>
      <c r="C51" s="689"/>
      <c r="D51" s="233" t="s">
        <v>248</v>
      </c>
      <c r="E51" s="234" t="s">
        <v>249</v>
      </c>
      <c r="F51" s="234" t="s">
        <v>269</v>
      </c>
      <c r="G51" s="235" t="s">
        <v>250</v>
      </c>
      <c r="H51" s="235" t="s">
        <v>251</v>
      </c>
      <c r="I51" s="236" t="s">
        <v>252</v>
      </c>
      <c r="J51" s="178"/>
      <c r="K51" s="179"/>
      <c r="L51" s="179"/>
      <c r="M51" s="179"/>
      <c r="N51" s="179"/>
      <c r="O51" s="179"/>
      <c r="P51" s="179"/>
      <c r="Q51" s="179"/>
      <c r="R51" s="179"/>
      <c r="S51" s="179"/>
      <c r="V51" s="174"/>
      <c r="W51" s="174"/>
      <c r="X51" s="174"/>
      <c r="Y51" s="174"/>
      <c r="Z51" s="174"/>
      <c r="AA51" s="174"/>
      <c r="AB51" s="174"/>
      <c r="AC51" s="174"/>
      <c r="AD51" s="174"/>
      <c r="AE51" s="174"/>
      <c r="AF51" s="174"/>
      <c r="AG51" s="174"/>
      <c r="AH51" s="174"/>
      <c r="AI51" s="174"/>
      <c r="AJ51" s="179"/>
      <c r="AK51" s="179"/>
      <c r="AL51" s="179"/>
      <c r="AM51" s="179"/>
      <c r="AN51" s="179"/>
      <c r="AO51" s="179"/>
      <c r="AP51" s="179"/>
      <c r="AQ51" s="179"/>
      <c r="AR51" s="179"/>
    </row>
    <row r="52" spans="1:44" s="243" customFormat="1" x14ac:dyDescent="0.25">
      <c r="A52" s="660" t="s">
        <v>258</v>
      </c>
      <c r="B52" s="661"/>
      <c r="C52" s="661"/>
      <c r="D52" s="285">
        <f>F52*Hidden!C18/100/(F56*Hidden!G18+F52*Hidden!C18/100)*F36</f>
        <v>20667.510559864069</v>
      </c>
      <c r="E52" s="238">
        <f>+D52</f>
        <v>20667.510559864069</v>
      </c>
      <c r="F52" s="239">
        <f>D36</f>
        <v>135000</v>
      </c>
      <c r="G52" s="240" t="str">
        <f>IF(D52=0,"","Misc.")</f>
        <v>Misc.</v>
      </c>
      <c r="H52" s="241">
        <f>IF(D52=0,0,-9.99)</f>
        <v>-9.99</v>
      </c>
      <c r="I52" s="242">
        <f>IF(Project_Type="PSE gas/other elec",0,B41)</f>
        <v>2700000</v>
      </c>
      <c r="J52" s="178"/>
      <c r="K52" s="245"/>
      <c r="L52" s="245"/>
      <c r="M52" s="245"/>
      <c r="N52" s="245"/>
      <c r="O52" s="245"/>
      <c r="P52" s="245"/>
      <c r="Q52" s="245"/>
      <c r="R52" s="245"/>
      <c r="S52" s="245"/>
      <c r="V52" s="244"/>
      <c r="W52" s="244"/>
      <c r="X52" s="244"/>
      <c r="Y52" s="244"/>
      <c r="Z52" s="244"/>
      <c r="AA52" s="244"/>
      <c r="AB52" s="244"/>
      <c r="AC52" s="244"/>
      <c r="AD52" s="244"/>
      <c r="AE52" s="244"/>
      <c r="AF52" s="244"/>
      <c r="AG52" s="244"/>
      <c r="AH52" s="244"/>
      <c r="AI52" s="244"/>
      <c r="AJ52" s="245"/>
      <c r="AK52" s="245"/>
      <c r="AL52" s="245"/>
      <c r="AM52" s="245"/>
      <c r="AN52" s="245"/>
      <c r="AO52" s="245"/>
      <c r="AP52" s="245"/>
      <c r="AQ52" s="245"/>
      <c r="AR52" s="245"/>
    </row>
    <row r="53" spans="1:44" s="243" customFormat="1" x14ac:dyDescent="0.25">
      <c r="A53" s="660" t="s">
        <v>259</v>
      </c>
      <c r="B53" s="661"/>
      <c r="C53" s="661"/>
      <c r="D53" s="285">
        <f>D37*Hidden!$C$18/100/(C37*Hidden!$G$18+D37*Hidden!$C$18/100)*C23</f>
        <v>23586.933362385043</v>
      </c>
      <c r="E53" s="238">
        <f>+IF(A50="Initial Grant Calc.",D53,IF(D37*0.05&gt;D53,D53,D37*0.05))</f>
        <v>23586.933362385043</v>
      </c>
      <c r="F53" s="239">
        <f>IF(D37-D36&lt;0,0,D37-D36)</f>
        <v>65000</v>
      </c>
      <c r="G53" s="240" t="str">
        <f>IF(D53=0,"","Misc.")</f>
        <v>Misc.</v>
      </c>
      <c r="H53" s="241">
        <f>IF(D53=0,0,-9.99)</f>
        <v>-9.99</v>
      </c>
      <c r="I53" s="242">
        <f>IF(Project_Type="PSE gas/other elec",0,B41)</f>
        <v>2700000</v>
      </c>
      <c r="J53" s="178"/>
      <c r="K53" s="245"/>
      <c r="L53" s="245"/>
      <c r="M53" s="245"/>
      <c r="N53" s="245"/>
      <c r="O53" s="245"/>
      <c r="P53" s="245"/>
      <c r="Q53" s="245"/>
      <c r="R53" s="245"/>
      <c r="S53" s="245"/>
      <c r="V53" s="244"/>
      <c r="W53" s="244"/>
      <c r="X53" s="244"/>
      <c r="Y53" s="244"/>
      <c r="Z53" s="244"/>
      <c r="AA53" s="244"/>
      <c r="AB53" s="244"/>
      <c r="AC53" s="244"/>
      <c r="AD53" s="244"/>
      <c r="AE53" s="244"/>
      <c r="AF53" s="244"/>
      <c r="AG53" s="244"/>
      <c r="AH53" s="244"/>
      <c r="AI53" s="244"/>
      <c r="AJ53" s="245"/>
      <c r="AK53" s="245"/>
      <c r="AL53" s="245"/>
      <c r="AM53" s="245"/>
      <c r="AN53" s="245"/>
      <c r="AO53" s="245"/>
      <c r="AP53" s="245"/>
      <c r="AQ53" s="245"/>
      <c r="AR53" s="245"/>
    </row>
    <row r="54" spans="1:44" s="166" customFormat="1" ht="15" customHeight="1" x14ac:dyDescent="0.25">
      <c r="A54" s="660" t="s">
        <v>260</v>
      </c>
      <c r="B54" s="661"/>
      <c r="C54" s="661"/>
      <c r="D54" s="285">
        <f>D38*Hidden!$C$18/100/(C38*Hidden!$G$18+D38*Hidden!$C$18/100)*D23</f>
        <v>22339.329178718868</v>
      </c>
      <c r="E54" s="238">
        <f>+IF(A50="Initial Grant Calc.",D54,IF(D38*0.05&gt;D54,D54,D38*0.05))</f>
        <v>22339.329178718868</v>
      </c>
      <c r="F54" s="239">
        <f>IF(D38-F52-F53&lt;0,0,D38-F52-F53)</f>
        <v>1000</v>
      </c>
      <c r="G54" s="240" t="str">
        <f>IF(D54=0,"","Misc.")</f>
        <v>Misc.</v>
      </c>
      <c r="H54" s="241">
        <f>IF(D54=0,0,-9.99)</f>
        <v>-9.99</v>
      </c>
      <c r="I54" s="242">
        <f>IF(Project_Type="PSE gas/other elec",0,B41)</f>
        <v>2700000</v>
      </c>
      <c r="J54" s="178"/>
      <c r="K54" s="179"/>
      <c r="L54" s="179"/>
      <c r="M54" s="179"/>
      <c r="N54" s="179"/>
      <c r="O54" s="179"/>
      <c r="P54" s="179"/>
      <c r="Q54" s="179"/>
      <c r="R54" s="179"/>
      <c r="S54" s="179"/>
      <c r="V54" s="174"/>
      <c r="W54" s="174"/>
      <c r="X54" s="174"/>
      <c r="Y54" s="174"/>
      <c r="Z54" s="174"/>
      <c r="AA54" s="174"/>
      <c r="AB54" s="174"/>
      <c r="AC54" s="174"/>
      <c r="AD54" s="174"/>
      <c r="AE54" s="174"/>
      <c r="AF54" s="174"/>
      <c r="AG54" s="174"/>
      <c r="AH54" s="174"/>
      <c r="AI54" s="174"/>
      <c r="AJ54" s="179"/>
      <c r="AK54" s="179"/>
      <c r="AL54" s="179"/>
      <c r="AM54" s="179"/>
      <c r="AN54" s="179"/>
      <c r="AO54" s="179"/>
      <c r="AP54" s="179"/>
      <c r="AQ54" s="179"/>
      <c r="AR54" s="179"/>
    </row>
    <row r="55" spans="1:44" s="166" customFormat="1" x14ac:dyDescent="0.25">
      <c r="A55" s="690"/>
      <c r="B55" s="691"/>
      <c r="C55" s="692"/>
      <c r="D55" s="285"/>
      <c r="E55" s="237"/>
      <c r="F55" s="246"/>
      <c r="G55" s="247"/>
      <c r="H55" s="248"/>
      <c r="I55" s="242"/>
      <c r="J55" s="178"/>
      <c r="K55" s="267"/>
      <c r="L55" s="179"/>
      <c r="M55" s="179"/>
      <c r="N55" s="179"/>
      <c r="O55" s="179"/>
      <c r="P55" s="179"/>
      <c r="Q55" s="179"/>
      <c r="R55" s="179"/>
      <c r="S55" s="179"/>
      <c r="V55" s="174"/>
      <c r="W55" s="174"/>
      <c r="X55" s="174"/>
      <c r="Y55" s="174"/>
      <c r="Z55" s="174"/>
      <c r="AA55" s="174"/>
      <c r="AB55" s="174"/>
      <c r="AC55" s="174"/>
      <c r="AD55" s="174"/>
      <c r="AE55" s="174"/>
      <c r="AF55" s="174"/>
      <c r="AG55" s="174"/>
      <c r="AH55" s="174"/>
      <c r="AI55" s="174"/>
    </row>
    <row r="56" spans="1:44" s="166" customFormat="1" ht="15" customHeight="1" x14ac:dyDescent="0.25">
      <c r="A56" s="660" t="s">
        <v>262</v>
      </c>
      <c r="B56" s="661"/>
      <c r="C56" s="661"/>
      <c r="D56" s="285">
        <f>C36*Hidden!$G$18/(C36*Hidden!$G$18+D36*Hidden!$C$18/100)*B23</f>
        <v>1832.4894401359309</v>
      </c>
      <c r="E56" s="237">
        <f>+D56</f>
        <v>1832.4894401359309</v>
      </c>
      <c r="F56" s="239">
        <f>C36</f>
        <v>1000</v>
      </c>
      <c r="G56" s="247" t="str">
        <f>IF(D56=0,0,"Heating")</f>
        <v>Heating</v>
      </c>
      <c r="H56" s="248">
        <f>IF(D56=0,0,-9.99)</f>
        <v>-9.99</v>
      </c>
      <c r="I56" s="249">
        <f>IF(OR(Project_Type="All PSE (all elec)",Project_Type="PSE elec/other gas"),0,B42)</f>
        <v>20000</v>
      </c>
      <c r="J56" s="178"/>
      <c r="K56" s="179"/>
      <c r="L56" s="179"/>
      <c r="M56" s="179"/>
      <c r="N56" s="179"/>
      <c r="O56" s="179"/>
      <c r="P56" s="179"/>
      <c r="Q56" s="179"/>
      <c r="R56" s="179"/>
      <c r="S56" s="179"/>
      <c r="T56" s="174"/>
      <c r="U56" s="174"/>
      <c r="V56" s="174"/>
      <c r="W56" s="174"/>
      <c r="X56" s="174"/>
      <c r="Y56" s="174"/>
      <c r="Z56" s="174"/>
      <c r="AA56" s="174"/>
      <c r="AB56" s="174"/>
      <c r="AC56" s="174"/>
      <c r="AD56" s="174"/>
      <c r="AE56" s="174"/>
      <c r="AF56" s="174"/>
      <c r="AG56" s="174"/>
      <c r="AH56" s="174"/>
      <c r="AI56" s="174"/>
    </row>
    <row r="57" spans="1:44" s="166" customFormat="1" ht="15" customHeight="1" x14ac:dyDescent="0.25">
      <c r="A57" s="660" t="s">
        <v>272</v>
      </c>
      <c r="B57" s="661"/>
      <c r="C57" s="661"/>
      <c r="D57" s="285">
        <f>C37*Hidden!$G$18/(C37*Hidden!$G$18+D37*Hidden!$C$18/100)*C23</f>
        <v>1413.0666376149579</v>
      </c>
      <c r="E57" s="238">
        <f>+IF(A50="Initial Grant Calc.",D57,IF(C37*0.8&gt;D57,D57,C37*0.8))</f>
        <v>1413.0666376149579</v>
      </c>
      <c r="F57" s="239">
        <f>IF(C37-F56&lt;0,0,C37-F56)</f>
        <v>1</v>
      </c>
      <c r="G57" s="247" t="str">
        <f>IF(D57=0,0,"Heating")</f>
        <v>Heating</v>
      </c>
      <c r="H57" s="248">
        <f>IF(D57=0,0,-9.99)</f>
        <v>-9.99</v>
      </c>
      <c r="I57" s="250">
        <f>IF(OR(Project_Type="All PSE (all elec)",Project_Type="PSE elec/other gas"),0,B42)</f>
        <v>20000</v>
      </c>
      <c r="J57" s="178"/>
      <c r="K57" s="179"/>
      <c r="L57" s="179"/>
      <c r="M57" s="179"/>
      <c r="N57" s="179"/>
      <c r="O57" s="179"/>
      <c r="P57" s="179"/>
      <c r="Q57" s="179"/>
      <c r="R57" s="179"/>
      <c r="S57" s="179"/>
      <c r="T57" s="174"/>
      <c r="U57" s="174"/>
      <c r="V57" s="174"/>
      <c r="W57" s="174"/>
      <c r="X57" s="174"/>
      <c r="Y57" s="174"/>
      <c r="Z57" s="174"/>
      <c r="AA57" s="174"/>
      <c r="AB57" s="174"/>
      <c r="AC57" s="174"/>
      <c r="AD57" s="174"/>
      <c r="AE57" s="174"/>
      <c r="AF57" s="174"/>
      <c r="AG57" s="174"/>
      <c r="AH57" s="174"/>
      <c r="AI57" s="174"/>
    </row>
    <row r="58" spans="1:44" s="166" customFormat="1" ht="15" customHeight="1" x14ac:dyDescent="0.25">
      <c r="A58" s="660" t="s">
        <v>261</v>
      </c>
      <c r="B58" s="661"/>
      <c r="C58" s="661"/>
      <c r="D58" s="285">
        <f>C38*Hidden!$G$18/(C38*Hidden!$G$18+D38*Hidden!$C$18/100)*D23</f>
        <v>2660.6708212811336</v>
      </c>
      <c r="E58" s="238">
        <f>+IF(A50="Initial Grant Calc.",D58,IF(C38*0.8&gt;D58,D58,C38*0.8))</f>
        <v>2660.6708212811336</v>
      </c>
      <c r="F58" s="239">
        <f>IF(C38-F56-F57&lt;0,0,C38-F56-F57)</f>
        <v>999</v>
      </c>
      <c r="G58" s="247" t="str">
        <f>IF(D58=0,0,"Heating")</f>
        <v>Heating</v>
      </c>
      <c r="H58" s="248">
        <f>IF(D58=0,0,-9.99)</f>
        <v>-9.99</v>
      </c>
      <c r="I58" s="250">
        <f>IF(OR(Project_Type="All PSE (all elec)",Project_Type="PSE elec/other gas"),0,B42)</f>
        <v>20000</v>
      </c>
      <c r="J58" s="179"/>
      <c r="K58" s="179"/>
      <c r="L58" s="179"/>
      <c r="M58" s="179"/>
      <c r="N58" s="179"/>
      <c r="O58" s="179"/>
      <c r="P58" s="179"/>
      <c r="Q58" s="179"/>
      <c r="R58" s="179"/>
      <c r="S58" s="179"/>
      <c r="T58" s="174"/>
      <c r="U58" s="174"/>
      <c r="V58" s="174"/>
      <c r="W58" s="174"/>
      <c r="X58" s="174"/>
      <c r="Y58" s="174"/>
      <c r="Z58" s="174"/>
      <c r="AA58" s="174"/>
      <c r="AB58" s="174"/>
      <c r="AC58" s="174"/>
      <c r="AD58" s="174"/>
      <c r="AE58" s="174"/>
      <c r="AF58" s="174"/>
      <c r="AG58" s="174"/>
      <c r="AH58" s="174"/>
      <c r="AI58" s="174"/>
    </row>
    <row r="59" spans="1:44" s="166" customFormat="1" x14ac:dyDescent="0.25">
      <c r="A59" s="693" t="s">
        <v>253</v>
      </c>
      <c r="B59" s="694"/>
      <c r="C59" s="695"/>
      <c r="D59" s="286">
        <f>SUM(D52:D58)</f>
        <v>72500.000000000015</v>
      </c>
      <c r="E59" s="251">
        <f>SUM(E52:E58)</f>
        <v>72500.000000000015</v>
      </c>
      <c r="F59" s="252"/>
      <c r="G59" s="253"/>
      <c r="H59" s="254"/>
      <c r="I59" s="255"/>
      <c r="J59" s="179"/>
      <c r="K59" s="179"/>
      <c r="L59" s="179"/>
      <c r="M59" s="179"/>
      <c r="N59" s="179"/>
      <c r="O59" s="179"/>
      <c r="P59" s="179"/>
      <c r="Q59" s="179"/>
      <c r="R59" s="179"/>
      <c r="S59" s="179"/>
      <c r="T59" s="174"/>
      <c r="U59" s="174"/>
      <c r="V59" s="174"/>
      <c r="W59" s="174"/>
      <c r="X59" s="174"/>
      <c r="Y59" s="174"/>
      <c r="Z59" s="174"/>
      <c r="AA59" s="174"/>
      <c r="AB59" s="174"/>
      <c r="AC59" s="174"/>
      <c r="AD59" s="174"/>
      <c r="AE59" s="174"/>
      <c r="AF59" s="174"/>
      <c r="AG59" s="174"/>
      <c r="AH59" s="174"/>
      <c r="AI59" s="174"/>
    </row>
    <row r="60" spans="1:44" s="166" customFormat="1" ht="15.75" customHeight="1" x14ac:dyDescent="0.25">
      <c r="A60" s="696" t="str">
        <f ca="1">CELL("filename")</f>
        <v>\\Sestdpt1.puget.com\Sopscci\4-Energy Efficiency\BEM\_Grants\250- CI Retro\_Commissioning\01_Monitoring Based (MBCx)\00_Onboarding\[MBCx_Forms_PSE_3.4.2021.xlsx]IncentiveEst (optional)</v>
      </c>
      <c r="B60" s="697"/>
      <c r="C60" s="697"/>
      <c r="D60" s="697"/>
      <c r="E60" s="697"/>
      <c r="F60" s="697"/>
      <c r="G60" s="697"/>
      <c r="H60" s="697"/>
      <c r="I60" s="698"/>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row>
    <row r="61" spans="1:44" s="166" customFormat="1" x14ac:dyDescent="0.25">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row>
    <row r="62" spans="1:44" s="166" customFormat="1" x14ac:dyDescent="0.25">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row>
    <row r="63" spans="1:44" s="166" customFormat="1" x14ac:dyDescent="0.25">
      <c r="A63" s="174"/>
      <c r="B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row>
    <row r="64" spans="1:44" s="166" customFormat="1" x14ac:dyDescent="0.25">
      <c r="A64" s="174"/>
      <c r="B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row>
    <row r="65" spans="1:35" s="166" customFormat="1" x14ac:dyDescent="0.25">
      <c r="A65" s="174" t="s">
        <v>228</v>
      </c>
      <c r="B65" s="174"/>
      <c r="F65" s="256"/>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row>
    <row r="66" spans="1:35" s="166" customFormat="1" x14ac:dyDescent="0.25">
      <c r="A66" s="174" t="s">
        <v>229</v>
      </c>
      <c r="B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row>
    <row r="67" spans="1:35" s="166" customFormat="1" x14ac:dyDescent="0.25">
      <c r="A67" s="174" t="s">
        <v>230</v>
      </c>
      <c r="B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row>
    <row r="68" spans="1:35" s="166" customFormat="1" x14ac:dyDescent="0.25">
      <c r="A68" s="174" t="s">
        <v>254</v>
      </c>
      <c r="B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row>
    <row r="69" spans="1:35" s="166" customFormat="1" x14ac:dyDescent="0.25">
      <c r="A69" s="187" t="s">
        <v>231</v>
      </c>
      <c r="B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row>
    <row r="70" spans="1:35" s="166" customFormat="1" x14ac:dyDescent="0.25">
      <c r="A70" s="174"/>
      <c r="B70" s="179"/>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row>
    <row r="71" spans="1:35" s="166" customFormat="1" x14ac:dyDescent="0.25">
      <c r="A71" s="179"/>
      <c r="B71" s="179"/>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row>
    <row r="72" spans="1:35" s="166" customFormat="1" x14ac:dyDescent="0.25">
      <c r="A72" s="179"/>
      <c r="B72" s="184"/>
      <c r="C72" s="184"/>
      <c r="D72" s="179"/>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row>
    <row r="73" spans="1:35" s="166" customFormat="1" x14ac:dyDescent="0.25">
      <c r="A73" s="179"/>
      <c r="B73" s="184"/>
      <c r="C73" s="184"/>
      <c r="D73" s="179"/>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row>
    <row r="74" spans="1:35" s="166" customFormat="1" x14ac:dyDescent="0.25">
      <c r="A74" s="179"/>
      <c r="B74" s="184"/>
      <c r="C74" s="184"/>
      <c r="D74" s="179"/>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row>
    <row r="75" spans="1:35" s="166" customFormat="1" x14ac:dyDescent="0.25">
      <c r="A75" s="179"/>
      <c r="B75" s="184"/>
      <c r="C75" s="184"/>
      <c r="D75" s="179"/>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row>
    <row r="76" spans="1:35" s="166" customFormat="1" x14ac:dyDescent="0.25">
      <c r="A76" s="179"/>
      <c r="B76" s="179"/>
      <c r="C76" s="179"/>
      <c r="D76" s="179"/>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row>
    <row r="77" spans="1:35" s="166" customFormat="1" x14ac:dyDescent="0.25">
      <c r="A77" s="179"/>
      <c r="B77" s="179"/>
      <c r="C77" s="179"/>
      <c r="D77" s="179"/>
      <c r="F77" s="257"/>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row>
    <row r="78" spans="1:35" s="166" customFormat="1" ht="15.75" customHeight="1" x14ac:dyDescent="0.25">
      <c r="B78" s="179"/>
      <c r="C78" s="179"/>
      <c r="D78" s="179"/>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row>
    <row r="79" spans="1:35" s="166" customFormat="1" x14ac:dyDescent="0.25">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row>
    <row r="80" spans="1:35" s="166" customFormat="1" x14ac:dyDescent="0.25">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row>
    <row r="81" spans="1:35" s="166" customFormat="1" ht="18" customHeight="1" x14ac:dyDescent="0.25">
      <c r="J81" s="258"/>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row>
    <row r="82" spans="1:35" s="166" customFormat="1" x14ac:dyDescent="0.25">
      <c r="J82" s="174"/>
      <c r="K82" s="174"/>
      <c r="L82" s="174"/>
      <c r="M82" s="174"/>
      <c r="N82" s="174"/>
      <c r="O82" s="174"/>
      <c r="P82" s="174"/>
      <c r="Q82" s="174"/>
      <c r="R82" s="212"/>
      <c r="S82" s="259"/>
      <c r="T82" s="174"/>
      <c r="U82" s="174"/>
      <c r="V82" s="174"/>
      <c r="W82" s="174"/>
      <c r="X82" s="174"/>
      <c r="Y82" s="174"/>
      <c r="Z82" s="174"/>
      <c r="AA82" s="174"/>
      <c r="AB82" s="174"/>
      <c r="AC82" s="174"/>
      <c r="AD82" s="174"/>
      <c r="AE82" s="174"/>
      <c r="AF82" s="174"/>
      <c r="AG82" s="174"/>
      <c r="AH82" s="174"/>
      <c r="AI82" s="174"/>
    </row>
    <row r="83" spans="1:35" s="166" customFormat="1" x14ac:dyDescent="0.25">
      <c r="J83" s="174"/>
      <c r="K83" s="174"/>
      <c r="L83" s="174"/>
      <c r="M83" s="174"/>
      <c r="N83" s="174"/>
      <c r="O83" s="174"/>
      <c r="P83" s="174"/>
      <c r="Q83" s="260"/>
      <c r="R83" s="261"/>
      <c r="S83" s="174"/>
      <c r="T83" s="174"/>
      <c r="U83" s="174"/>
      <c r="V83" s="174"/>
      <c r="W83" s="174"/>
      <c r="X83" s="174"/>
      <c r="Y83" s="174"/>
      <c r="Z83" s="174"/>
      <c r="AA83" s="174"/>
      <c r="AB83" s="174"/>
      <c r="AC83" s="174"/>
      <c r="AD83" s="174"/>
      <c r="AE83" s="174"/>
      <c r="AF83" s="174"/>
      <c r="AG83" s="174"/>
      <c r="AH83" s="174"/>
      <c r="AI83" s="174"/>
    </row>
    <row r="84" spans="1:35" s="166" customFormat="1" x14ac:dyDescent="0.25">
      <c r="A84" s="174"/>
      <c r="J84" s="174"/>
      <c r="K84" s="174"/>
      <c r="L84" s="174"/>
      <c r="M84" s="174"/>
      <c r="N84" s="174"/>
      <c r="O84" s="174"/>
      <c r="P84" s="174"/>
      <c r="Q84" s="260"/>
      <c r="R84" s="174"/>
      <c r="S84" s="174"/>
      <c r="T84" s="174"/>
      <c r="U84" s="174"/>
      <c r="V84" s="174"/>
      <c r="W84" s="174"/>
      <c r="X84" s="174"/>
      <c r="Y84" s="174"/>
      <c r="Z84" s="174"/>
      <c r="AA84" s="174"/>
      <c r="AB84" s="174"/>
      <c r="AC84" s="174"/>
      <c r="AD84" s="174"/>
      <c r="AE84" s="174"/>
      <c r="AF84" s="174"/>
      <c r="AG84" s="174"/>
      <c r="AH84" s="174"/>
      <c r="AI84" s="174"/>
    </row>
    <row r="85" spans="1:35" s="166" customFormat="1" x14ac:dyDescent="0.25">
      <c r="A85" s="174" t="s">
        <v>255</v>
      </c>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row>
    <row r="86" spans="1:35" s="243" customFormat="1" x14ac:dyDescent="0.25">
      <c r="A86" s="244" t="s">
        <v>256</v>
      </c>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row>
    <row r="87" spans="1:35" s="166" customFormat="1" x14ac:dyDescent="0.25">
      <c r="J87" s="174"/>
      <c r="K87" s="195"/>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row>
    <row r="88" spans="1:35" x14ac:dyDescent="0.25">
      <c r="K88" s="201"/>
      <c r="P88" s="174"/>
      <c r="Q88" s="174"/>
      <c r="R88" s="174"/>
      <c r="S88" s="174"/>
    </row>
    <row r="89" spans="1:35" ht="11.25" customHeight="1" x14ac:dyDescent="0.25">
      <c r="A89" s="166"/>
      <c r="K89" s="262">
        <f>+F54*S10/100</f>
        <v>0</v>
      </c>
      <c r="M89" s="262"/>
      <c r="N89" s="262"/>
      <c r="O89" s="262"/>
      <c r="P89" s="174"/>
      <c r="Q89" s="174"/>
      <c r="R89" s="174"/>
      <c r="S89" s="174"/>
    </row>
    <row r="90" spans="1:35" x14ac:dyDescent="0.25">
      <c r="K90" s="262">
        <f>+W11*F58</f>
        <v>0</v>
      </c>
      <c r="L90" s="263"/>
      <c r="P90" s="174"/>
      <c r="Q90" s="174"/>
      <c r="R90" s="174"/>
      <c r="S90" s="174"/>
    </row>
    <row r="91" spans="1:35" x14ac:dyDescent="0.25">
      <c r="P91" s="174"/>
      <c r="Q91" s="174"/>
      <c r="R91" s="174"/>
      <c r="S91" s="174"/>
    </row>
    <row r="92" spans="1:35" x14ac:dyDescent="0.25">
      <c r="J92" s="264"/>
    </row>
    <row r="93" spans="1:35" x14ac:dyDescent="0.25">
      <c r="J93" s="264"/>
    </row>
  </sheetData>
  <sheetProtection password="C6FB" sheet="1" selectLockedCells="1"/>
  <mergeCells count="43">
    <mergeCell ref="A55:C55"/>
    <mergeCell ref="A56:C56"/>
    <mergeCell ref="A58:C58"/>
    <mergeCell ref="A59:C59"/>
    <mergeCell ref="A60:I60"/>
    <mergeCell ref="A57:C57"/>
    <mergeCell ref="A54:C54"/>
    <mergeCell ref="A53:C53"/>
    <mergeCell ref="A32:B32"/>
    <mergeCell ref="G32:I32"/>
    <mergeCell ref="A33:I33"/>
    <mergeCell ref="A34:I34"/>
    <mergeCell ref="A39:B39"/>
    <mergeCell ref="D39:I39"/>
    <mergeCell ref="A43:I43"/>
    <mergeCell ref="A44:I49"/>
    <mergeCell ref="B50:I50"/>
    <mergeCell ref="A51:C51"/>
    <mergeCell ref="A52:C52"/>
    <mergeCell ref="A29:B29"/>
    <mergeCell ref="G29:I29"/>
    <mergeCell ref="A30:B30"/>
    <mergeCell ref="G30:I30"/>
    <mergeCell ref="A31:B31"/>
    <mergeCell ref="G31:I31"/>
    <mergeCell ref="A28:B28"/>
    <mergeCell ref="G28:I28"/>
    <mergeCell ref="E6:I9"/>
    <mergeCell ref="A11:D11"/>
    <mergeCell ref="A14:B14"/>
    <mergeCell ref="A15:B15"/>
    <mergeCell ref="A16:D16"/>
    <mergeCell ref="A18:B18"/>
    <mergeCell ref="A27:I27"/>
    <mergeCell ref="A22:B22"/>
    <mergeCell ref="A20:B20"/>
    <mergeCell ref="A24:I26"/>
    <mergeCell ref="B5:D5"/>
    <mergeCell ref="A1:G1"/>
    <mergeCell ref="H1:I1"/>
    <mergeCell ref="B2:D2"/>
    <mergeCell ref="B3:D3"/>
    <mergeCell ref="B4:D4"/>
  </mergeCells>
  <conditionalFormatting sqref="A39 D39">
    <cfRule type="containsText" dxfId="16" priority="21" operator="containsText" text="Invalid Inputs for Proper Baseline">
      <formula>NOT(ISERROR(SEARCH("Invalid Inputs for Proper Baseline",A39)))</formula>
    </cfRule>
  </conditionalFormatting>
  <conditionalFormatting sqref="B41:B42">
    <cfRule type="cellIs" dxfId="15" priority="20" operator="lessThan">
      <formula>0</formula>
    </cfRule>
  </conditionalFormatting>
  <conditionalFormatting sqref="G35">
    <cfRule type="containsText" dxfId="14" priority="19" operator="containsText" text="Adjusted Performance">
      <formula>NOT(ISERROR(SEARCH("Adjusted Performance",G35)))</formula>
    </cfRule>
  </conditionalFormatting>
  <conditionalFormatting sqref="P26 O13:O19 J28:J57 J1:J10 O11:P11 O21:O26 J21:J26">
    <cfRule type="containsText" dxfId="13" priority="18"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details.",J1)))</formula>
    </cfRule>
  </conditionalFormatting>
  <conditionalFormatting sqref="O20:P20">
    <cfRule type="containsText" dxfId="12" priority="16"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details.",O20)))</formula>
    </cfRule>
  </conditionalFormatting>
  <conditionalFormatting sqref="J20">
    <cfRule type="containsText" dxfId="11" priority="12"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details.",J20)))</formula>
    </cfRule>
  </conditionalFormatting>
  <conditionalFormatting sqref="J12:N18">
    <cfRule type="containsText" dxfId="10" priority="11"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details.",J12)))</formula>
    </cfRule>
  </conditionalFormatting>
  <conditionalFormatting sqref="J11:N11 J19:N19">
    <cfRule type="containsText" dxfId="9" priority="10"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details.",J11)))</formula>
    </cfRule>
  </conditionalFormatting>
  <conditionalFormatting sqref="I35">
    <cfRule type="containsText" dxfId="8" priority="6" operator="containsText" text="Adjusted Performance">
      <formula>NOT(ISERROR(SEARCH("Adjusted Performance",I35)))</formula>
    </cfRule>
  </conditionalFormatting>
  <conditionalFormatting sqref="L2:O4 L10:O10">
    <cfRule type="containsText" dxfId="7" priority="2"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details.",L2)))</formula>
    </cfRule>
  </conditionalFormatting>
  <conditionalFormatting sqref="L5:O5">
    <cfRule type="containsText" dxfId="6" priority="1" operator="containsText" text="A high $ per sq.ft. caused this project to surpass the incentive range as shown in the graph and has been adjusted accordingly. Please refer to statement below and discuss with your PSE representative for further details.">
      <formula>NOT(ISERROR(SEARCH("A high $ per sq.ft. caused this project to surpass the incentive range as shown in the graph and has been adjusted accordingly. Please refer to statement below and discuss with your PSE representative for further details.",L5)))</formula>
    </cfRule>
  </conditionalFormatting>
  <dataValidations count="5">
    <dataValidation type="whole" allowBlank="1" showInputMessage="1" showErrorMessage="1" errorTitle="INVALID!" error="Savings Input is greater than baseline energy use." sqref="C38">
      <formula1>0</formula1>
      <formula2>B42</formula2>
    </dataValidation>
    <dataValidation type="whole" allowBlank="1" showErrorMessage="1" errorTitle="INVALID!" error="Savings Input is greater than baseline energy use." promptTitle="INVALID!" prompt="Savings Input is greater than baseline energy use." sqref="D38">
      <formula1>0</formula1>
      <formula2>B41</formula2>
    </dataValidation>
    <dataValidation type="list" allowBlank="1" showInputMessage="1" showErrorMessage="1" sqref="A29:B32">
      <formula1>$A$65:$A$69</formula1>
    </dataValidation>
    <dataValidation errorStyle="warning" allowBlank="1" errorTitle="Out of Range " error="Input must be in decimal form ≥ 6% and &lt;100%." sqref="B37:B38"/>
    <dataValidation type="whole" errorStyle="warning" operator="equal" allowBlank="1" errorTitle="Out of Range " error="Input must be in decimal form ≥ 6% and &lt;100%." sqref="B36">
      <formula1>5</formula1>
    </dataValidation>
  </dataValidations>
  <pageMargins left="0.7" right="0.7" top="0.75" bottom="0.75" header="0.3" footer="0.3"/>
  <pageSetup scale="66"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Hidden!$M$14:$M$16</xm:f>
          </x14:formula1>
          <xm:sqref>D7</xm:sqref>
        </x14:dataValidation>
        <x14:dataValidation type="list" allowBlank="1" showInputMessage="1" showErrorMessage="1">
          <x14:formula1>
            <xm:f>Hidden!$M$2:$M$10</xm:f>
          </x14:formula1>
          <xm:sqref>B7</xm:sqref>
        </x14:dataValidation>
        <x14:dataValidation type="list" allowBlank="1" showInputMessage="1" showErrorMessage="1">
          <x14:formula1>
            <xm:f>Hidden!$A$3:$A$6</xm:f>
          </x14:formula1>
          <xm:sqref>B6</xm:sqref>
        </x14:dataValidation>
        <x14:dataValidation type="list" allowBlank="1" showInputMessage="1" showErrorMessage="1">
          <x14:formula1>
            <xm:f>Hidden!$I$25:$I$26</xm:f>
          </x14:formula1>
          <xm:sqref>A50</xm:sqref>
        </x14:dataValidation>
        <x14:dataValidation type="list" allowBlank="1" showInputMessage="1" showErrorMessage="1">
          <x14:formula1>
            <xm:f>Hidden!$D$9:$D$10</xm:f>
          </x14:formula1>
          <xm:sqref>F29:F32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5"/>
  <sheetViews>
    <sheetView view="pageLayout" topLeftCell="E65" zoomScale="75" zoomScaleNormal="100" zoomScalePageLayoutView="75" workbookViewId="0">
      <selection sqref="A1:F1"/>
    </sheetView>
  </sheetViews>
  <sheetFormatPr defaultColWidth="9.140625" defaultRowHeight="12.75" x14ac:dyDescent="0.2"/>
  <cols>
    <col min="1" max="1" width="6" style="91" customWidth="1"/>
    <col min="2" max="2" width="33.28515625" style="91" bestFit="1" customWidth="1"/>
    <col min="3" max="3" width="25.42578125" style="91" customWidth="1"/>
    <col min="4" max="4" width="20.140625" style="91" customWidth="1"/>
    <col min="5" max="5" width="10.28515625" style="91" customWidth="1"/>
    <col min="6" max="6" width="9.42578125" style="91" bestFit="1" customWidth="1"/>
    <col min="7" max="7" width="5.42578125" style="91" customWidth="1"/>
    <col min="8" max="8" width="13.28515625" style="91" customWidth="1"/>
    <col min="9" max="9" width="11.42578125" style="91" customWidth="1"/>
    <col min="10" max="11" width="13.140625" style="91" customWidth="1"/>
    <col min="12" max="12" width="12.28515625" style="91" customWidth="1"/>
    <col min="13" max="13" width="13" style="91" customWidth="1"/>
    <col min="14" max="14" width="12" style="91" customWidth="1"/>
    <col min="15" max="15" width="13.85546875" style="91" customWidth="1"/>
    <col min="16" max="16" width="11.85546875" style="91" customWidth="1"/>
    <col min="17" max="17" width="11.42578125" style="91" customWidth="1"/>
    <col min="18" max="18" width="11.28515625" style="91" customWidth="1"/>
    <col min="19" max="19" width="5.42578125" style="91" customWidth="1"/>
    <col min="20" max="20" width="5.140625" style="91" customWidth="1"/>
    <col min="21" max="21" width="8.140625" style="91" customWidth="1"/>
    <col min="22" max="22" width="3.85546875" style="91" customWidth="1"/>
    <col min="23" max="24" width="11.28515625" style="91" customWidth="1"/>
    <col min="25" max="25" width="16.140625" style="91" bestFit="1" customWidth="1"/>
    <col min="26" max="26" width="9.42578125" style="91" bestFit="1" customWidth="1"/>
    <col min="27" max="27" width="9.140625" style="91"/>
    <col min="28" max="28" width="12.5703125" style="91" bestFit="1" customWidth="1"/>
    <col min="29" max="16384" width="9.140625" style="91"/>
  </cols>
  <sheetData>
    <row r="1" spans="1:28" ht="20.25" customHeight="1" x14ac:dyDescent="0.3">
      <c r="A1" s="738"/>
      <c r="B1" s="738"/>
      <c r="C1" s="738"/>
      <c r="D1" s="738"/>
      <c r="E1" s="738"/>
      <c r="F1" s="738"/>
      <c r="G1" s="486"/>
      <c r="H1" s="486"/>
      <c r="I1" s="486"/>
      <c r="J1" s="486"/>
      <c r="K1" s="486"/>
      <c r="L1" s="486"/>
      <c r="M1" s="486"/>
      <c r="N1" s="739" t="s">
        <v>324</v>
      </c>
      <c r="O1" s="739"/>
      <c r="P1" s="360" t="s">
        <v>325</v>
      </c>
      <c r="Q1" s="361"/>
      <c r="R1" s="362"/>
      <c r="S1" s="363"/>
      <c r="T1" s="362"/>
      <c r="U1" s="362"/>
      <c r="V1" s="364"/>
      <c r="W1" s="365"/>
      <c r="X1" s="365"/>
    </row>
    <row r="2" spans="1:28" ht="6" customHeight="1" thickBot="1" x14ac:dyDescent="0.3">
      <c r="A2" s="350"/>
      <c r="B2" s="363"/>
      <c r="C2" s="363"/>
      <c r="D2" s="366"/>
      <c r="E2" s="367"/>
      <c r="F2" s="740"/>
      <c r="G2" s="740"/>
      <c r="H2" s="740"/>
      <c r="I2" s="740"/>
      <c r="J2" s="740"/>
      <c r="K2" s="740"/>
      <c r="L2" s="740"/>
      <c r="M2" s="740"/>
      <c r="N2" s="740"/>
      <c r="O2" s="740"/>
      <c r="P2" s="740"/>
      <c r="Q2" s="368"/>
      <c r="R2" s="363"/>
      <c r="S2" s="363"/>
      <c r="T2" s="363"/>
      <c r="U2" s="363"/>
      <c r="V2" s="369"/>
      <c r="W2" s="370"/>
      <c r="X2" s="370"/>
    </row>
    <row r="3" spans="1:28" ht="17.25" customHeight="1" thickBot="1" x14ac:dyDescent="0.25">
      <c r="A3" s="371"/>
      <c r="B3" s="372" t="s">
        <v>194</v>
      </c>
      <c r="C3" s="531"/>
      <c r="D3" s="373"/>
      <c r="E3" s="373"/>
      <c r="F3" s="373"/>
      <c r="G3" s="373"/>
      <c r="H3" s="373"/>
      <c r="I3" s="373"/>
      <c r="J3" s="373"/>
      <c r="K3" s="373"/>
      <c r="L3" s="374"/>
      <c r="M3" s="374"/>
      <c r="N3" s="372" t="s">
        <v>326</v>
      </c>
      <c r="O3" s="375" t="s">
        <v>327</v>
      </c>
      <c r="P3" s="376">
        <f>VLOOKUP(R3,[1]HiddenTables!G3:H13,2)</f>
        <v>7.2469000000000006E-2</v>
      </c>
      <c r="Q3" s="377" t="s">
        <v>328</v>
      </c>
      <c r="R3" s="741" t="s">
        <v>43</v>
      </c>
      <c r="S3" s="742"/>
      <c r="T3" s="742"/>
      <c r="U3" s="743"/>
      <c r="V3" s="378"/>
      <c r="W3" s="370"/>
      <c r="X3" s="370"/>
    </row>
    <row r="4" spans="1:28" ht="26.25" thickBot="1" x14ac:dyDescent="0.25">
      <c r="A4" s="379"/>
      <c r="B4" s="380"/>
      <c r="C4" s="381"/>
      <c r="D4" s="382"/>
      <c r="E4" s="382"/>
      <c r="F4" s="382"/>
      <c r="G4" s="382"/>
      <c r="H4" s="383" t="s">
        <v>329</v>
      </c>
      <c r="I4" s="383" t="s">
        <v>330</v>
      </c>
      <c r="J4" s="383" t="s">
        <v>331</v>
      </c>
      <c r="K4" s="383" t="s">
        <v>332</v>
      </c>
      <c r="L4" s="363"/>
      <c r="M4" s="363"/>
      <c r="N4" s="380"/>
      <c r="O4" s="384" t="s">
        <v>333</v>
      </c>
      <c r="P4" s="385">
        <f>VLOOKUP(R4,[1]HiddenTables!A14:B27,2)</f>
        <v>0.81859999999999999</v>
      </c>
      <c r="Q4" s="386" t="s">
        <v>328</v>
      </c>
      <c r="R4" s="744" t="s">
        <v>46</v>
      </c>
      <c r="S4" s="745"/>
      <c r="T4" s="745"/>
      <c r="U4" s="746"/>
      <c r="V4" s="378"/>
      <c r="W4" s="370"/>
      <c r="X4" s="370"/>
    </row>
    <row r="5" spans="1:28" ht="15.75" customHeight="1" thickBot="1" x14ac:dyDescent="0.25">
      <c r="A5" s="379"/>
      <c r="B5" s="380" t="s">
        <v>27</v>
      </c>
      <c r="C5" s="735"/>
      <c r="D5" s="736"/>
      <c r="E5" s="737"/>
      <c r="F5" s="382"/>
      <c r="G5" s="382"/>
      <c r="H5" s="500">
        <f>+W43</f>
        <v>73333.333333333343</v>
      </c>
      <c r="I5" s="500">
        <f>+SQRT(Y43)</f>
        <v>5270.4627669472984</v>
      </c>
      <c r="J5" s="500">
        <f>+Z43</f>
        <v>550</v>
      </c>
      <c r="K5" s="500">
        <f>+SQRT(AB43)</f>
        <v>16.666666666666668</v>
      </c>
      <c r="L5" s="363"/>
      <c r="M5" s="382"/>
      <c r="N5" s="382"/>
      <c r="O5" s="363"/>
      <c r="P5" s="363"/>
      <c r="Q5" s="363"/>
      <c r="R5" s="363"/>
      <c r="S5" s="363"/>
      <c r="T5" s="363"/>
      <c r="U5" s="387"/>
      <c r="V5" s="378"/>
      <c r="W5" s="370"/>
      <c r="X5" s="370"/>
    </row>
    <row r="6" spans="1:28" ht="15.75" customHeight="1" thickBot="1" x14ac:dyDescent="0.25">
      <c r="A6" s="388"/>
      <c r="B6" s="389" t="s">
        <v>420</v>
      </c>
      <c r="C6" s="715"/>
      <c r="D6" s="716"/>
      <c r="E6" s="716"/>
      <c r="F6" s="716"/>
      <c r="G6" s="390"/>
      <c r="H6" s="390"/>
      <c r="I6" s="390"/>
      <c r="J6" s="390"/>
      <c r="K6" s="390"/>
      <c r="L6" s="390"/>
      <c r="M6" s="390"/>
      <c r="N6" s="391"/>
      <c r="O6" s="391"/>
      <c r="P6" s="392"/>
      <c r="Q6" s="393" t="s">
        <v>328</v>
      </c>
      <c r="R6" s="717"/>
      <c r="S6" s="717"/>
      <c r="T6" s="717"/>
      <c r="U6" s="718"/>
      <c r="V6" s="378"/>
      <c r="W6" s="370"/>
      <c r="X6" s="370"/>
    </row>
    <row r="7" spans="1:28" ht="5.25" customHeight="1" thickBot="1" x14ac:dyDescent="0.25">
      <c r="A7" s="371"/>
      <c r="B7" s="394"/>
      <c r="C7" s="395"/>
      <c r="D7" s="395"/>
      <c r="E7" s="373"/>
      <c r="F7" s="373"/>
      <c r="G7" s="373"/>
      <c r="H7" s="373"/>
      <c r="I7" s="373"/>
      <c r="J7" s="373"/>
      <c r="K7" s="373"/>
      <c r="L7" s="373"/>
      <c r="M7" s="373"/>
      <c r="N7" s="375"/>
      <c r="O7" s="396"/>
      <c r="P7" s="373"/>
      <c r="Q7" s="373"/>
      <c r="R7" s="373"/>
      <c r="S7" s="373"/>
      <c r="T7" s="373"/>
      <c r="U7" s="397"/>
      <c r="V7" s="378"/>
      <c r="W7" s="370"/>
      <c r="X7" s="370"/>
    </row>
    <row r="8" spans="1:28" ht="15.75" customHeight="1" thickBot="1" x14ac:dyDescent="0.4">
      <c r="A8" s="398" t="s">
        <v>334</v>
      </c>
      <c r="B8" s="399"/>
      <c r="C8" s="363"/>
      <c r="D8" s="380" t="s">
        <v>336</v>
      </c>
      <c r="E8" s="532">
        <v>0.15</v>
      </c>
      <c r="I8" s="380"/>
      <c r="J8" s="380" t="s">
        <v>335</v>
      </c>
      <c r="K8" s="533">
        <v>150000</v>
      </c>
      <c r="L8" s="380"/>
      <c r="M8" s="380"/>
      <c r="N8" s="363"/>
      <c r="O8" s="380"/>
      <c r="P8" s="384"/>
      <c r="Q8" s="380" t="s">
        <v>337</v>
      </c>
      <c r="R8" s="719">
        <f>IF(ISBLANK(K8),"",K8*E8)</f>
        <v>22500</v>
      </c>
      <c r="S8" s="719"/>
      <c r="T8" s="719"/>
      <c r="U8" s="400"/>
      <c r="V8" s="378"/>
      <c r="W8" s="370"/>
      <c r="X8" s="370"/>
    </row>
    <row r="9" spans="1:28" ht="6.75" customHeight="1" thickBot="1" x14ac:dyDescent="0.25">
      <c r="A9" s="388"/>
      <c r="B9" s="389"/>
      <c r="C9" s="389"/>
      <c r="D9" s="389"/>
      <c r="E9" s="401"/>
      <c r="F9" s="391"/>
      <c r="G9" s="391"/>
      <c r="H9" s="391"/>
      <c r="I9" s="391"/>
      <c r="J9" s="391"/>
      <c r="K9" s="391"/>
      <c r="L9" s="391"/>
      <c r="M9" s="391"/>
      <c r="N9" s="389"/>
      <c r="O9" s="391"/>
      <c r="P9" s="391"/>
      <c r="Q9" s="391"/>
      <c r="R9" s="391"/>
      <c r="S9" s="391"/>
      <c r="T9" s="391"/>
      <c r="U9" s="402"/>
      <c r="V9" s="378"/>
      <c r="W9" s="370"/>
      <c r="X9" s="370"/>
    </row>
    <row r="10" spans="1:28" ht="6.75" customHeight="1" thickBot="1" x14ac:dyDescent="0.25">
      <c r="A10" s="403"/>
      <c r="B10" s="403"/>
      <c r="C10" s="403"/>
      <c r="D10" s="403"/>
      <c r="E10" s="403"/>
      <c r="F10" s="403"/>
      <c r="G10" s="403"/>
      <c r="H10" s="403"/>
      <c r="I10" s="403"/>
      <c r="J10" s="403"/>
      <c r="K10" s="403"/>
      <c r="L10" s="403"/>
      <c r="M10" s="403"/>
      <c r="N10" s="403"/>
      <c r="O10" s="403"/>
      <c r="P10" s="403"/>
      <c r="Q10" s="403"/>
      <c r="R10" s="403"/>
      <c r="S10" s="403"/>
      <c r="T10" s="403"/>
      <c r="U10" s="403"/>
      <c r="V10" s="378"/>
      <c r="W10" s="370"/>
      <c r="X10" s="370"/>
    </row>
    <row r="11" spans="1:28" ht="13.5" thickBot="1" x14ac:dyDescent="0.25">
      <c r="A11" s="720" t="s">
        <v>338</v>
      </c>
      <c r="B11" s="721"/>
      <c r="C11" s="721"/>
      <c r="D11" s="722"/>
      <c r="E11" s="723"/>
      <c r="F11" s="724" t="s">
        <v>339</v>
      </c>
      <c r="G11" s="725"/>
      <c r="H11" s="726"/>
      <c r="I11" s="726"/>
      <c r="J11" s="726"/>
      <c r="K11" s="726"/>
      <c r="L11" s="726"/>
      <c r="M11" s="726"/>
      <c r="N11" s="726"/>
      <c r="O11" s="726"/>
      <c r="P11" s="727"/>
      <c r="Q11" s="724" t="s">
        <v>340</v>
      </c>
      <c r="R11" s="725"/>
      <c r="S11" s="727"/>
      <c r="T11" s="725" t="s">
        <v>341</v>
      </c>
      <c r="U11" s="727"/>
      <c r="V11" s="378"/>
      <c r="W11" s="370"/>
      <c r="X11" s="370"/>
    </row>
    <row r="12" spans="1:28" ht="13.5" thickBot="1" x14ac:dyDescent="0.25">
      <c r="A12" s="404"/>
      <c r="B12" s="405"/>
      <c r="C12" s="405"/>
      <c r="D12" s="406"/>
      <c r="E12" s="407"/>
      <c r="F12" s="408"/>
      <c r="G12" s="409"/>
      <c r="H12" s="728" t="s">
        <v>342</v>
      </c>
      <c r="I12" s="726"/>
      <c r="J12" s="726"/>
      <c r="K12" s="729"/>
      <c r="L12" s="728" t="s">
        <v>343</v>
      </c>
      <c r="M12" s="726"/>
      <c r="N12" s="726"/>
      <c r="O12" s="729"/>
      <c r="P12" s="410"/>
      <c r="Q12" s="408"/>
      <c r="R12" s="409"/>
      <c r="S12" s="409"/>
      <c r="T12" s="409"/>
      <c r="U12" s="410"/>
      <c r="V12" s="378"/>
      <c r="W12" s="411" t="s">
        <v>344</v>
      </c>
      <c r="X12" s="412"/>
      <c r="Y12" s="413"/>
      <c r="Z12" s="414"/>
      <c r="AA12" s="411" t="s">
        <v>345</v>
      </c>
      <c r="AB12" s="413"/>
    </row>
    <row r="13" spans="1:28" ht="30" customHeight="1" thickBot="1" x14ac:dyDescent="0.25">
      <c r="A13" s="415" t="s">
        <v>346</v>
      </c>
      <c r="B13" s="485" t="s">
        <v>227</v>
      </c>
      <c r="C13" s="485" t="s">
        <v>347</v>
      </c>
      <c r="D13" s="730" t="s">
        <v>348</v>
      </c>
      <c r="E13" s="731"/>
      <c r="F13" s="416" t="s">
        <v>349</v>
      </c>
      <c r="G13" s="417" t="s">
        <v>350</v>
      </c>
      <c r="H13" s="418" t="s">
        <v>351</v>
      </c>
      <c r="I13" s="419" t="s">
        <v>352</v>
      </c>
      <c r="J13" s="420" t="s">
        <v>353</v>
      </c>
      <c r="K13" s="421" t="s">
        <v>354</v>
      </c>
      <c r="L13" s="418" t="s">
        <v>355</v>
      </c>
      <c r="M13" s="419" t="s">
        <v>356</v>
      </c>
      <c r="N13" s="420" t="s">
        <v>357</v>
      </c>
      <c r="O13" s="421" t="s">
        <v>358</v>
      </c>
      <c r="P13" s="422" t="s">
        <v>359</v>
      </c>
      <c r="Q13" s="423" t="s">
        <v>38</v>
      </c>
      <c r="R13" s="424" t="s">
        <v>360</v>
      </c>
      <c r="S13" s="425" t="s">
        <v>361</v>
      </c>
      <c r="T13" s="423" t="s">
        <v>361</v>
      </c>
      <c r="U13" s="426" t="s">
        <v>317</v>
      </c>
      <c r="V13" s="378"/>
      <c r="W13" s="427" t="s">
        <v>329</v>
      </c>
      <c r="X13" s="427" t="s">
        <v>362</v>
      </c>
      <c r="Y13" s="427" t="s">
        <v>363</v>
      </c>
      <c r="Z13" s="427" t="s">
        <v>331</v>
      </c>
      <c r="AA13" s="427" t="s">
        <v>362</v>
      </c>
      <c r="AB13" s="427" t="s">
        <v>363</v>
      </c>
    </row>
    <row r="14" spans="1:28" ht="30" customHeight="1" x14ac:dyDescent="0.2">
      <c r="A14" s="428"/>
      <c r="B14" s="521"/>
      <c r="C14" s="522"/>
      <c r="D14" s="732"/>
      <c r="E14" s="733"/>
      <c r="F14" s="501">
        <f>IF(OR(P14=0,Q14=0,P14="",Q14=""),"",Q14/P14)</f>
        <v>0.32525296549391286</v>
      </c>
      <c r="G14" s="534" t="s">
        <v>37</v>
      </c>
      <c r="H14" s="535">
        <v>10000</v>
      </c>
      <c r="I14" s="536">
        <v>20000</v>
      </c>
      <c r="J14" s="537">
        <v>15000</v>
      </c>
      <c r="K14" s="429">
        <f>+(I14+4*J14+H14)/6</f>
        <v>15000</v>
      </c>
      <c r="L14" s="535">
        <v>500</v>
      </c>
      <c r="M14" s="536">
        <v>600</v>
      </c>
      <c r="N14" s="537">
        <v>550</v>
      </c>
      <c r="O14" s="429">
        <f>+(M14+4*N14+L14)/6</f>
        <v>550</v>
      </c>
      <c r="P14" s="430">
        <f t="shared" ref="P14:P42" si="0">K14*$P$3+O14*$P$4</f>
        <v>1537.2650000000001</v>
      </c>
      <c r="Q14" s="549">
        <v>500</v>
      </c>
      <c r="R14" s="550"/>
      <c r="S14" s="551" t="s">
        <v>36</v>
      </c>
      <c r="T14" s="552"/>
      <c r="U14" s="553"/>
      <c r="V14" s="378"/>
      <c r="W14" s="431">
        <f>+IF(S14="","",IF(S14="y",K14))</f>
        <v>15000</v>
      </c>
      <c r="X14" s="431">
        <f>+IF(S14="","",IF(S14="y",(I14-H14)/6))</f>
        <v>1666.6666666666667</v>
      </c>
      <c r="Y14" s="431">
        <f>IF(X14="",,X14^2)</f>
        <v>2777777.777777778</v>
      </c>
      <c r="Z14" s="431">
        <f>+IF(S14="","",IF(S14="y",O14))</f>
        <v>550</v>
      </c>
      <c r="AA14" s="431">
        <f>+IF(S14="","",IF(S14="y",(M14-L14)/6))</f>
        <v>16.666666666666668</v>
      </c>
      <c r="AB14" s="431">
        <f>IF(AA14="",,AA14^2)</f>
        <v>277.77777777777783</v>
      </c>
    </row>
    <row r="15" spans="1:28" ht="30" customHeight="1" x14ac:dyDescent="0.2">
      <c r="A15" s="432"/>
      <c r="B15" s="523"/>
      <c r="C15" s="524"/>
      <c r="D15" s="714"/>
      <c r="E15" s="734"/>
      <c r="F15" s="433" t="str">
        <f>IF(OR(P15=0,Q15=0,P15="",Q15=""),"",Q15/P15)</f>
        <v/>
      </c>
      <c r="G15" s="538" t="s">
        <v>37</v>
      </c>
      <c r="H15" s="539">
        <v>50000</v>
      </c>
      <c r="I15" s="540">
        <v>80000</v>
      </c>
      <c r="J15" s="541">
        <v>55000</v>
      </c>
      <c r="K15" s="434">
        <f t="shared" ref="K15:K42" si="1">+(I15+4*J15+H15)/6</f>
        <v>58333.333333333336</v>
      </c>
      <c r="L15" s="539"/>
      <c r="M15" s="540"/>
      <c r="N15" s="541"/>
      <c r="O15" s="434">
        <f t="shared" ref="O15:O42" si="2">+(M15+4*N15+L15)/6</f>
        <v>0</v>
      </c>
      <c r="P15" s="430">
        <f t="shared" si="0"/>
        <v>4227.3583333333336</v>
      </c>
      <c r="Q15" s="554"/>
      <c r="R15" s="555"/>
      <c r="S15" s="556" t="s">
        <v>36</v>
      </c>
      <c r="T15" s="557"/>
      <c r="U15" s="558"/>
      <c r="V15" s="378"/>
      <c r="W15" s="431">
        <f t="shared" ref="W15:W42" si="3">+IF(S15="","",IF(S15="y",K15))</f>
        <v>58333.333333333336</v>
      </c>
      <c r="X15" s="431">
        <f t="shared" ref="X15:X42" si="4">+IF(S15="","",IF(S15="y",(I15-H15)/6))</f>
        <v>5000</v>
      </c>
      <c r="Y15" s="431">
        <f t="shared" ref="Y15:Y42" si="5">IF(X15="",,X15^2)</f>
        <v>25000000</v>
      </c>
      <c r="Z15" s="431">
        <f t="shared" ref="Z15:Z42" si="6">+IF(S15="","",IF(S15="y",O15))</f>
        <v>0</v>
      </c>
      <c r="AA15" s="431">
        <f t="shared" ref="AA15:AA42" si="7">+IF(S15="","",IF(S15="y",(M15-L15)/6))</f>
        <v>0</v>
      </c>
      <c r="AB15" s="431">
        <f t="shared" ref="AB15:AB42" si="8">IF(AA15="",,AA15^2)</f>
        <v>0</v>
      </c>
    </row>
    <row r="16" spans="1:28" ht="30" customHeight="1" x14ac:dyDescent="0.2">
      <c r="A16" s="435"/>
      <c r="B16" s="523"/>
      <c r="C16" s="524"/>
      <c r="D16" s="714"/>
      <c r="E16" s="708"/>
      <c r="F16" s="433" t="str">
        <f t="shared" ref="F16:F41" si="9">IF(OR(P16=0,Q16=0,P16="",Q16=""),"",Q16/P16)</f>
        <v/>
      </c>
      <c r="G16" s="538"/>
      <c r="H16" s="539">
        <v>20000</v>
      </c>
      <c r="I16" s="540">
        <v>100000</v>
      </c>
      <c r="J16" s="541">
        <v>90000</v>
      </c>
      <c r="K16" s="434">
        <f t="shared" si="1"/>
        <v>80000</v>
      </c>
      <c r="L16" s="539"/>
      <c r="M16" s="540"/>
      <c r="N16" s="548"/>
      <c r="O16" s="434">
        <f t="shared" si="2"/>
        <v>0</v>
      </c>
      <c r="P16" s="430">
        <f t="shared" si="0"/>
        <v>5797.52</v>
      </c>
      <c r="Q16" s="559"/>
      <c r="R16" s="555"/>
      <c r="S16" s="556"/>
      <c r="T16" s="557"/>
      <c r="U16" s="558"/>
      <c r="V16" s="436"/>
      <c r="W16" s="431" t="str">
        <f t="shared" si="3"/>
        <v/>
      </c>
      <c r="X16" s="431" t="str">
        <f t="shared" si="4"/>
        <v/>
      </c>
      <c r="Y16" s="431">
        <f t="shared" si="5"/>
        <v>0</v>
      </c>
      <c r="Z16" s="431" t="str">
        <f t="shared" si="6"/>
        <v/>
      </c>
      <c r="AA16" s="431" t="str">
        <f t="shared" si="7"/>
        <v/>
      </c>
      <c r="AB16" s="431">
        <f t="shared" si="8"/>
        <v>0</v>
      </c>
    </row>
    <row r="17" spans="1:28" ht="30" customHeight="1" x14ac:dyDescent="0.2">
      <c r="A17" s="435"/>
      <c r="B17" s="523"/>
      <c r="C17" s="524"/>
      <c r="D17" s="714"/>
      <c r="E17" s="708"/>
      <c r="F17" s="433" t="str">
        <f t="shared" si="9"/>
        <v/>
      </c>
      <c r="G17" s="538"/>
      <c r="H17" s="539"/>
      <c r="I17" s="540"/>
      <c r="J17" s="541"/>
      <c r="K17" s="434">
        <f t="shared" si="1"/>
        <v>0</v>
      </c>
      <c r="L17" s="539"/>
      <c r="M17" s="540"/>
      <c r="N17" s="541"/>
      <c r="O17" s="434">
        <f t="shared" si="2"/>
        <v>0</v>
      </c>
      <c r="P17" s="430">
        <f t="shared" si="0"/>
        <v>0</v>
      </c>
      <c r="Q17" s="559"/>
      <c r="R17" s="555"/>
      <c r="S17" s="556"/>
      <c r="T17" s="557"/>
      <c r="U17" s="558"/>
      <c r="V17" s="436"/>
      <c r="W17" s="431" t="str">
        <f t="shared" si="3"/>
        <v/>
      </c>
      <c r="X17" s="431" t="str">
        <f t="shared" si="4"/>
        <v/>
      </c>
      <c r="Y17" s="431">
        <f t="shared" si="5"/>
        <v>0</v>
      </c>
      <c r="Z17" s="431" t="str">
        <f t="shared" si="6"/>
        <v/>
      </c>
      <c r="AA17" s="431" t="str">
        <f t="shared" si="7"/>
        <v/>
      </c>
      <c r="AB17" s="431">
        <f t="shared" si="8"/>
        <v>0</v>
      </c>
    </row>
    <row r="18" spans="1:28" ht="30" customHeight="1" x14ac:dyDescent="0.2">
      <c r="A18" s="435"/>
      <c r="B18" s="525"/>
      <c r="C18" s="526"/>
      <c r="D18" s="707"/>
      <c r="E18" s="708"/>
      <c r="F18" s="433" t="str">
        <f t="shared" si="9"/>
        <v/>
      </c>
      <c r="G18" s="542"/>
      <c r="H18" s="539"/>
      <c r="I18" s="540"/>
      <c r="J18" s="541"/>
      <c r="K18" s="434">
        <f t="shared" si="1"/>
        <v>0</v>
      </c>
      <c r="L18" s="539"/>
      <c r="M18" s="540"/>
      <c r="N18" s="541"/>
      <c r="O18" s="434">
        <f t="shared" si="2"/>
        <v>0</v>
      </c>
      <c r="P18" s="430">
        <f t="shared" si="0"/>
        <v>0</v>
      </c>
      <c r="Q18" s="559"/>
      <c r="R18" s="555"/>
      <c r="S18" s="556"/>
      <c r="T18" s="557"/>
      <c r="U18" s="558"/>
      <c r="V18" s="436"/>
      <c r="W18" s="431" t="str">
        <f t="shared" si="3"/>
        <v/>
      </c>
      <c r="X18" s="431" t="str">
        <f t="shared" si="4"/>
        <v/>
      </c>
      <c r="Y18" s="431">
        <f t="shared" si="5"/>
        <v>0</v>
      </c>
      <c r="Z18" s="431" t="str">
        <f t="shared" si="6"/>
        <v/>
      </c>
      <c r="AA18" s="431" t="str">
        <f t="shared" si="7"/>
        <v/>
      </c>
      <c r="AB18" s="431">
        <f t="shared" si="8"/>
        <v>0</v>
      </c>
    </row>
    <row r="19" spans="1:28" ht="30" customHeight="1" x14ac:dyDescent="0.2">
      <c r="A19" s="432"/>
      <c r="B19" s="527"/>
      <c r="C19" s="527"/>
      <c r="D19" s="705"/>
      <c r="E19" s="706"/>
      <c r="F19" s="433" t="str">
        <f t="shared" si="9"/>
        <v/>
      </c>
      <c r="G19" s="543"/>
      <c r="H19" s="539"/>
      <c r="I19" s="540"/>
      <c r="J19" s="541"/>
      <c r="K19" s="434">
        <f t="shared" si="1"/>
        <v>0</v>
      </c>
      <c r="L19" s="539"/>
      <c r="M19" s="540"/>
      <c r="N19" s="541"/>
      <c r="O19" s="434">
        <f t="shared" si="2"/>
        <v>0</v>
      </c>
      <c r="P19" s="430">
        <f t="shared" si="0"/>
        <v>0</v>
      </c>
      <c r="Q19" s="560"/>
      <c r="R19" s="561"/>
      <c r="S19" s="556"/>
      <c r="T19" s="557"/>
      <c r="U19" s="562"/>
      <c r="V19" s="436"/>
      <c r="W19" s="431" t="str">
        <f t="shared" si="3"/>
        <v/>
      </c>
      <c r="X19" s="431" t="str">
        <f t="shared" si="4"/>
        <v/>
      </c>
      <c r="Y19" s="431">
        <f t="shared" si="5"/>
        <v>0</v>
      </c>
      <c r="Z19" s="431" t="str">
        <f t="shared" si="6"/>
        <v/>
      </c>
      <c r="AA19" s="431" t="str">
        <f t="shared" si="7"/>
        <v/>
      </c>
      <c r="AB19" s="431">
        <f t="shared" si="8"/>
        <v>0</v>
      </c>
    </row>
    <row r="20" spans="1:28" ht="30" customHeight="1" x14ac:dyDescent="0.2">
      <c r="A20" s="432"/>
      <c r="B20" s="525"/>
      <c r="C20" s="526"/>
      <c r="D20" s="707"/>
      <c r="E20" s="708"/>
      <c r="F20" s="433" t="str">
        <f t="shared" si="9"/>
        <v/>
      </c>
      <c r="G20" s="542"/>
      <c r="H20" s="539"/>
      <c r="I20" s="540"/>
      <c r="J20" s="541"/>
      <c r="K20" s="434">
        <f t="shared" si="1"/>
        <v>0</v>
      </c>
      <c r="L20" s="539"/>
      <c r="M20" s="540"/>
      <c r="N20" s="541"/>
      <c r="O20" s="434">
        <f t="shared" si="2"/>
        <v>0</v>
      </c>
      <c r="P20" s="430">
        <f t="shared" si="0"/>
        <v>0</v>
      </c>
      <c r="Q20" s="554"/>
      <c r="R20" s="555"/>
      <c r="S20" s="556"/>
      <c r="T20" s="557"/>
      <c r="U20" s="558"/>
      <c r="W20" s="431" t="str">
        <f t="shared" si="3"/>
        <v/>
      </c>
      <c r="X20" s="431" t="str">
        <f t="shared" si="4"/>
        <v/>
      </c>
      <c r="Y20" s="431">
        <f t="shared" si="5"/>
        <v>0</v>
      </c>
      <c r="Z20" s="431" t="str">
        <f t="shared" si="6"/>
        <v/>
      </c>
      <c r="AA20" s="431" t="str">
        <f t="shared" si="7"/>
        <v/>
      </c>
      <c r="AB20" s="431">
        <f t="shared" si="8"/>
        <v>0</v>
      </c>
    </row>
    <row r="21" spans="1:28" ht="30" customHeight="1" x14ac:dyDescent="0.2">
      <c r="A21" s="432"/>
      <c r="B21" s="525"/>
      <c r="C21" s="526"/>
      <c r="D21" s="526"/>
      <c r="E21" s="528"/>
      <c r="F21" s="433" t="str">
        <f t="shared" si="9"/>
        <v/>
      </c>
      <c r="G21" s="542"/>
      <c r="H21" s="539"/>
      <c r="I21" s="540"/>
      <c r="J21" s="541"/>
      <c r="K21" s="434">
        <f t="shared" si="1"/>
        <v>0</v>
      </c>
      <c r="L21" s="539"/>
      <c r="M21" s="540"/>
      <c r="N21" s="541"/>
      <c r="O21" s="434">
        <f t="shared" si="2"/>
        <v>0</v>
      </c>
      <c r="P21" s="430">
        <f t="shared" si="0"/>
        <v>0</v>
      </c>
      <c r="Q21" s="554"/>
      <c r="R21" s="555"/>
      <c r="S21" s="556"/>
      <c r="T21" s="557"/>
      <c r="U21" s="558"/>
      <c r="W21" s="431" t="str">
        <f t="shared" si="3"/>
        <v/>
      </c>
      <c r="X21" s="431" t="str">
        <f t="shared" si="4"/>
        <v/>
      </c>
      <c r="Y21" s="431">
        <f t="shared" si="5"/>
        <v>0</v>
      </c>
      <c r="Z21" s="431" t="str">
        <f t="shared" si="6"/>
        <v/>
      </c>
      <c r="AA21" s="431" t="str">
        <f t="shared" si="7"/>
        <v/>
      </c>
      <c r="AB21" s="431">
        <f t="shared" si="8"/>
        <v>0</v>
      </c>
    </row>
    <row r="22" spans="1:28" ht="30" customHeight="1" x14ac:dyDescent="0.2">
      <c r="A22" s="432"/>
      <c r="B22" s="525"/>
      <c r="C22" s="526"/>
      <c r="D22" s="526"/>
      <c r="E22" s="528"/>
      <c r="F22" s="433" t="str">
        <f t="shared" si="9"/>
        <v/>
      </c>
      <c r="G22" s="542"/>
      <c r="H22" s="539"/>
      <c r="I22" s="540"/>
      <c r="J22" s="541"/>
      <c r="K22" s="434">
        <f t="shared" si="1"/>
        <v>0</v>
      </c>
      <c r="L22" s="539"/>
      <c r="M22" s="540"/>
      <c r="N22" s="541"/>
      <c r="O22" s="434">
        <f t="shared" si="2"/>
        <v>0</v>
      </c>
      <c r="P22" s="430">
        <f t="shared" si="0"/>
        <v>0</v>
      </c>
      <c r="Q22" s="554"/>
      <c r="R22" s="555"/>
      <c r="S22" s="556"/>
      <c r="T22" s="557"/>
      <c r="U22" s="558"/>
      <c r="W22" s="431" t="str">
        <f t="shared" si="3"/>
        <v/>
      </c>
      <c r="X22" s="431" t="str">
        <f t="shared" si="4"/>
        <v/>
      </c>
      <c r="Y22" s="431">
        <f t="shared" si="5"/>
        <v>0</v>
      </c>
      <c r="Z22" s="431" t="str">
        <f t="shared" si="6"/>
        <v/>
      </c>
      <c r="AA22" s="431" t="str">
        <f t="shared" si="7"/>
        <v/>
      </c>
      <c r="AB22" s="431">
        <f t="shared" si="8"/>
        <v>0</v>
      </c>
    </row>
    <row r="23" spans="1:28" ht="30" customHeight="1" x14ac:dyDescent="0.2">
      <c r="A23" s="432"/>
      <c r="B23" s="525"/>
      <c r="C23" s="526"/>
      <c r="D23" s="526"/>
      <c r="E23" s="528"/>
      <c r="F23" s="433" t="str">
        <f t="shared" si="9"/>
        <v/>
      </c>
      <c r="G23" s="542"/>
      <c r="H23" s="539"/>
      <c r="I23" s="540"/>
      <c r="J23" s="541"/>
      <c r="K23" s="434">
        <f t="shared" si="1"/>
        <v>0</v>
      </c>
      <c r="L23" s="539"/>
      <c r="M23" s="540"/>
      <c r="N23" s="541"/>
      <c r="O23" s="434">
        <f t="shared" si="2"/>
        <v>0</v>
      </c>
      <c r="P23" s="430">
        <f t="shared" si="0"/>
        <v>0</v>
      </c>
      <c r="Q23" s="554"/>
      <c r="R23" s="555"/>
      <c r="S23" s="556"/>
      <c r="T23" s="557"/>
      <c r="U23" s="558"/>
      <c r="W23" s="431" t="str">
        <f t="shared" si="3"/>
        <v/>
      </c>
      <c r="X23" s="431" t="str">
        <f t="shared" si="4"/>
        <v/>
      </c>
      <c r="Y23" s="431">
        <f t="shared" si="5"/>
        <v>0</v>
      </c>
      <c r="Z23" s="431" t="str">
        <f t="shared" si="6"/>
        <v/>
      </c>
      <c r="AA23" s="431" t="str">
        <f t="shared" si="7"/>
        <v/>
      </c>
      <c r="AB23" s="431">
        <f t="shared" si="8"/>
        <v>0</v>
      </c>
    </row>
    <row r="24" spans="1:28" ht="30" customHeight="1" x14ac:dyDescent="0.2">
      <c r="A24" s="432"/>
      <c r="B24" s="525"/>
      <c r="C24" s="526"/>
      <c r="D24" s="526"/>
      <c r="E24" s="528"/>
      <c r="F24" s="433" t="str">
        <f t="shared" si="9"/>
        <v/>
      </c>
      <c r="G24" s="542"/>
      <c r="H24" s="539"/>
      <c r="I24" s="540"/>
      <c r="J24" s="541"/>
      <c r="K24" s="434">
        <f t="shared" si="1"/>
        <v>0</v>
      </c>
      <c r="L24" s="539"/>
      <c r="M24" s="540"/>
      <c r="N24" s="541"/>
      <c r="O24" s="434">
        <f t="shared" si="2"/>
        <v>0</v>
      </c>
      <c r="P24" s="430">
        <f t="shared" si="0"/>
        <v>0</v>
      </c>
      <c r="Q24" s="554"/>
      <c r="R24" s="555"/>
      <c r="S24" s="556"/>
      <c r="T24" s="557"/>
      <c r="U24" s="558"/>
      <c r="W24" s="431" t="str">
        <f t="shared" si="3"/>
        <v/>
      </c>
      <c r="X24" s="431" t="str">
        <f t="shared" si="4"/>
        <v/>
      </c>
      <c r="Y24" s="431">
        <f t="shared" si="5"/>
        <v>0</v>
      </c>
      <c r="Z24" s="431" t="str">
        <f t="shared" si="6"/>
        <v/>
      </c>
      <c r="AA24" s="431" t="str">
        <f t="shared" si="7"/>
        <v/>
      </c>
      <c r="AB24" s="431">
        <f t="shared" si="8"/>
        <v>0</v>
      </c>
    </row>
    <row r="25" spans="1:28" ht="30" customHeight="1" x14ac:dyDescent="0.2">
      <c r="A25" s="432"/>
      <c r="B25" s="525"/>
      <c r="C25" s="526"/>
      <c r="D25" s="526"/>
      <c r="E25" s="528"/>
      <c r="F25" s="433" t="str">
        <f t="shared" si="9"/>
        <v/>
      </c>
      <c r="G25" s="542"/>
      <c r="H25" s="539"/>
      <c r="I25" s="540"/>
      <c r="J25" s="541"/>
      <c r="K25" s="434">
        <f t="shared" si="1"/>
        <v>0</v>
      </c>
      <c r="L25" s="539"/>
      <c r="M25" s="540"/>
      <c r="N25" s="541"/>
      <c r="O25" s="434">
        <f t="shared" si="2"/>
        <v>0</v>
      </c>
      <c r="P25" s="430">
        <f t="shared" si="0"/>
        <v>0</v>
      </c>
      <c r="Q25" s="554"/>
      <c r="R25" s="555"/>
      <c r="S25" s="556"/>
      <c r="T25" s="557"/>
      <c r="U25" s="558"/>
      <c r="W25" s="431" t="str">
        <f t="shared" si="3"/>
        <v/>
      </c>
      <c r="X25" s="431" t="str">
        <f t="shared" si="4"/>
        <v/>
      </c>
      <c r="Y25" s="431">
        <f t="shared" si="5"/>
        <v>0</v>
      </c>
      <c r="Z25" s="431" t="str">
        <f t="shared" si="6"/>
        <v/>
      </c>
      <c r="AA25" s="431" t="str">
        <f t="shared" si="7"/>
        <v/>
      </c>
      <c r="AB25" s="431">
        <f t="shared" si="8"/>
        <v>0</v>
      </c>
    </row>
    <row r="26" spans="1:28" ht="30" customHeight="1" x14ac:dyDescent="0.2">
      <c r="A26" s="432"/>
      <c r="B26" s="525"/>
      <c r="C26" s="526"/>
      <c r="D26" s="526"/>
      <c r="E26" s="528"/>
      <c r="F26" s="433" t="str">
        <f t="shared" si="9"/>
        <v/>
      </c>
      <c r="G26" s="542"/>
      <c r="H26" s="539"/>
      <c r="I26" s="540"/>
      <c r="J26" s="541"/>
      <c r="K26" s="434">
        <f t="shared" si="1"/>
        <v>0</v>
      </c>
      <c r="L26" s="539"/>
      <c r="M26" s="540"/>
      <c r="N26" s="541"/>
      <c r="O26" s="434">
        <f t="shared" si="2"/>
        <v>0</v>
      </c>
      <c r="P26" s="430">
        <f t="shared" si="0"/>
        <v>0</v>
      </c>
      <c r="Q26" s="554"/>
      <c r="R26" s="555"/>
      <c r="S26" s="556"/>
      <c r="T26" s="557"/>
      <c r="U26" s="558"/>
      <c r="W26" s="431" t="str">
        <f t="shared" si="3"/>
        <v/>
      </c>
      <c r="X26" s="431" t="str">
        <f t="shared" si="4"/>
        <v/>
      </c>
      <c r="Y26" s="431">
        <f t="shared" si="5"/>
        <v>0</v>
      </c>
      <c r="Z26" s="431" t="str">
        <f t="shared" si="6"/>
        <v/>
      </c>
      <c r="AA26" s="431" t="str">
        <f t="shared" si="7"/>
        <v/>
      </c>
      <c r="AB26" s="431">
        <f t="shared" si="8"/>
        <v>0</v>
      </c>
    </row>
    <row r="27" spans="1:28" ht="30" customHeight="1" x14ac:dyDescent="0.2">
      <c r="A27" s="432"/>
      <c r="B27" s="525"/>
      <c r="C27" s="526"/>
      <c r="D27" s="526"/>
      <c r="E27" s="528"/>
      <c r="F27" s="433" t="str">
        <f t="shared" si="9"/>
        <v/>
      </c>
      <c r="G27" s="542"/>
      <c r="H27" s="539"/>
      <c r="I27" s="540"/>
      <c r="J27" s="541"/>
      <c r="K27" s="434">
        <f t="shared" si="1"/>
        <v>0</v>
      </c>
      <c r="L27" s="539"/>
      <c r="M27" s="540"/>
      <c r="N27" s="541"/>
      <c r="O27" s="434">
        <f t="shared" si="2"/>
        <v>0</v>
      </c>
      <c r="P27" s="430">
        <f t="shared" si="0"/>
        <v>0</v>
      </c>
      <c r="Q27" s="554"/>
      <c r="R27" s="555"/>
      <c r="S27" s="556"/>
      <c r="T27" s="557"/>
      <c r="U27" s="558"/>
      <c r="W27" s="431" t="str">
        <f t="shared" si="3"/>
        <v/>
      </c>
      <c r="X27" s="431" t="str">
        <f t="shared" si="4"/>
        <v/>
      </c>
      <c r="Y27" s="431">
        <f t="shared" si="5"/>
        <v>0</v>
      </c>
      <c r="Z27" s="431" t="str">
        <f t="shared" si="6"/>
        <v/>
      </c>
      <c r="AA27" s="431" t="str">
        <f t="shared" si="7"/>
        <v/>
      </c>
      <c r="AB27" s="431">
        <f t="shared" si="8"/>
        <v>0</v>
      </c>
    </row>
    <row r="28" spans="1:28" ht="30" customHeight="1" x14ac:dyDescent="0.2">
      <c r="A28" s="432"/>
      <c r="B28" s="525"/>
      <c r="C28" s="526"/>
      <c r="D28" s="526"/>
      <c r="E28" s="528"/>
      <c r="F28" s="433" t="str">
        <f t="shared" si="9"/>
        <v/>
      </c>
      <c r="G28" s="542"/>
      <c r="H28" s="539"/>
      <c r="I28" s="540"/>
      <c r="J28" s="541"/>
      <c r="K28" s="434">
        <f t="shared" si="1"/>
        <v>0</v>
      </c>
      <c r="L28" s="539"/>
      <c r="M28" s="540"/>
      <c r="N28" s="541"/>
      <c r="O28" s="434">
        <f t="shared" si="2"/>
        <v>0</v>
      </c>
      <c r="P28" s="430">
        <f t="shared" si="0"/>
        <v>0</v>
      </c>
      <c r="Q28" s="554"/>
      <c r="R28" s="555"/>
      <c r="S28" s="556"/>
      <c r="T28" s="557"/>
      <c r="U28" s="558"/>
      <c r="W28" s="431" t="str">
        <f t="shared" si="3"/>
        <v/>
      </c>
      <c r="X28" s="431" t="str">
        <f t="shared" si="4"/>
        <v/>
      </c>
      <c r="Y28" s="431">
        <f t="shared" si="5"/>
        <v>0</v>
      </c>
      <c r="Z28" s="431" t="str">
        <f t="shared" si="6"/>
        <v/>
      </c>
      <c r="AA28" s="431" t="str">
        <f t="shared" si="7"/>
        <v/>
      </c>
      <c r="AB28" s="431">
        <f t="shared" si="8"/>
        <v>0</v>
      </c>
    </row>
    <row r="29" spans="1:28" ht="30" customHeight="1" x14ac:dyDescent="0.2">
      <c r="A29" s="432"/>
      <c r="B29" s="525"/>
      <c r="C29" s="526"/>
      <c r="D29" s="526"/>
      <c r="E29" s="528"/>
      <c r="F29" s="433" t="str">
        <f t="shared" si="9"/>
        <v/>
      </c>
      <c r="G29" s="542"/>
      <c r="H29" s="539"/>
      <c r="I29" s="540"/>
      <c r="J29" s="541"/>
      <c r="K29" s="434">
        <f t="shared" si="1"/>
        <v>0</v>
      </c>
      <c r="L29" s="539"/>
      <c r="M29" s="540"/>
      <c r="N29" s="541"/>
      <c r="O29" s="434">
        <f t="shared" si="2"/>
        <v>0</v>
      </c>
      <c r="P29" s="430">
        <f t="shared" si="0"/>
        <v>0</v>
      </c>
      <c r="Q29" s="554"/>
      <c r="R29" s="555"/>
      <c r="S29" s="556"/>
      <c r="T29" s="557"/>
      <c r="U29" s="558"/>
      <c r="W29" s="431" t="str">
        <f t="shared" si="3"/>
        <v/>
      </c>
      <c r="X29" s="431" t="str">
        <f t="shared" si="4"/>
        <v/>
      </c>
      <c r="Y29" s="431">
        <f t="shared" si="5"/>
        <v>0</v>
      </c>
      <c r="Z29" s="431" t="str">
        <f t="shared" si="6"/>
        <v/>
      </c>
      <c r="AA29" s="431" t="str">
        <f t="shared" si="7"/>
        <v/>
      </c>
      <c r="AB29" s="431">
        <f t="shared" si="8"/>
        <v>0</v>
      </c>
    </row>
    <row r="30" spans="1:28" ht="30" customHeight="1" x14ac:dyDescent="0.2">
      <c r="A30" s="435"/>
      <c r="B30" s="525"/>
      <c r="C30" s="526"/>
      <c r="D30" s="707"/>
      <c r="E30" s="708"/>
      <c r="F30" s="433" t="str">
        <f t="shared" si="9"/>
        <v/>
      </c>
      <c r="G30" s="542"/>
      <c r="H30" s="539"/>
      <c r="I30" s="540"/>
      <c r="J30" s="541"/>
      <c r="K30" s="434">
        <f t="shared" si="1"/>
        <v>0</v>
      </c>
      <c r="L30" s="539"/>
      <c r="M30" s="540"/>
      <c r="N30" s="541"/>
      <c r="O30" s="434">
        <f t="shared" si="2"/>
        <v>0</v>
      </c>
      <c r="P30" s="430">
        <f t="shared" si="0"/>
        <v>0</v>
      </c>
      <c r="Q30" s="559"/>
      <c r="R30" s="555"/>
      <c r="S30" s="556"/>
      <c r="T30" s="557"/>
      <c r="U30" s="558"/>
      <c r="W30" s="431" t="str">
        <f t="shared" si="3"/>
        <v/>
      </c>
      <c r="X30" s="431" t="str">
        <f t="shared" si="4"/>
        <v/>
      </c>
      <c r="Y30" s="431">
        <f t="shared" si="5"/>
        <v>0</v>
      </c>
      <c r="Z30" s="431" t="str">
        <f t="shared" si="6"/>
        <v/>
      </c>
      <c r="AA30" s="431" t="str">
        <f t="shared" si="7"/>
        <v/>
      </c>
      <c r="AB30" s="431">
        <f t="shared" si="8"/>
        <v>0</v>
      </c>
    </row>
    <row r="31" spans="1:28" ht="30" customHeight="1" x14ac:dyDescent="0.2">
      <c r="A31" s="435"/>
      <c r="B31" s="525"/>
      <c r="C31" s="526"/>
      <c r="D31" s="707"/>
      <c r="E31" s="708"/>
      <c r="F31" s="433" t="str">
        <f t="shared" si="9"/>
        <v/>
      </c>
      <c r="G31" s="542"/>
      <c r="H31" s="539"/>
      <c r="I31" s="540"/>
      <c r="J31" s="541"/>
      <c r="K31" s="434">
        <f t="shared" si="1"/>
        <v>0</v>
      </c>
      <c r="L31" s="539"/>
      <c r="M31" s="540"/>
      <c r="N31" s="541"/>
      <c r="O31" s="434">
        <f t="shared" si="2"/>
        <v>0</v>
      </c>
      <c r="P31" s="430">
        <f t="shared" si="0"/>
        <v>0</v>
      </c>
      <c r="Q31" s="559"/>
      <c r="R31" s="555"/>
      <c r="S31" s="556"/>
      <c r="T31" s="557"/>
      <c r="U31" s="558"/>
      <c r="W31" s="431" t="str">
        <f t="shared" si="3"/>
        <v/>
      </c>
      <c r="X31" s="431" t="str">
        <f t="shared" si="4"/>
        <v/>
      </c>
      <c r="Y31" s="431">
        <f t="shared" si="5"/>
        <v>0</v>
      </c>
      <c r="Z31" s="431" t="str">
        <f t="shared" si="6"/>
        <v/>
      </c>
      <c r="AA31" s="431" t="str">
        <f t="shared" si="7"/>
        <v/>
      </c>
      <c r="AB31" s="431">
        <f t="shared" si="8"/>
        <v>0</v>
      </c>
    </row>
    <row r="32" spans="1:28" ht="30" customHeight="1" x14ac:dyDescent="0.2">
      <c r="A32" s="435"/>
      <c r="B32" s="525"/>
      <c r="C32" s="526"/>
      <c r="D32" s="707"/>
      <c r="E32" s="708"/>
      <c r="F32" s="433" t="str">
        <f t="shared" si="9"/>
        <v/>
      </c>
      <c r="G32" s="542"/>
      <c r="H32" s="539"/>
      <c r="I32" s="540"/>
      <c r="J32" s="541"/>
      <c r="K32" s="434">
        <f t="shared" si="1"/>
        <v>0</v>
      </c>
      <c r="L32" s="539"/>
      <c r="M32" s="540"/>
      <c r="N32" s="541"/>
      <c r="O32" s="434">
        <f t="shared" si="2"/>
        <v>0</v>
      </c>
      <c r="P32" s="430">
        <f t="shared" si="0"/>
        <v>0</v>
      </c>
      <c r="Q32" s="559"/>
      <c r="R32" s="555"/>
      <c r="S32" s="556"/>
      <c r="T32" s="557"/>
      <c r="U32" s="558"/>
      <c r="W32" s="431" t="str">
        <f t="shared" si="3"/>
        <v/>
      </c>
      <c r="X32" s="431" t="str">
        <f t="shared" si="4"/>
        <v/>
      </c>
      <c r="Y32" s="431">
        <f t="shared" si="5"/>
        <v>0</v>
      </c>
      <c r="Z32" s="431" t="str">
        <f t="shared" si="6"/>
        <v/>
      </c>
      <c r="AA32" s="431" t="str">
        <f t="shared" si="7"/>
        <v/>
      </c>
      <c r="AB32" s="431">
        <f t="shared" si="8"/>
        <v>0</v>
      </c>
    </row>
    <row r="33" spans="1:28" ht="30" customHeight="1" x14ac:dyDescent="0.2">
      <c r="A33" s="432"/>
      <c r="B33" s="527"/>
      <c r="C33" s="527"/>
      <c r="D33" s="705"/>
      <c r="E33" s="706"/>
      <c r="F33" s="433" t="str">
        <f t="shared" si="9"/>
        <v/>
      </c>
      <c r="G33" s="543"/>
      <c r="H33" s="539"/>
      <c r="I33" s="540"/>
      <c r="J33" s="541"/>
      <c r="K33" s="434">
        <f t="shared" si="1"/>
        <v>0</v>
      </c>
      <c r="L33" s="539"/>
      <c r="M33" s="540"/>
      <c r="N33" s="541"/>
      <c r="O33" s="434">
        <f t="shared" si="2"/>
        <v>0</v>
      </c>
      <c r="P33" s="430">
        <f t="shared" si="0"/>
        <v>0</v>
      </c>
      <c r="Q33" s="560"/>
      <c r="R33" s="561"/>
      <c r="S33" s="556"/>
      <c r="T33" s="557"/>
      <c r="U33" s="562"/>
      <c r="W33" s="431" t="str">
        <f t="shared" si="3"/>
        <v/>
      </c>
      <c r="X33" s="431" t="str">
        <f t="shared" si="4"/>
        <v/>
      </c>
      <c r="Y33" s="431">
        <f t="shared" si="5"/>
        <v>0</v>
      </c>
      <c r="Z33" s="431" t="str">
        <f t="shared" si="6"/>
        <v/>
      </c>
      <c r="AA33" s="431" t="str">
        <f t="shared" si="7"/>
        <v/>
      </c>
      <c r="AB33" s="431">
        <f t="shared" si="8"/>
        <v>0</v>
      </c>
    </row>
    <row r="34" spans="1:28" ht="30" customHeight="1" x14ac:dyDescent="0.2">
      <c r="A34" s="432"/>
      <c r="B34" s="525"/>
      <c r="C34" s="526"/>
      <c r="D34" s="707"/>
      <c r="E34" s="708"/>
      <c r="F34" s="433" t="str">
        <f t="shared" si="9"/>
        <v/>
      </c>
      <c r="G34" s="542"/>
      <c r="H34" s="539"/>
      <c r="I34" s="540"/>
      <c r="J34" s="541"/>
      <c r="K34" s="434">
        <f t="shared" si="1"/>
        <v>0</v>
      </c>
      <c r="L34" s="539"/>
      <c r="M34" s="540"/>
      <c r="N34" s="541"/>
      <c r="O34" s="434">
        <f t="shared" si="2"/>
        <v>0</v>
      </c>
      <c r="P34" s="430">
        <f t="shared" si="0"/>
        <v>0</v>
      </c>
      <c r="Q34" s="554"/>
      <c r="R34" s="555"/>
      <c r="S34" s="556"/>
      <c r="T34" s="557"/>
      <c r="U34" s="558"/>
      <c r="W34" s="431" t="str">
        <f t="shared" si="3"/>
        <v/>
      </c>
      <c r="X34" s="431" t="str">
        <f t="shared" si="4"/>
        <v/>
      </c>
      <c r="Y34" s="431">
        <f t="shared" si="5"/>
        <v>0</v>
      </c>
      <c r="Z34" s="431" t="str">
        <f t="shared" si="6"/>
        <v/>
      </c>
      <c r="AA34" s="431" t="str">
        <f t="shared" si="7"/>
        <v/>
      </c>
      <c r="AB34" s="431">
        <f t="shared" si="8"/>
        <v>0</v>
      </c>
    </row>
    <row r="35" spans="1:28" ht="30" customHeight="1" x14ac:dyDescent="0.2">
      <c r="A35" s="435"/>
      <c r="B35" s="525"/>
      <c r="C35" s="526"/>
      <c r="D35" s="707"/>
      <c r="E35" s="708"/>
      <c r="F35" s="433" t="str">
        <f t="shared" si="9"/>
        <v/>
      </c>
      <c r="G35" s="542"/>
      <c r="H35" s="539"/>
      <c r="I35" s="540"/>
      <c r="J35" s="541"/>
      <c r="K35" s="434">
        <f t="shared" si="1"/>
        <v>0</v>
      </c>
      <c r="L35" s="539"/>
      <c r="M35" s="540"/>
      <c r="N35" s="541"/>
      <c r="O35" s="434">
        <f t="shared" si="2"/>
        <v>0</v>
      </c>
      <c r="P35" s="430">
        <f t="shared" si="0"/>
        <v>0</v>
      </c>
      <c r="Q35" s="559"/>
      <c r="R35" s="555"/>
      <c r="S35" s="556"/>
      <c r="T35" s="557"/>
      <c r="U35" s="558"/>
      <c r="W35" s="431" t="str">
        <f t="shared" si="3"/>
        <v/>
      </c>
      <c r="X35" s="431" t="str">
        <f t="shared" si="4"/>
        <v/>
      </c>
      <c r="Y35" s="431">
        <f t="shared" si="5"/>
        <v>0</v>
      </c>
      <c r="Z35" s="431" t="str">
        <f t="shared" si="6"/>
        <v/>
      </c>
      <c r="AA35" s="431" t="str">
        <f t="shared" si="7"/>
        <v/>
      </c>
      <c r="AB35" s="431">
        <f t="shared" si="8"/>
        <v>0</v>
      </c>
    </row>
    <row r="36" spans="1:28" ht="30" customHeight="1" x14ac:dyDescent="0.2">
      <c r="A36" s="435"/>
      <c r="B36" s="525"/>
      <c r="C36" s="526"/>
      <c r="D36" s="707"/>
      <c r="E36" s="708"/>
      <c r="F36" s="433" t="str">
        <f t="shared" si="9"/>
        <v/>
      </c>
      <c r="G36" s="542"/>
      <c r="H36" s="539"/>
      <c r="I36" s="540"/>
      <c r="J36" s="541"/>
      <c r="K36" s="434">
        <f t="shared" si="1"/>
        <v>0</v>
      </c>
      <c r="L36" s="539"/>
      <c r="M36" s="540"/>
      <c r="N36" s="541"/>
      <c r="O36" s="434">
        <f t="shared" si="2"/>
        <v>0</v>
      </c>
      <c r="P36" s="430">
        <f t="shared" si="0"/>
        <v>0</v>
      </c>
      <c r="Q36" s="559"/>
      <c r="R36" s="555"/>
      <c r="S36" s="556"/>
      <c r="T36" s="557"/>
      <c r="U36" s="558"/>
      <c r="W36" s="431" t="str">
        <f t="shared" si="3"/>
        <v/>
      </c>
      <c r="X36" s="431" t="str">
        <f t="shared" si="4"/>
        <v/>
      </c>
      <c r="Y36" s="431">
        <f t="shared" si="5"/>
        <v>0</v>
      </c>
      <c r="Z36" s="431" t="str">
        <f t="shared" si="6"/>
        <v/>
      </c>
      <c r="AA36" s="431" t="str">
        <f t="shared" si="7"/>
        <v/>
      </c>
      <c r="AB36" s="431">
        <f t="shared" si="8"/>
        <v>0</v>
      </c>
    </row>
    <row r="37" spans="1:28" ht="30" customHeight="1" x14ac:dyDescent="0.2">
      <c r="A37" s="435"/>
      <c r="B37" s="525"/>
      <c r="C37" s="526"/>
      <c r="D37" s="707"/>
      <c r="E37" s="708"/>
      <c r="F37" s="433" t="str">
        <f t="shared" si="9"/>
        <v/>
      </c>
      <c r="G37" s="542"/>
      <c r="H37" s="539"/>
      <c r="I37" s="540"/>
      <c r="J37" s="541"/>
      <c r="K37" s="434">
        <f t="shared" si="1"/>
        <v>0</v>
      </c>
      <c r="L37" s="539"/>
      <c r="M37" s="540"/>
      <c r="N37" s="541"/>
      <c r="O37" s="434">
        <f t="shared" si="2"/>
        <v>0</v>
      </c>
      <c r="P37" s="430">
        <f t="shared" si="0"/>
        <v>0</v>
      </c>
      <c r="Q37" s="559"/>
      <c r="R37" s="555"/>
      <c r="S37" s="556"/>
      <c r="T37" s="557"/>
      <c r="U37" s="558"/>
      <c r="W37" s="431" t="str">
        <f t="shared" si="3"/>
        <v/>
      </c>
      <c r="X37" s="431" t="str">
        <f t="shared" si="4"/>
        <v/>
      </c>
      <c r="Y37" s="431">
        <f t="shared" si="5"/>
        <v>0</v>
      </c>
      <c r="Z37" s="431" t="str">
        <f t="shared" si="6"/>
        <v/>
      </c>
      <c r="AA37" s="431" t="str">
        <f t="shared" si="7"/>
        <v/>
      </c>
      <c r="AB37" s="431">
        <f t="shared" si="8"/>
        <v>0</v>
      </c>
    </row>
    <row r="38" spans="1:28" ht="30" customHeight="1" x14ac:dyDescent="0.2">
      <c r="A38" s="432"/>
      <c r="B38" s="527"/>
      <c r="C38" s="527"/>
      <c r="D38" s="705"/>
      <c r="E38" s="706"/>
      <c r="F38" s="433" t="str">
        <f t="shared" si="9"/>
        <v/>
      </c>
      <c r="G38" s="543"/>
      <c r="H38" s="539"/>
      <c r="I38" s="540"/>
      <c r="J38" s="541"/>
      <c r="K38" s="434">
        <f t="shared" si="1"/>
        <v>0</v>
      </c>
      <c r="L38" s="539"/>
      <c r="M38" s="540"/>
      <c r="N38" s="541"/>
      <c r="O38" s="434">
        <f t="shared" si="2"/>
        <v>0</v>
      </c>
      <c r="P38" s="430">
        <f t="shared" si="0"/>
        <v>0</v>
      </c>
      <c r="Q38" s="560"/>
      <c r="R38" s="561"/>
      <c r="S38" s="556"/>
      <c r="T38" s="557"/>
      <c r="U38" s="562"/>
      <c r="W38" s="431" t="str">
        <f t="shared" si="3"/>
        <v/>
      </c>
      <c r="X38" s="431" t="str">
        <f t="shared" si="4"/>
        <v/>
      </c>
      <c r="Y38" s="431">
        <f t="shared" si="5"/>
        <v>0</v>
      </c>
      <c r="Z38" s="431" t="str">
        <f t="shared" si="6"/>
        <v/>
      </c>
      <c r="AA38" s="431" t="str">
        <f t="shared" si="7"/>
        <v/>
      </c>
      <c r="AB38" s="431">
        <f t="shared" si="8"/>
        <v>0</v>
      </c>
    </row>
    <row r="39" spans="1:28" ht="30" customHeight="1" x14ac:dyDescent="0.2">
      <c r="A39" s="432"/>
      <c r="B39" s="525"/>
      <c r="C39" s="526"/>
      <c r="D39" s="707"/>
      <c r="E39" s="708"/>
      <c r="F39" s="433" t="str">
        <f t="shared" si="9"/>
        <v/>
      </c>
      <c r="G39" s="542"/>
      <c r="H39" s="539"/>
      <c r="I39" s="540"/>
      <c r="J39" s="541"/>
      <c r="K39" s="434">
        <f t="shared" si="1"/>
        <v>0</v>
      </c>
      <c r="L39" s="539"/>
      <c r="M39" s="540"/>
      <c r="N39" s="541"/>
      <c r="O39" s="434">
        <f t="shared" si="2"/>
        <v>0</v>
      </c>
      <c r="P39" s="430">
        <f t="shared" si="0"/>
        <v>0</v>
      </c>
      <c r="Q39" s="554"/>
      <c r="R39" s="555"/>
      <c r="S39" s="556"/>
      <c r="T39" s="557"/>
      <c r="U39" s="558"/>
      <c r="W39" s="431" t="str">
        <f t="shared" si="3"/>
        <v/>
      </c>
      <c r="X39" s="431" t="str">
        <f t="shared" si="4"/>
        <v/>
      </c>
      <c r="Y39" s="431">
        <f t="shared" si="5"/>
        <v>0</v>
      </c>
      <c r="Z39" s="431" t="str">
        <f t="shared" si="6"/>
        <v/>
      </c>
      <c r="AA39" s="431" t="str">
        <f t="shared" si="7"/>
        <v/>
      </c>
      <c r="AB39" s="431">
        <f t="shared" si="8"/>
        <v>0</v>
      </c>
    </row>
    <row r="40" spans="1:28" ht="30" customHeight="1" x14ac:dyDescent="0.2">
      <c r="A40" s="435"/>
      <c r="B40" s="525"/>
      <c r="C40" s="526"/>
      <c r="D40" s="707"/>
      <c r="E40" s="708"/>
      <c r="F40" s="433" t="str">
        <f t="shared" si="9"/>
        <v/>
      </c>
      <c r="G40" s="542"/>
      <c r="H40" s="539"/>
      <c r="I40" s="540"/>
      <c r="J40" s="541"/>
      <c r="K40" s="434">
        <f t="shared" si="1"/>
        <v>0</v>
      </c>
      <c r="L40" s="539"/>
      <c r="M40" s="540"/>
      <c r="N40" s="541"/>
      <c r="O40" s="434">
        <f t="shared" si="2"/>
        <v>0</v>
      </c>
      <c r="P40" s="430">
        <f t="shared" si="0"/>
        <v>0</v>
      </c>
      <c r="Q40" s="559"/>
      <c r="R40" s="555"/>
      <c r="S40" s="556"/>
      <c r="T40" s="557"/>
      <c r="U40" s="558"/>
      <c r="W40" s="431" t="str">
        <f t="shared" si="3"/>
        <v/>
      </c>
      <c r="X40" s="431" t="str">
        <f t="shared" si="4"/>
        <v/>
      </c>
      <c r="Y40" s="431">
        <f t="shared" si="5"/>
        <v>0</v>
      </c>
      <c r="Z40" s="431" t="str">
        <f t="shared" si="6"/>
        <v/>
      </c>
      <c r="AA40" s="431" t="str">
        <f t="shared" si="7"/>
        <v/>
      </c>
      <c r="AB40" s="431">
        <f t="shared" si="8"/>
        <v>0</v>
      </c>
    </row>
    <row r="41" spans="1:28" ht="30" customHeight="1" x14ac:dyDescent="0.2">
      <c r="A41" s="435"/>
      <c r="B41" s="525"/>
      <c r="C41" s="526"/>
      <c r="D41" s="707"/>
      <c r="E41" s="708"/>
      <c r="F41" s="433" t="str">
        <f t="shared" si="9"/>
        <v/>
      </c>
      <c r="G41" s="542"/>
      <c r="H41" s="539"/>
      <c r="I41" s="540"/>
      <c r="J41" s="541"/>
      <c r="K41" s="434">
        <f t="shared" si="1"/>
        <v>0</v>
      </c>
      <c r="L41" s="539"/>
      <c r="M41" s="540"/>
      <c r="N41" s="541"/>
      <c r="O41" s="434">
        <f t="shared" si="2"/>
        <v>0</v>
      </c>
      <c r="P41" s="430">
        <f t="shared" si="0"/>
        <v>0</v>
      </c>
      <c r="Q41" s="559"/>
      <c r="R41" s="555"/>
      <c r="S41" s="556"/>
      <c r="T41" s="557"/>
      <c r="U41" s="558"/>
      <c r="W41" s="431" t="str">
        <f t="shared" si="3"/>
        <v/>
      </c>
      <c r="X41" s="431" t="str">
        <f t="shared" si="4"/>
        <v/>
      </c>
      <c r="Y41" s="431">
        <f t="shared" si="5"/>
        <v>0</v>
      </c>
      <c r="Z41" s="431" t="str">
        <f t="shared" si="6"/>
        <v/>
      </c>
      <c r="AA41" s="431" t="str">
        <f t="shared" si="7"/>
        <v/>
      </c>
      <c r="AB41" s="431">
        <f t="shared" si="8"/>
        <v>0</v>
      </c>
    </row>
    <row r="42" spans="1:28" ht="30" customHeight="1" thickBot="1" x14ac:dyDescent="0.25">
      <c r="A42" s="437"/>
      <c r="B42" s="529"/>
      <c r="C42" s="530"/>
      <c r="D42" s="709"/>
      <c r="E42" s="710"/>
      <c r="F42" s="438"/>
      <c r="G42" s="544"/>
      <c r="H42" s="545"/>
      <c r="I42" s="546"/>
      <c r="J42" s="547"/>
      <c r="K42" s="439">
        <f t="shared" si="1"/>
        <v>0</v>
      </c>
      <c r="L42" s="545"/>
      <c r="M42" s="546"/>
      <c r="N42" s="547"/>
      <c r="O42" s="439">
        <f t="shared" si="2"/>
        <v>0</v>
      </c>
      <c r="P42" s="430">
        <f t="shared" si="0"/>
        <v>0</v>
      </c>
      <c r="Q42" s="563"/>
      <c r="R42" s="564"/>
      <c r="S42" s="565"/>
      <c r="T42" s="566"/>
      <c r="U42" s="567"/>
      <c r="W42" s="431" t="str">
        <f t="shared" si="3"/>
        <v/>
      </c>
      <c r="X42" s="431" t="str">
        <f t="shared" si="4"/>
        <v/>
      </c>
      <c r="Y42" s="431">
        <f t="shared" si="5"/>
        <v>0</v>
      </c>
      <c r="Z42" s="431" t="str">
        <f t="shared" si="6"/>
        <v/>
      </c>
      <c r="AA42" s="431" t="str">
        <f t="shared" si="7"/>
        <v/>
      </c>
      <c r="AB42" s="431">
        <f t="shared" si="8"/>
        <v>0</v>
      </c>
    </row>
    <row r="43" spans="1:28" s="447" customFormat="1" ht="16.5" thickBot="1" x14ac:dyDescent="0.3">
      <c r="A43" s="711" t="s">
        <v>364</v>
      </c>
      <c r="B43" s="712"/>
      <c r="C43" s="712"/>
      <c r="D43" s="712"/>
      <c r="E43" s="713"/>
      <c r="F43" s="440">
        <f>IF(P43=0,0,Q43/P43)</f>
        <v>4.3244577202093154E-2</v>
      </c>
      <c r="G43" s="441"/>
      <c r="H43" s="442"/>
      <c r="I43" s="442"/>
      <c r="J43" s="442"/>
      <c r="K43" s="442"/>
      <c r="L43" s="442"/>
      <c r="M43" s="442"/>
      <c r="N43" s="443">
        <f>SUM(N14:N42)</f>
        <v>550</v>
      </c>
      <c r="O43" s="444">
        <f>SUM(O14:O42)</f>
        <v>550</v>
      </c>
      <c r="P43" s="445">
        <f>SUM(P14:P42)</f>
        <v>11562.143333333333</v>
      </c>
      <c r="Q43" s="446">
        <f>SUM(Q14:Q42)</f>
        <v>500</v>
      </c>
      <c r="R43" s="699"/>
      <c r="S43" s="700"/>
      <c r="T43" s="700"/>
      <c r="U43" s="701"/>
      <c r="W43" s="448">
        <f>SUM(W14:W42)</f>
        <v>73333.333333333343</v>
      </c>
      <c r="X43" s="448"/>
      <c r="Y43" s="448">
        <f>SUM(Y14:Y42)</f>
        <v>27777777.777777776</v>
      </c>
      <c r="Z43" s="448">
        <f>SUM(Z14:Z42)</f>
        <v>550</v>
      </c>
      <c r="AA43" s="448"/>
      <c r="AB43" s="448">
        <f>SUM(AB14:AB42)</f>
        <v>277.77777777777783</v>
      </c>
    </row>
    <row r="46" spans="1:28" hidden="1" x14ac:dyDescent="0.2">
      <c r="A46" s="342" t="s">
        <v>365</v>
      </c>
    </row>
    <row r="47" spans="1:28" hidden="1" x14ac:dyDescent="0.2"/>
    <row r="48" spans="1:28" ht="13.5" hidden="1" thickBot="1" x14ac:dyDescent="0.25">
      <c r="B48" s="702" t="s">
        <v>29</v>
      </c>
      <c r="C48" s="703"/>
      <c r="D48" s="703"/>
      <c r="E48" s="704"/>
    </row>
    <row r="49" spans="2:5" hidden="1" x14ac:dyDescent="0.2">
      <c r="B49" s="449" t="s">
        <v>366</v>
      </c>
      <c r="C49" s="450" t="s">
        <v>30</v>
      </c>
      <c r="D49" s="451"/>
      <c r="E49" s="452" t="s">
        <v>31</v>
      </c>
    </row>
    <row r="50" spans="2:5" ht="18" hidden="1" x14ac:dyDescent="0.25">
      <c r="B50" s="453" t="s">
        <v>324</v>
      </c>
      <c r="C50" s="454">
        <v>0.15</v>
      </c>
      <c r="D50" s="455"/>
      <c r="E50" s="387" t="s">
        <v>32</v>
      </c>
    </row>
    <row r="51" spans="2:5" ht="18" hidden="1" x14ac:dyDescent="0.25">
      <c r="B51" s="453" t="s">
        <v>367</v>
      </c>
      <c r="C51" s="456">
        <v>0.1</v>
      </c>
      <c r="D51" s="455"/>
      <c r="E51" s="387" t="s">
        <v>33</v>
      </c>
    </row>
    <row r="52" spans="2:5" ht="13.5" hidden="1" thickBot="1" x14ac:dyDescent="0.25">
      <c r="B52" s="457"/>
      <c r="C52" s="458">
        <v>0.1</v>
      </c>
      <c r="D52" s="459"/>
      <c r="E52" s="460" t="s">
        <v>34</v>
      </c>
    </row>
    <row r="53" spans="2:5" hidden="1" x14ac:dyDescent="0.2">
      <c r="B53" s="449" t="s">
        <v>35</v>
      </c>
    </row>
    <row r="54" spans="2:5" hidden="1" x14ac:dyDescent="0.2">
      <c r="B54" s="461" t="s">
        <v>36</v>
      </c>
    </row>
    <row r="55" spans="2:5" ht="13.5" hidden="1" thickBot="1" x14ac:dyDescent="0.25">
      <c r="B55" s="462" t="s">
        <v>37</v>
      </c>
    </row>
  </sheetData>
  <dataConsolidate/>
  <mergeCells count="39">
    <mergeCell ref="C5:E5"/>
    <mergeCell ref="A1:F1"/>
    <mergeCell ref="N1:O1"/>
    <mergeCell ref="F2:P2"/>
    <mergeCell ref="R3:U3"/>
    <mergeCell ref="R4:U4"/>
    <mergeCell ref="D16:E16"/>
    <mergeCell ref="C6:F6"/>
    <mergeCell ref="R6:U6"/>
    <mergeCell ref="R8:T8"/>
    <mergeCell ref="A11:E11"/>
    <mergeCell ref="F11:P11"/>
    <mergeCell ref="Q11:S11"/>
    <mergeCell ref="T11:U11"/>
    <mergeCell ref="H12:K12"/>
    <mergeCell ref="L12:O12"/>
    <mergeCell ref="D13:E13"/>
    <mergeCell ref="D14:E14"/>
    <mergeCell ref="D15:E15"/>
    <mergeCell ref="D37:E37"/>
    <mergeCell ref="D17:E17"/>
    <mergeCell ref="D18:E18"/>
    <mergeCell ref="D19:E19"/>
    <mergeCell ref="D20:E20"/>
    <mergeCell ref="D30:E30"/>
    <mergeCell ref="D31:E31"/>
    <mergeCell ref="D32:E32"/>
    <mergeCell ref="D33:E33"/>
    <mergeCell ref="D34:E34"/>
    <mergeCell ref="D35:E35"/>
    <mergeCell ref="D36:E36"/>
    <mergeCell ref="R43:U43"/>
    <mergeCell ref="B48:E48"/>
    <mergeCell ref="D38:E38"/>
    <mergeCell ref="D39:E39"/>
    <mergeCell ref="D40:E40"/>
    <mergeCell ref="D41:E41"/>
    <mergeCell ref="D42:E42"/>
    <mergeCell ref="A43:E43"/>
  </mergeCells>
  <dataValidations count="2">
    <dataValidation type="list" allowBlank="1" showInputMessage="1" showErrorMessage="1" sqref="N1">
      <formula1>$B$50:$B$51</formula1>
    </dataValidation>
    <dataValidation type="list" allowBlank="1" showInputMessage="1" showErrorMessage="1" sqref="O9">
      <formula1>$C$50:$C$51</formula1>
    </dataValidation>
  </dataValidations>
  <pageMargins left="0.47" right="0.390625" top="0.59895833333333337" bottom="0.55000000000000004" header="0.10416666666666667" footer="0.33"/>
  <pageSetup scale="38" orientation="landscape" horizontalDpi="4294967293" r:id="rId1"/>
  <headerFooter>
    <oddHeader>&amp;L&amp;G&amp;C&amp;"Arial,Bold"&amp;14Monitoring-Based Commissioning
Summary of Energy Efficiency Improvements (EEIs)</oddHeader>
    <oddFooter>&amp;L&amp;9Page &amp;P of &amp;N&amp;REBCx Investigation Report - 01/30/2021</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'\\Sestdpt1.puget.com\Sopscci\4-Energy Efficiency\BEM\_Grants\250- CI Retro\_Commissioning\00_Existing Building (EBCx)\0_Onboarding\[EBCx_Onboarding.xlsx]HiddenTables'!#REF!</xm:f>
          </x14:formula1>
          <xm:sqref>S14:T42 G14:G42 R4 R3:U3 E8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1"/>
  <sheetViews>
    <sheetView view="pageLayout" topLeftCell="A22" zoomScaleNormal="100" workbookViewId="0">
      <selection activeCell="A17" sqref="A17:M17"/>
    </sheetView>
  </sheetViews>
  <sheetFormatPr defaultColWidth="9.140625" defaultRowHeight="12.75" x14ac:dyDescent="0.2"/>
  <cols>
    <col min="1" max="1" width="9.140625" style="1"/>
    <col min="2" max="2" width="9.85546875" style="1" customWidth="1"/>
    <col min="3" max="3" width="12" style="1" customWidth="1"/>
    <col min="4" max="4" width="5.28515625" style="1" customWidth="1"/>
    <col min="5" max="5" width="7.140625" style="1" customWidth="1"/>
    <col min="6" max="6" width="4.28515625" style="1" customWidth="1"/>
    <col min="7" max="7" width="4.140625" style="1" customWidth="1"/>
    <col min="8" max="9" width="9.140625" style="1"/>
    <col min="10" max="10" width="4.140625" style="1" customWidth="1"/>
    <col min="11" max="11" width="10.85546875" style="1" customWidth="1"/>
    <col min="12" max="12" width="10.85546875" style="1" hidden="1" customWidth="1"/>
    <col min="13" max="13" width="5.42578125" style="1" customWidth="1"/>
    <col min="14" max="16384" width="9.140625" style="1"/>
  </cols>
  <sheetData>
    <row r="1" spans="1:14" ht="30" customHeight="1" thickBot="1" x14ac:dyDescent="0.25">
      <c r="A1" s="767" t="s">
        <v>308</v>
      </c>
      <c r="B1" s="768"/>
      <c r="C1" s="768"/>
      <c r="D1" s="768"/>
      <c r="E1" s="768"/>
      <c r="F1" s="768"/>
      <c r="G1" s="768"/>
      <c r="H1" s="768"/>
      <c r="I1" s="768"/>
      <c r="J1" s="768"/>
      <c r="K1" s="768"/>
      <c r="L1" s="768"/>
      <c r="M1" s="769"/>
    </row>
    <row r="2" spans="1:14" ht="6.75" customHeight="1" thickBot="1" x14ac:dyDescent="0.25"/>
    <row r="3" spans="1:14" x14ac:dyDescent="0.2">
      <c r="A3" s="38" t="s">
        <v>86</v>
      </c>
      <c r="B3" s="753"/>
      <c r="C3" s="754"/>
      <c r="D3" s="754"/>
      <c r="E3" s="754"/>
      <c r="F3" s="754"/>
      <c r="G3" s="755"/>
      <c r="H3" s="37" t="s">
        <v>85</v>
      </c>
      <c r="I3" s="356"/>
      <c r="J3" s="352"/>
      <c r="K3" s="352"/>
      <c r="L3" s="352"/>
      <c r="M3" s="353"/>
    </row>
    <row r="4" spans="1:14" x14ac:dyDescent="0.2">
      <c r="A4" s="36" t="s">
        <v>84</v>
      </c>
      <c r="B4" s="35"/>
      <c r="C4" s="756"/>
      <c r="D4" s="756"/>
      <c r="E4" s="33"/>
      <c r="F4" s="34"/>
      <c r="G4" s="33"/>
      <c r="H4" s="32" t="s">
        <v>83</v>
      </c>
      <c r="I4" s="354"/>
      <c r="J4" s="355"/>
      <c r="K4" s="355"/>
      <c r="L4" s="355"/>
      <c r="M4" s="357"/>
    </row>
    <row r="5" spans="1:14" x14ac:dyDescent="0.2">
      <c r="A5" s="31" t="s">
        <v>309</v>
      </c>
      <c r="B5" s="30"/>
      <c r="C5" s="30"/>
      <c r="D5" s="756"/>
      <c r="E5" s="756"/>
      <c r="F5" s="2"/>
      <c r="G5" s="29"/>
      <c r="H5" s="2"/>
      <c r="I5" s="27"/>
      <c r="J5" s="775"/>
      <c r="K5" s="775"/>
      <c r="L5" s="775"/>
      <c r="M5" s="776"/>
    </row>
    <row r="6" spans="1:14" x14ac:dyDescent="0.2">
      <c r="A6" s="28" t="s">
        <v>310</v>
      </c>
      <c r="B6" s="2"/>
      <c r="C6" s="2"/>
      <c r="D6" s="756"/>
      <c r="E6" s="756"/>
      <c r="F6" s="2"/>
      <c r="G6" s="27"/>
      <c r="H6" s="2"/>
      <c r="I6" s="27"/>
      <c r="J6" s="775"/>
      <c r="K6" s="775"/>
      <c r="L6" s="775"/>
      <c r="M6" s="776"/>
      <c r="N6" s="23"/>
    </row>
    <row r="7" spans="1:14" ht="13.5" thickBot="1" x14ac:dyDescent="0.25">
      <c r="A7" s="26" t="s">
        <v>82</v>
      </c>
      <c r="B7" s="3"/>
      <c r="C7" s="3"/>
      <c r="D7" s="773"/>
      <c r="E7" s="774"/>
      <c r="F7" s="3"/>
      <c r="G7" s="25"/>
      <c r="H7" s="3"/>
      <c r="I7" s="25"/>
      <c r="J7" s="330"/>
      <c r="K7" s="330"/>
      <c r="L7" s="330"/>
      <c r="M7" s="24"/>
      <c r="N7" s="23"/>
    </row>
    <row r="8" spans="1:14" ht="6.75" customHeight="1" thickBot="1" x14ac:dyDescent="0.25"/>
    <row r="9" spans="1:14" x14ac:dyDescent="0.2">
      <c r="A9" s="22">
        <v>1</v>
      </c>
      <c r="B9" s="757" t="s">
        <v>81</v>
      </c>
      <c r="C9" s="758"/>
      <c r="D9" s="759"/>
      <c r="E9" s="759"/>
      <c r="F9" s="20"/>
      <c r="G9" s="20"/>
      <c r="H9" s="20"/>
      <c r="I9" s="20"/>
      <c r="J9" s="20"/>
      <c r="K9" s="20"/>
      <c r="L9" s="20"/>
      <c r="M9" s="21"/>
    </row>
    <row r="10" spans="1:14" ht="26.25" customHeight="1" x14ac:dyDescent="0.2">
      <c r="A10" s="770" t="s">
        <v>80</v>
      </c>
      <c r="B10" s="771"/>
      <c r="C10" s="771"/>
      <c r="D10" s="771"/>
      <c r="E10" s="771"/>
      <c r="F10" s="771"/>
      <c r="G10" s="771"/>
      <c r="H10" s="771"/>
      <c r="I10" s="771"/>
      <c r="J10" s="771"/>
      <c r="K10" s="771"/>
      <c r="L10" s="771"/>
      <c r="M10" s="772"/>
    </row>
    <row r="11" spans="1:14" ht="74.25" customHeight="1" x14ac:dyDescent="0.2">
      <c r="A11" s="747"/>
      <c r="B11" s="748"/>
      <c r="C11" s="748"/>
      <c r="D11" s="748"/>
      <c r="E11" s="748"/>
      <c r="F11" s="748"/>
      <c r="G11" s="748"/>
      <c r="H11" s="748"/>
      <c r="I11" s="748"/>
      <c r="J11" s="748"/>
      <c r="K11" s="748"/>
      <c r="L11" s="748"/>
      <c r="M11" s="749"/>
    </row>
    <row r="12" spans="1:14" ht="13.5" customHeight="1" x14ac:dyDescent="0.2">
      <c r="A12" s="750" t="s">
        <v>79</v>
      </c>
      <c r="B12" s="751"/>
      <c r="C12" s="751"/>
      <c r="D12" s="751"/>
      <c r="E12" s="751"/>
      <c r="F12" s="751"/>
      <c r="G12" s="751"/>
      <c r="H12" s="751"/>
      <c r="I12" s="751"/>
      <c r="J12" s="751"/>
      <c r="K12" s="751"/>
      <c r="L12" s="751"/>
      <c r="M12" s="752"/>
    </row>
    <row r="13" spans="1:14" ht="74.25" customHeight="1" x14ac:dyDescent="0.2">
      <c r="A13" s="747"/>
      <c r="B13" s="748"/>
      <c r="C13" s="748"/>
      <c r="D13" s="748"/>
      <c r="E13" s="748"/>
      <c r="F13" s="748"/>
      <c r="G13" s="748"/>
      <c r="H13" s="748"/>
      <c r="I13" s="748"/>
      <c r="J13" s="748"/>
      <c r="K13" s="748"/>
      <c r="L13" s="748"/>
      <c r="M13" s="749"/>
    </row>
    <row r="14" spans="1:14" ht="8.25" customHeight="1" thickBot="1" x14ac:dyDescent="0.25"/>
    <row r="15" spans="1:14" x14ac:dyDescent="0.2">
      <c r="A15" s="22">
        <v>2</v>
      </c>
      <c r="B15" s="757" t="s">
        <v>81</v>
      </c>
      <c r="C15" s="758"/>
      <c r="D15" s="763"/>
      <c r="E15" s="759"/>
      <c r="F15" s="20"/>
      <c r="G15" s="20"/>
      <c r="H15" s="20"/>
      <c r="I15" s="20"/>
      <c r="J15" s="20"/>
      <c r="K15" s="20"/>
      <c r="L15" s="20"/>
      <c r="M15" s="21"/>
    </row>
    <row r="16" spans="1:14" ht="32.450000000000003" customHeight="1" x14ac:dyDescent="0.2">
      <c r="A16" s="764" t="s">
        <v>80</v>
      </c>
      <c r="B16" s="765"/>
      <c r="C16" s="765"/>
      <c r="D16" s="765"/>
      <c r="E16" s="765"/>
      <c r="F16" s="765"/>
      <c r="G16" s="765"/>
      <c r="H16" s="765"/>
      <c r="I16" s="765"/>
      <c r="J16" s="765"/>
      <c r="K16" s="765"/>
      <c r="L16" s="765"/>
      <c r="M16" s="766"/>
    </row>
    <row r="17" spans="1:13" ht="74.25" customHeight="1" x14ac:dyDescent="0.2">
      <c r="A17" s="747"/>
      <c r="B17" s="748"/>
      <c r="C17" s="748"/>
      <c r="D17" s="748"/>
      <c r="E17" s="748"/>
      <c r="F17" s="748"/>
      <c r="G17" s="748"/>
      <c r="H17" s="748"/>
      <c r="I17" s="748"/>
      <c r="J17" s="748"/>
      <c r="K17" s="748"/>
      <c r="L17" s="748"/>
      <c r="M17" s="749"/>
    </row>
    <row r="18" spans="1:13" x14ac:dyDescent="0.2">
      <c r="A18" s="750" t="s">
        <v>79</v>
      </c>
      <c r="B18" s="751"/>
      <c r="C18" s="751"/>
      <c r="D18" s="751"/>
      <c r="E18" s="751"/>
      <c r="F18" s="751"/>
      <c r="G18" s="751"/>
      <c r="H18" s="751"/>
      <c r="I18" s="751"/>
      <c r="J18" s="751"/>
      <c r="K18" s="751"/>
      <c r="L18" s="751"/>
      <c r="M18" s="752"/>
    </row>
    <row r="19" spans="1:13" ht="74.25" customHeight="1" x14ac:dyDescent="0.2">
      <c r="A19" s="747"/>
      <c r="B19" s="748"/>
      <c r="C19" s="748"/>
      <c r="D19" s="748"/>
      <c r="E19" s="748"/>
      <c r="F19" s="748"/>
      <c r="G19" s="748"/>
      <c r="H19" s="748"/>
      <c r="I19" s="748"/>
      <c r="J19" s="748"/>
      <c r="K19" s="748"/>
      <c r="L19" s="748"/>
      <c r="M19" s="749"/>
    </row>
    <row r="20" spans="1:13" ht="13.5" thickBot="1" x14ac:dyDescent="0.25"/>
    <row r="21" spans="1:13" x14ac:dyDescent="0.2">
      <c r="A21" s="22">
        <v>3</v>
      </c>
      <c r="B21" s="757" t="s">
        <v>81</v>
      </c>
      <c r="C21" s="758"/>
      <c r="D21" s="763"/>
      <c r="E21" s="759"/>
      <c r="F21" s="20"/>
      <c r="G21" s="20"/>
      <c r="H21" s="20"/>
      <c r="I21" s="20"/>
      <c r="J21" s="20"/>
      <c r="K21" s="20"/>
      <c r="L21" s="20"/>
      <c r="M21" s="21"/>
    </row>
    <row r="22" spans="1:13" x14ac:dyDescent="0.2">
      <c r="A22" s="760" t="s">
        <v>80</v>
      </c>
      <c r="B22" s="761"/>
      <c r="C22" s="761"/>
      <c r="D22" s="761"/>
      <c r="E22" s="761"/>
      <c r="F22" s="761"/>
      <c r="G22" s="761"/>
      <c r="H22" s="761"/>
      <c r="I22" s="761"/>
      <c r="J22" s="761"/>
      <c r="K22" s="761"/>
      <c r="L22" s="761"/>
      <c r="M22" s="762"/>
    </row>
    <row r="23" spans="1:13" ht="74.25" customHeight="1" x14ac:dyDescent="0.2">
      <c r="A23" s="747"/>
      <c r="B23" s="748"/>
      <c r="C23" s="748"/>
      <c r="D23" s="748"/>
      <c r="E23" s="748"/>
      <c r="F23" s="748"/>
      <c r="G23" s="748"/>
      <c r="H23" s="748"/>
      <c r="I23" s="748"/>
      <c r="J23" s="748"/>
      <c r="K23" s="748"/>
      <c r="L23" s="748"/>
      <c r="M23" s="749"/>
    </row>
    <row r="24" spans="1:13" x14ac:dyDescent="0.2">
      <c r="A24" s="750" t="s">
        <v>79</v>
      </c>
      <c r="B24" s="751"/>
      <c r="C24" s="751"/>
      <c r="D24" s="751"/>
      <c r="E24" s="751"/>
      <c r="F24" s="751"/>
      <c r="G24" s="751"/>
      <c r="H24" s="751"/>
      <c r="I24" s="751"/>
      <c r="J24" s="751"/>
      <c r="K24" s="751"/>
      <c r="L24" s="751"/>
      <c r="M24" s="752"/>
    </row>
    <row r="25" spans="1:13" ht="74.25" customHeight="1" x14ac:dyDescent="0.2">
      <c r="A25" s="747"/>
      <c r="B25" s="748"/>
      <c r="C25" s="748"/>
      <c r="D25" s="748"/>
      <c r="E25" s="748"/>
      <c r="F25" s="748"/>
      <c r="G25" s="748"/>
      <c r="H25" s="748"/>
      <c r="I25" s="748"/>
      <c r="J25" s="748"/>
      <c r="K25" s="748"/>
      <c r="L25" s="748"/>
      <c r="M25" s="749"/>
    </row>
    <row r="26" spans="1:13" ht="13.5" thickBot="1" x14ac:dyDescent="0.25"/>
    <row r="27" spans="1:13" x14ac:dyDescent="0.2">
      <c r="A27" s="22">
        <v>4</v>
      </c>
      <c r="B27" s="757" t="s">
        <v>81</v>
      </c>
      <c r="C27" s="758"/>
      <c r="D27" s="759"/>
      <c r="E27" s="759"/>
      <c r="F27" s="20"/>
      <c r="G27" s="20"/>
      <c r="H27" s="20"/>
      <c r="I27" s="20"/>
      <c r="J27" s="20"/>
      <c r="K27" s="20"/>
      <c r="L27" s="20"/>
      <c r="M27" s="21"/>
    </row>
    <row r="28" spans="1:13" x14ac:dyDescent="0.2">
      <c r="A28" s="760" t="s">
        <v>80</v>
      </c>
      <c r="B28" s="761"/>
      <c r="C28" s="761"/>
      <c r="D28" s="761"/>
      <c r="E28" s="761"/>
      <c r="F28" s="761"/>
      <c r="G28" s="761"/>
      <c r="H28" s="761"/>
      <c r="I28" s="761"/>
      <c r="J28" s="761"/>
      <c r="K28" s="761"/>
      <c r="L28" s="761"/>
      <c r="M28" s="762"/>
    </row>
    <row r="29" spans="1:13" ht="74.25" customHeight="1" x14ac:dyDescent="0.2">
      <c r="A29" s="747"/>
      <c r="B29" s="748"/>
      <c r="C29" s="748"/>
      <c r="D29" s="748"/>
      <c r="E29" s="748"/>
      <c r="F29" s="748"/>
      <c r="G29" s="748"/>
      <c r="H29" s="748"/>
      <c r="I29" s="748"/>
      <c r="J29" s="748"/>
      <c r="K29" s="748"/>
      <c r="L29" s="748"/>
      <c r="M29" s="749"/>
    </row>
    <row r="30" spans="1:13" x14ac:dyDescent="0.2">
      <c r="A30" s="750" t="s">
        <v>79</v>
      </c>
      <c r="B30" s="751"/>
      <c r="C30" s="751"/>
      <c r="D30" s="751"/>
      <c r="E30" s="751"/>
      <c r="F30" s="751"/>
      <c r="G30" s="751"/>
      <c r="H30" s="751"/>
      <c r="I30" s="751"/>
      <c r="J30" s="751"/>
      <c r="K30" s="751"/>
      <c r="L30" s="751"/>
      <c r="M30" s="752"/>
    </row>
    <row r="31" spans="1:13" ht="74.25" customHeight="1" x14ac:dyDescent="0.2">
      <c r="A31" s="747"/>
      <c r="B31" s="748"/>
      <c r="C31" s="748"/>
      <c r="D31" s="748"/>
      <c r="E31" s="748"/>
      <c r="F31" s="748"/>
      <c r="G31" s="748"/>
      <c r="H31" s="748"/>
      <c r="I31" s="748"/>
      <c r="J31" s="748"/>
      <c r="K31" s="748"/>
      <c r="L31" s="748"/>
      <c r="M31" s="749"/>
    </row>
  </sheetData>
  <mergeCells count="32">
    <mergeCell ref="A17:M17"/>
    <mergeCell ref="A1:M1"/>
    <mergeCell ref="B9:C9"/>
    <mergeCell ref="A10:M10"/>
    <mergeCell ref="A12:M12"/>
    <mergeCell ref="D7:E7"/>
    <mergeCell ref="J5:M5"/>
    <mergeCell ref="J6:M6"/>
    <mergeCell ref="D9:E9"/>
    <mergeCell ref="A11:M11"/>
    <mergeCell ref="A13:M13"/>
    <mergeCell ref="A18:M18"/>
    <mergeCell ref="B21:C21"/>
    <mergeCell ref="D21:E21"/>
    <mergeCell ref="A22:M22"/>
    <mergeCell ref="A19:M19"/>
    <mergeCell ref="A29:M29"/>
    <mergeCell ref="A30:M30"/>
    <mergeCell ref="A31:M31"/>
    <mergeCell ref="B3:G3"/>
    <mergeCell ref="D5:E5"/>
    <mergeCell ref="C4:D4"/>
    <mergeCell ref="D6:E6"/>
    <mergeCell ref="A23:M23"/>
    <mergeCell ref="A24:M24"/>
    <mergeCell ref="A25:M25"/>
    <mergeCell ref="B27:C27"/>
    <mergeCell ref="D27:E27"/>
    <mergeCell ref="A28:M28"/>
    <mergeCell ref="D15:E15"/>
    <mergeCell ref="B15:C15"/>
    <mergeCell ref="A16:M16"/>
  </mergeCells>
  <pageMargins left="0.75" right="0.77031249999999996" top="1.0559375" bottom="0.82" header="0.5" footer="0.5"/>
  <pageSetup fitToHeight="2" orientation="portrait" r:id="rId1"/>
  <headerFooter alignWithMargins="0">
    <oddHeader>&amp;L&amp;G&amp;C&amp;"Arial,Bold"&amp;9Monitoring-Based Commissioning
Facility Change Tracking Form</oddHeader>
    <oddFooter xml:space="preserve">&amp;L&amp;8Page &amp;P of &amp;N&amp;R&amp;8&amp;F   04/01/2021
</oddFooter>
  </headerFooter>
  <rowBreaks count="1" manualBreakCount="1">
    <brk id="23"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47"/>
  <sheetViews>
    <sheetView workbookViewId="0">
      <selection activeCell="P16" sqref="P16"/>
    </sheetView>
  </sheetViews>
  <sheetFormatPr defaultColWidth="9.140625" defaultRowHeight="15" x14ac:dyDescent="0.25"/>
  <cols>
    <col min="1" max="1" width="22.7109375" style="129" customWidth="1"/>
    <col min="2" max="2" width="18" style="129" bestFit="1" customWidth="1"/>
    <col min="3" max="3" width="12.42578125" style="129" customWidth="1"/>
    <col min="4" max="4" width="24.42578125" style="129" bestFit="1" customWidth="1"/>
    <col min="5" max="6" width="9.140625" style="129"/>
    <col min="7" max="7" width="18.42578125" style="129" bestFit="1" customWidth="1"/>
    <col min="8" max="21" width="9.140625" style="129"/>
    <col min="22" max="22" width="13.140625" style="129" bestFit="1" customWidth="1"/>
    <col min="23" max="25" width="6.85546875" style="129" customWidth="1"/>
    <col min="26" max="26" width="3.7109375" style="129" customWidth="1"/>
    <col min="27" max="27" width="13.140625" style="129" bestFit="1" customWidth="1"/>
    <col min="28" max="30" width="6.85546875" style="129" customWidth="1"/>
    <col min="31" max="16384" width="9.140625" style="129"/>
  </cols>
  <sheetData>
    <row r="1" spans="1:30" ht="15.75" thickBot="1" x14ac:dyDescent="0.3">
      <c r="A1" s="778" t="s">
        <v>134</v>
      </c>
      <c r="B1" s="779"/>
      <c r="C1" s="779"/>
      <c r="D1" s="780"/>
      <c r="E1" s="91"/>
      <c r="F1" s="91"/>
      <c r="G1" s="91"/>
      <c r="M1" s="92" t="s">
        <v>39</v>
      </c>
      <c r="N1" s="92" t="s">
        <v>40</v>
      </c>
      <c r="O1" s="92" t="s">
        <v>41</v>
      </c>
      <c r="P1" s="93"/>
      <c r="Q1" s="93"/>
      <c r="R1" s="93"/>
      <c r="S1" s="93"/>
      <c r="T1" s="93"/>
      <c r="U1" s="93"/>
      <c r="V1" s="781" t="s">
        <v>187</v>
      </c>
      <c r="W1" s="781"/>
      <c r="X1" s="781"/>
      <c r="Y1" s="781"/>
      <c r="Z1" s="781"/>
      <c r="AA1" s="781"/>
      <c r="AB1" s="781"/>
      <c r="AC1" s="781"/>
      <c r="AD1" s="781"/>
    </row>
    <row r="2" spans="1:30" ht="26.25" x14ac:dyDescent="0.25">
      <c r="A2" s="94" t="s">
        <v>135</v>
      </c>
      <c r="B2" s="95" t="s">
        <v>136</v>
      </c>
      <c r="C2" s="95" t="s">
        <v>137</v>
      </c>
      <c r="D2" s="95" t="s">
        <v>138</v>
      </c>
      <c r="E2" s="301" t="s">
        <v>273</v>
      </c>
      <c r="F2" s="301" t="s">
        <v>274</v>
      </c>
      <c r="G2" s="129" t="s">
        <v>154</v>
      </c>
      <c r="H2" s="129" t="s">
        <v>155</v>
      </c>
      <c r="M2" s="96" t="s">
        <v>42</v>
      </c>
      <c r="N2" s="97">
        <v>9.4196299999999997</v>
      </c>
      <c r="O2" s="98">
        <v>7.52</v>
      </c>
      <c r="P2" s="93"/>
      <c r="Q2" s="99" t="s">
        <v>68</v>
      </c>
      <c r="R2" s="93"/>
      <c r="S2" s="99" t="s">
        <v>76</v>
      </c>
      <c r="T2" s="99" t="s">
        <v>28</v>
      </c>
      <c r="U2" s="93"/>
      <c r="V2" s="782" t="s">
        <v>140</v>
      </c>
      <c r="W2" s="782"/>
      <c r="X2" s="782"/>
      <c r="Y2" s="782"/>
      <c r="Z2" s="128"/>
      <c r="AA2" s="782" t="s">
        <v>141</v>
      </c>
      <c r="AB2" s="782"/>
      <c r="AC2" s="782"/>
      <c r="AD2" s="782"/>
    </row>
    <row r="3" spans="1:30" x14ac:dyDescent="0.25">
      <c r="A3" s="100" t="s">
        <v>142</v>
      </c>
      <c r="B3" s="101">
        <v>0.15</v>
      </c>
      <c r="C3" s="102">
        <v>0.35</v>
      </c>
      <c r="D3" s="103">
        <v>5000</v>
      </c>
      <c r="E3" s="315">
        <v>1</v>
      </c>
      <c r="F3" s="315">
        <v>1</v>
      </c>
      <c r="G3" s="317">
        <v>0.05</v>
      </c>
      <c r="H3" s="317">
        <v>0.05</v>
      </c>
      <c r="M3" s="96" t="s">
        <v>43</v>
      </c>
      <c r="N3" s="97">
        <v>7.2469000000000001</v>
      </c>
      <c r="O3" s="98">
        <v>7.52</v>
      </c>
      <c r="P3" s="93"/>
      <c r="Q3" s="99" t="s">
        <v>69</v>
      </c>
      <c r="R3" s="93"/>
      <c r="S3" s="104" t="s">
        <v>71</v>
      </c>
      <c r="T3" s="105"/>
      <c r="U3" s="93"/>
      <c r="V3" s="91" t="s">
        <v>144</v>
      </c>
      <c r="W3" s="91" t="s">
        <v>145</v>
      </c>
      <c r="X3" s="91" t="s">
        <v>146</v>
      </c>
      <c r="Y3" s="91" t="s">
        <v>147</v>
      </c>
      <c r="Z3" s="54"/>
      <c r="AA3" s="91" t="s">
        <v>144</v>
      </c>
      <c r="AB3" s="91" t="s">
        <v>145</v>
      </c>
      <c r="AC3" s="91" t="s">
        <v>146</v>
      </c>
      <c r="AD3" s="91" t="s">
        <v>147</v>
      </c>
    </row>
    <row r="4" spans="1:30" x14ac:dyDescent="0.25">
      <c r="A4" s="100" t="s">
        <v>148</v>
      </c>
      <c r="B4" s="101">
        <v>0.15</v>
      </c>
      <c r="C4" s="102">
        <v>0.35</v>
      </c>
      <c r="D4" s="103">
        <v>5000</v>
      </c>
      <c r="E4" s="315">
        <v>0</v>
      </c>
      <c r="F4" s="315">
        <v>1</v>
      </c>
      <c r="G4" s="317">
        <v>0.05</v>
      </c>
      <c r="H4" s="317">
        <v>0</v>
      </c>
      <c r="M4" s="96" t="s">
        <v>44</v>
      </c>
      <c r="N4" s="97">
        <v>5.6940999999999997</v>
      </c>
      <c r="O4" s="98">
        <v>10.935</v>
      </c>
      <c r="P4" s="93"/>
      <c r="Q4" s="99" t="s">
        <v>70</v>
      </c>
      <c r="R4" s="93"/>
      <c r="S4" s="105" t="str">
        <f t="shared" ref="S4:T7" si="0">+M32</f>
        <v>Small GS</v>
      </c>
      <c r="T4" s="106">
        <f t="shared" si="0"/>
        <v>9.7300000000000011E-2</v>
      </c>
      <c r="U4" s="93"/>
      <c r="V4" s="91" t="s">
        <v>149</v>
      </c>
      <c r="W4" s="130">
        <v>7.9287459931167596</v>
      </c>
      <c r="X4" s="91">
        <v>2.4</v>
      </c>
      <c r="Y4" s="91">
        <v>16</v>
      </c>
      <c r="Z4" s="91"/>
      <c r="AA4" s="91" t="s">
        <v>149</v>
      </c>
      <c r="AB4" s="130">
        <v>0.44443602797158799</v>
      </c>
      <c r="AC4" s="91">
        <v>0.19</v>
      </c>
      <c r="AD4" s="91">
        <v>0.43</v>
      </c>
    </row>
    <row r="5" spans="1:30" x14ac:dyDescent="0.25">
      <c r="A5" s="100" t="s">
        <v>150</v>
      </c>
      <c r="B5" s="101">
        <v>0.1</v>
      </c>
      <c r="C5" s="102">
        <v>0.25</v>
      </c>
      <c r="D5" s="103">
        <v>4000</v>
      </c>
      <c r="E5" s="315">
        <v>0</v>
      </c>
      <c r="F5" s="315">
        <v>1</v>
      </c>
      <c r="G5" s="317">
        <v>0.05</v>
      </c>
      <c r="H5" s="317">
        <v>0</v>
      </c>
      <c r="M5" s="96" t="s">
        <v>45</v>
      </c>
      <c r="N5" s="97">
        <v>5.8898000000000001</v>
      </c>
      <c r="O5" s="98">
        <v>11.285</v>
      </c>
      <c r="P5" s="93"/>
      <c r="Q5" s="93"/>
      <c r="R5" s="93"/>
      <c r="S5" s="105" t="str">
        <f t="shared" si="0"/>
        <v>Medium GS</v>
      </c>
      <c r="T5" s="106">
        <f t="shared" si="0"/>
        <v>7.7512500000000012E-2</v>
      </c>
      <c r="U5" s="93"/>
      <c r="V5" s="91" t="s">
        <v>151</v>
      </c>
      <c r="W5" s="130">
        <v>40.2306655196805</v>
      </c>
      <c r="X5" s="91">
        <v>41</v>
      </c>
      <c r="Y5" s="91">
        <v>73</v>
      </c>
      <c r="Z5" s="91"/>
      <c r="AA5" s="91" t="s">
        <v>151</v>
      </c>
      <c r="AB5" s="130">
        <v>0.57326243696547696</v>
      </c>
      <c r="AC5" s="91">
        <v>0.42</v>
      </c>
      <c r="AD5" s="91">
        <v>0.61</v>
      </c>
    </row>
    <row r="6" spans="1:30" x14ac:dyDescent="0.25">
      <c r="A6" s="100" t="s">
        <v>152</v>
      </c>
      <c r="B6" s="101">
        <v>0.1</v>
      </c>
      <c r="C6" s="102">
        <v>0.15</v>
      </c>
      <c r="D6" s="103">
        <v>2000</v>
      </c>
      <c r="E6" s="315">
        <v>1</v>
      </c>
      <c r="F6" s="315">
        <v>0</v>
      </c>
      <c r="G6" s="317">
        <v>0</v>
      </c>
      <c r="H6" s="317">
        <v>0.1</v>
      </c>
      <c r="M6" s="96" t="s">
        <v>46</v>
      </c>
      <c r="N6" s="97">
        <v>5.6633000000000004</v>
      </c>
      <c r="O6" s="98">
        <v>10.940000000000001</v>
      </c>
      <c r="P6" s="93"/>
      <c r="Q6" s="93"/>
      <c r="R6" s="93"/>
      <c r="S6" s="105" t="str">
        <f t="shared" si="0"/>
        <v>Large GS</v>
      </c>
      <c r="T6" s="106">
        <f t="shared" si="0"/>
        <v>8.9285714285714288E-2</v>
      </c>
      <c r="U6" s="93"/>
      <c r="V6" s="91" t="s">
        <v>153</v>
      </c>
      <c r="W6" s="130">
        <v>10.886655193337001</v>
      </c>
      <c r="X6" s="91">
        <v>11</v>
      </c>
      <c r="Y6" s="91">
        <v>14</v>
      </c>
      <c r="Z6" s="91"/>
      <c r="AA6" s="91" t="s">
        <v>153</v>
      </c>
      <c r="AB6" s="130">
        <v>0.43014956033379198</v>
      </c>
      <c r="AC6" s="91">
        <v>0.27</v>
      </c>
      <c r="AD6" s="91">
        <v>0.48</v>
      </c>
    </row>
    <row r="7" spans="1:30" x14ac:dyDescent="0.25">
      <c r="G7" s="316"/>
      <c r="M7" s="96" t="s">
        <v>47</v>
      </c>
      <c r="N7" s="97">
        <v>5.4413</v>
      </c>
      <c r="O7" s="98">
        <v>4.0199999999999996</v>
      </c>
      <c r="P7" s="93"/>
      <c r="Q7" s="93"/>
      <c r="R7" s="93"/>
      <c r="S7" s="105" t="str">
        <f t="shared" si="0"/>
        <v>High Demand GS</v>
      </c>
      <c r="T7" s="106">
        <f t="shared" si="0"/>
        <v>8.09E-2</v>
      </c>
      <c r="U7" s="93"/>
      <c r="V7" s="91" t="s">
        <v>130</v>
      </c>
      <c r="W7" s="130">
        <v>11.843875468960499</v>
      </c>
      <c r="X7" s="91">
        <v>7.8</v>
      </c>
      <c r="Y7" s="91">
        <v>18</v>
      </c>
      <c r="Z7" s="91"/>
      <c r="AA7" s="91" t="s">
        <v>130</v>
      </c>
      <c r="AB7" s="130">
        <v>0.16486466038011999</v>
      </c>
      <c r="AC7" s="91">
        <v>0.13</v>
      </c>
      <c r="AD7" s="91">
        <v>0.34</v>
      </c>
    </row>
    <row r="8" spans="1:30" x14ac:dyDescent="0.25">
      <c r="G8" s="316"/>
      <c r="M8" s="96" t="s">
        <v>48</v>
      </c>
      <c r="N8" s="97">
        <v>5.5190999999999999</v>
      </c>
      <c r="O8" s="98">
        <v>4.1100000000000003</v>
      </c>
      <c r="P8" s="93"/>
      <c r="Q8" s="93"/>
      <c r="R8" s="93"/>
      <c r="S8" s="104" t="s">
        <v>77</v>
      </c>
      <c r="T8" s="105"/>
      <c r="U8" s="93"/>
      <c r="V8" s="91" t="s">
        <v>156</v>
      </c>
      <c r="W8" s="130">
        <v>6.3891895746296603</v>
      </c>
      <c r="X8" s="91">
        <v>4.8</v>
      </c>
      <c r="Y8" s="91">
        <v>22</v>
      </c>
      <c r="Z8" s="91"/>
      <c r="AA8" s="91" t="s">
        <v>156</v>
      </c>
      <c r="AB8" s="130">
        <v>0.36155816573798</v>
      </c>
      <c r="AC8" s="91">
        <v>0.42</v>
      </c>
      <c r="AD8" s="91">
        <v>0.83</v>
      </c>
    </row>
    <row r="9" spans="1:30" x14ac:dyDescent="0.25">
      <c r="A9" s="316"/>
      <c r="D9" s="129" t="s">
        <v>157</v>
      </c>
      <c r="E9" s="129" t="s">
        <v>158</v>
      </c>
      <c r="G9" s="316"/>
      <c r="M9" s="96" t="s">
        <v>49</v>
      </c>
      <c r="N9" s="97">
        <v>5.6638000000000002</v>
      </c>
      <c r="O9" s="98">
        <v>4.2</v>
      </c>
      <c r="P9" s="93"/>
      <c r="Q9" s="93"/>
      <c r="R9" s="93"/>
      <c r="S9" s="105" t="str">
        <f t="shared" ref="S9:S19" si="1">+M2</f>
        <v xml:space="preserve">Sch 25 (&lt;20,000 kWh/mo) </v>
      </c>
      <c r="T9" s="105">
        <f t="shared" ref="T9:T19" si="2">+N2/100</f>
        <v>9.4196299999999997E-2</v>
      </c>
      <c r="U9" s="93"/>
      <c r="V9" s="91" t="s">
        <v>159</v>
      </c>
      <c r="W9" s="130">
        <v>14.7361502604794</v>
      </c>
      <c r="X9" s="91">
        <v>11</v>
      </c>
      <c r="Y9" s="91">
        <v>24</v>
      </c>
      <c r="Z9" s="91"/>
      <c r="AA9" s="91" t="s">
        <v>159</v>
      </c>
      <c r="AB9" s="130">
        <v>0.41015429738002301</v>
      </c>
      <c r="AC9" s="91">
        <v>0.23</v>
      </c>
      <c r="AD9" s="91">
        <v>0.4</v>
      </c>
    </row>
    <row r="10" spans="1:30" x14ac:dyDescent="0.25">
      <c r="A10" s="316"/>
      <c r="D10" s="129" t="s">
        <v>128</v>
      </c>
      <c r="E10" s="129" t="s">
        <v>160</v>
      </c>
      <c r="G10" s="316"/>
      <c r="M10" s="96" t="s">
        <v>50</v>
      </c>
      <c r="N10" s="97">
        <v>6.5084</v>
      </c>
      <c r="O10" s="98">
        <v>4.9800000000000004</v>
      </c>
      <c r="P10" s="93"/>
      <c r="Q10" s="93"/>
      <c r="R10" s="93"/>
      <c r="S10" s="105" t="str">
        <f t="shared" si="1"/>
        <v xml:space="preserve">Sch 25 (&gt;20,000 kWh/mo) </v>
      </c>
      <c r="T10" s="105">
        <f t="shared" si="2"/>
        <v>7.2469000000000006E-2</v>
      </c>
      <c r="U10" s="93"/>
      <c r="V10" s="91" t="s">
        <v>161</v>
      </c>
      <c r="W10" s="130">
        <v>39.613031090424897</v>
      </c>
      <c r="X10" s="91">
        <v>20</v>
      </c>
      <c r="Y10" s="91">
        <v>39</v>
      </c>
      <c r="Z10" s="91"/>
      <c r="AA10" s="91" t="s">
        <v>161</v>
      </c>
      <c r="AB10" s="130">
        <v>2.4757328360764701</v>
      </c>
      <c r="AC10" s="91">
        <v>0.86</v>
      </c>
      <c r="AD10" s="91">
        <v>1.7</v>
      </c>
    </row>
    <row r="11" spans="1:30" x14ac:dyDescent="0.25">
      <c r="A11" s="316"/>
      <c r="M11" s="96" t="s">
        <v>51</v>
      </c>
      <c r="N11" s="97">
        <v>6.0827999999999998</v>
      </c>
      <c r="O11" s="98">
        <v>2.09</v>
      </c>
      <c r="P11" s="93"/>
      <c r="Q11" s="93"/>
      <c r="R11" s="93"/>
      <c r="S11" s="105" t="str">
        <f t="shared" si="1"/>
        <v>Sch 26 - Primary</v>
      </c>
      <c r="T11" s="105">
        <f t="shared" si="2"/>
        <v>5.6940999999999999E-2</v>
      </c>
      <c r="U11" s="93"/>
      <c r="V11" s="91" t="s">
        <v>162</v>
      </c>
      <c r="W11" s="130">
        <v>9.5914130170678504</v>
      </c>
      <c r="X11" s="91">
        <v>4</v>
      </c>
      <c r="Y11" s="91">
        <v>14</v>
      </c>
      <c r="Z11" s="91"/>
      <c r="AA11" s="91" t="s">
        <v>162</v>
      </c>
      <c r="AB11" s="130">
        <v>0.29059217436248802</v>
      </c>
      <c r="AC11" s="91">
        <v>0.2</v>
      </c>
      <c r="AD11" s="91">
        <v>0.33</v>
      </c>
    </row>
    <row r="12" spans="1:30" x14ac:dyDescent="0.25">
      <c r="A12" s="316"/>
      <c r="E12" s="129" t="s">
        <v>163</v>
      </c>
      <c r="M12" s="96" t="s">
        <v>52</v>
      </c>
      <c r="N12" s="97">
        <v>6.1963999999999997</v>
      </c>
      <c r="O12" s="98">
        <v>3.7</v>
      </c>
      <c r="P12" s="93"/>
      <c r="Q12" s="93"/>
      <c r="R12" s="93"/>
      <c r="S12" s="105" t="str">
        <f t="shared" si="1"/>
        <v>Sch 26 - Secondary</v>
      </c>
      <c r="T12" s="105">
        <f t="shared" si="2"/>
        <v>5.8897999999999999E-2</v>
      </c>
      <c r="U12" s="93"/>
      <c r="V12" s="91" t="s">
        <v>164</v>
      </c>
      <c r="W12" s="130">
        <v>7.3920297154696302</v>
      </c>
      <c r="X12" s="91">
        <v>6.7</v>
      </c>
      <c r="Y12" s="91">
        <v>10</v>
      </c>
      <c r="Z12" s="91"/>
      <c r="AA12" s="91" t="s">
        <v>164</v>
      </c>
      <c r="AB12" s="130">
        <v>0.22458971276074899</v>
      </c>
      <c r="AC12" s="91">
        <v>0.37</v>
      </c>
      <c r="AD12" s="91">
        <v>0.51</v>
      </c>
    </row>
    <row r="13" spans="1:30" x14ac:dyDescent="0.25">
      <c r="M13" s="107" t="s">
        <v>53</v>
      </c>
      <c r="N13" s="108" t="s">
        <v>54</v>
      </c>
      <c r="O13" s="109"/>
      <c r="P13" s="93"/>
      <c r="Q13" s="93"/>
      <c r="R13" s="93"/>
      <c r="S13" s="105" t="str">
        <f t="shared" si="1"/>
        <v>Sch 31</v>
      </c>
      <c r="T13" s="105">
        <f t="shared" si="2"/>
        <v>5.6633000000000003E-2</v>
      </c>
      <c r="U13" s="93"/>
      <c r="V13" s="91" t="s">
        <v>165</v>
      </c>
      <c r="W13" s="130">
        <v>3.7159740091773101</v>
      </c>
      <c r="X13" s="91">
        <v>1.2</v>
      </c>
      <c r="Y13" s="91">
        <v>3.6</v>
      </c>
      <c r="Z13" s="91"/>
      <c r="AA13" s="91" t="s">
        <v>165</v>
      </c>
      <c r="AB13" s="130">
        <v>0.14154110522380001</v>
      </c>
      <c r="AC13" s="91">
        <v>5.3999999999999999E-2</v>
      </c>
      <c r="AD13" s="91">
        <v>0.21</v>
      </c>
    </row>
    <row r="14" spans="1:30" ht="15.75" thickBot="1" x14ac:dyDescent="0.3">
      <c r="M14" s="96" t="s">
        <v>46</v>
      </c>
      <c r="N14" s="98">
        <v>0.81859999999999999</v>
      </c>
      <c r="O14" s="109"/>
      <c r="P14" s="93"/>
      <c r="Q14" s="93"/>
      <c r="R14" s="93"/>
      <c r="S14" s="105" t="str">
        <f t="shared" si="1"/>
        <v>Sch 40-HV</v>
      </c>
      <c r="T14" s="105">
        <f t="shared" si="2"/>
        <v>5.4413000000000003E-2</v>
      </c>
      <c r="U14" s="93"/>
      <c r="V14" s="93"/>
    </row>
    <row r="15" spans="1:30" ht="16.5" thickBot="1" x14ac:dyDescent="0.3">
      <c r="A15" s="110"/>
      <c r="B15" s="783" t="s">
        <v>166</v>
      </c>
      <c r="C15" s="784"/>
      <c r="D15" s="785"/>
      <c r="E15" s="91"/>
      <c r="F15" s="131"/>
      <c r="G15" s="786" t="s">
        <v>167</v>
      </c>
      <c r="H15" s="787"/>
      <c r="I15" s="788"/>
      <c r="J15" s="91"/>
      <c r="M15" s="96" t="s">
        <v>55</v>
      </c>
      <c r="N15" s="98">
        <v>0.50558999999999998</v>
      </c>
      <c r="O15" s="109"/>
      <c r="P15" s="93"/>
      <c r="Q15" s="93"/>
      <c r="R15" s="93"/>
      <c r="S15" s="105" t="str">
        <f t="shared" si="1"/>
        <v>Sch 40-Primary</v>
      </c>
      <c r="T15" s="105">
        <f t="shared" si="2"/>
        <v>5.5190999999999997E-2</v>
      </c>
      <c r="U15" s="93"/>
      <c r="V15" s="93"/>
    </row>
    <row r="16" spans="1:30" ht="39.75" thickBot="1" x14ac:dyDescent="0.3">
      <c r="A16" s="132" t="s">
        <v>168</v>
      </c>
      <c r="B16" s="133" t="s">
        <v>169</v>
      </c>
      <c r="C16" s="134" t="s">
        <v>170</v>
      </c>
      <c r="D16" s="135" t="s">
        <v>171</v>
      </c>
      <c r="E16" s="91"/>
      <c r="F16" s="136" t="s">
        <v>168</v>
      </c>
      <c r="G16" s="137" t="s">
        <v>172</v>
      </c>
      <c r="H16" s="138" t="s">
        <v>173</v>
      </c>
      <c r="I16" s="139" t="s">
        <v>174</v>
      </c>
      <c r="J16" s="91"/>
      <c r="M16" s="96" t="s">
        <v>56</v>
      </c>
      <c r="N16" s="98">
        <v>0.47308</v>
      </c>
      <c r="O16" s="111"/>
      <c r="P16" s="93"/>
      <c r="Q16" s="93"/>
      <c r="R16" s="93"/>
      <c r="S16" s="105" t="str">
        <f t="shared" si="1"/>
        <v>Sch 40-Secondary</v>
      </c>
      <c r="T16" s="105">
        <f t="shared" si="2"/>
        <v>5.6638000000000001E-2</v>
      </c>
      <c r="U16" s="93"/>
      <c r="V16" s="93"/>
    </row>
    <row r="17" spans="1:22" ht="15.75" thickBot="1" x14ac:dyDescent="0.3">
      <c r="A17" s="140" t="s">
        <v>175</v>
      </c>
      <c r="B17" s="141">
        <v>1</v>
      </c>
      <c r="C17" s="142">
        <v>3</v>
      </c>
      <c r="D17" s="143">
        <v>4</v>
      </c>
      <c r="E17" s="91"/>
      <c r="F17" s="144" t="s">
        <v>175</v>
      </c>
      <c r="G17" s="145">
        <v>1</v>
      </c>
      <c r="H17" s="146">
        <v>2</v>
      </c>
      <c r="I17" s="147"/>
      <c r="J17" s="91"/>
      <c r="M17" s="96" t="s">
        <v>57</v>
      </c>
      <c r="N17" s="98">
        <v>0.47736000000000001</v>
      </c>
      <c r="O17" s="111"/>
      <c r="P17" s="93"/>
      <c r="Q17" s="93"/>
      <c r="R17" s="93"/>
      <c r="S17" s="105" t="str">
        <f t="shared" si="1"/>
        <v>Sch 43</v>
      </c>
      <c r="T17" s="105">
        <f t="shared" si="2"/>
        <v>6.5084000000000003E-2</v>
      </c>
      <c r="U17" s="93"/>
      <c r="V17" s="93"/>
    </row>
    <row r="18" spans="1:22" x14ac:dyDescent="0.25">
      <c r="A18" s="112">
        <v>5</v>
      </c>
      <c r="B18" s="148">
        <v>56.065624427834763</v>
      </c>
      <c r="C18" s="149">
        <v>39.387940325869415</v>
      </c>
      <c r="D18" s="150">
        <v>31.99845652045537</v>
      </c>
      <c r="E18" s="91"/>
      <c r="F18" s="151">
        <v>5</v>
      </c>
      <c r="G18" s="113">
        <v>4.7146597111525423</v>
      </c>
      <c r="H18" s="114">
        <v>4.0836368552917452</v>
      </c>
      <c r="I18" s="114">
        <v>3.8424371265629671</v>
      </c>
      <c r="J18" s="91"/>
      <c r="M18" s="96" t="s">
        <v>58</v>
      </c>
      <c r="N18" s="98">
        <v>0.41961999999999999</v>
      </c>
      <c r="O18" s="111"/>
      <c r="P18" s="93"/>
      <c r="Q18" s="93"/>
      <c r="R18" s="93"/>
      <c r="S18" s="105" t="str">
        <f t="shared" si="1"/>
        <v>Sch 46</v>
      </c>
      <c r="T18" s="105">
        <f t="shared" si="2"/>
        <v>6.0828E-2</v>
      </c>
      <c r="U18" s="93"/>
      <c r="V18" s="93"/>
    </row>
    <row r="19" spans="1:22" x14ac:dyDescent="0.25">
      <c r="A19" s="115"/>
      <c r="B19" s="115"/>
      <c r="C19" s="115"/>
      <c r="E19" s="91"/>
      <c r="F19" s="131"/>
      <c r="G19" s="131"/>
      <c r="H19" s="131"/>
      <c r="I19" s="131"/>
      <c r="J19" s="91"/>
      <c r="M19" s="96" t="s">
        <v>59</v>
      </c>
      <c r="N19" s="98">
        <v>0.41682000000000002</v>
      </c>
      <c r="O19" s="111"/>
      <c r="P19" s="93"/>
      <c r="Q19" s="93"/>
      <c r="R19" s="93"/>
      <c r="S19" s="105" t="str">
        <f t="shared" si="1"/>
        <v>Sch 49</v>
      </c>
      <c r="T19" s="105">
        <f t="shared" si="2"/>
        <v>6.1963999999999998E-2</v>
      </c>
      <c r="U19" s="93"/>
      <c r="V19" s="93"/>
    </row>
    <row r="20" spans="1:22" x14ac:dyDescent="0.25">
      <c r="A20" s="116" t="s">
        <v>176</v>
      </c>
      <c r="B20" s="110"/>
      <c r="C20" s="110"/>
      <c r="E20" s="91"/>
      <c r="F20" s="131" t="s">
        <v>177</v>
      </c>
      <c r="G20" s="131"/>
      <c r="H20" s="131"/>
      <c r="I20" s="131"/>
      <c r="J20" s="91"/>
      <c r="M20" s="96" t="s">
        <v>60</v>
      </c>
      <c r="N20" s="98">
        <v>0.62121000000000004</v>
      </c>
      <c r="O20" s="111"/>
      <c r="P20" s="93"/>
      <c r="Q20" s="93"/>
      <c r="R20" s="93"/>
      <c r="S20" s="93"/>
      <c r="T20" s="93"/>
      <c r="U20" s="93"/>
      <c r="V20" s="93"/>
    </row>
    <row r="21" spans="1:22" x14ac:dyDescent="0.25">
      <c r="M21" s="96" t="s">
        <v>61</v>
      </c>
      <c r="N21" s="98">
        <v>0.55139000000000005</v>
      </c>
      <c r="O21" s="111"/>
      <c r="P21" s="93"/>
      <c r="Q21" s="93"/>
      <c r="R21" s="93"/>
      <c r="S21" s="93"/>
      <c r="T21" s="93"/>
      <c r="U21" s="93"/>
      <c r="V21" s="93"/>
    </row>
    <row r="22" spans="1:22" x14ac:dyDescent="0.25">
      <c r="M22" s="96" t="s">
        <v>62</v>
      </c>
      <c r="N22" s="98">
        <v>0.52439000000000002</v>
      </c>
      <c r="O22" s="111"/>
      <c r="P22" s="93"/>
      <c r="Q22" s="93"/>
      <c r="R22" s="93"/>
      <c r="S22" s="93"/>
      <c r="T22" s="93"/>
      <c r="U22" s="93"/>
      <c r="V22" s="93"/>
    </row>
    <row r="23" spans="1:22" x14ac:dyDescent="0.25">
      <c r="A23" s="152" t="s">
        <v>178</v>
      </c>
      <c r="B23" s="153">
        <v>8.9484500000000011</v>
      </c>
      <c r="D23" s="154" t="s">
        <v>179</v>
      </c>
      <c r="E23" s="155" t="s">
        <v>54</v>
      </c>
      <c r="M23" s="96" t="s">
        <v>63</v>
      </c>
      <c r="N23" s="98">
        <v>0.46048</v>
      </c>
      <c r="O23" s="111"/>
      <c r="P23" s="93"/>
      <c r="Q23" s="93"/>
      <c r="R23" s="93"/>
      <c r="S23" s="93"/>
      <c r="T23" s="93"/>
      <c r="U23" s="93"/>
      <c r="V23" s="93"/>
    </row>
    <row r="24" spans="1:22" x14ac:dyDescent="0.25">
      <c r="A24" s="152" t="s">
        <v>180</v>
      </c>
      <c r="B24" s="153">
        <v>8.6617500000000014</v>
      </c>
      <c r="D24" s="152" t="s">
        <v>46</v>
      </c>
      <c r="E24" s="156">
        <v>0.96897999999999995</v>
      </c>
      <c r="M24" s="96" t="s">
        <v>64</v>
      </c>
      <c r="N24" s="98">
        <v>0.42499999999999999</v>
      </c>
      <c r="O24" s="111"/>
      <c r="P24" s="93"/>
      <c r="Q24" s="93"/>
      <c r="R24" s="93"/>
      <c r="S24" s="93"/>
      <c r="T24" s="93"/>
      <c r="U24" s="93"/>
      <c r="V24" s="93"/>
    </row>
    <row r="25" spans="1:22" x14ac:dyDescent="0.25">
      <c r="A25" s="152" t="s">
        <v>181</v>
      </c>
      <c r="B25" s="153">
        <v>6.4847000000000001</v>
      </c>
      <c r="D25" s="152" t="s">
        <v>55</v>
      </c>
      <c r="E25" s="156">
        <v>0.67525999999999997</v>
      </c>
      <c r="I25" s="129" t="s">
        <v>139</v>
      </c>
      <c r="M25" s="96" t="s">
        <v>65</v>
      </c>
      <c r="N25" s="98">
        <v>0.40271000000000001</v>
      </c>
      <c r="O25" s="111"/>
      <c r="P25" s="93"/>
      <c r="Q25" s="93"/>
      <c r="R25" s="93"/>
      <c r="S25" s="93"/>
      <c r="T25" s="93"/>
      <c r="U25" s="93"/>
      <c r="V25" s="93"/>
    </row>
    <row r="26" spans="1:22" x14ac:dyDescent="0.25">
      <c r="A26" s="152" t="s">
        <v>182</v>
      </c>
      <c r="B26" s="153">
        <v>5.0994000000000002</v>
      </c>
      <c r="D26" s="152" t="s">
        <v>56</v>
      </c>
      <c r="E26" s="156">
        <v>0.64573000000000003</v>
      </c>
      <c r="I26" s="129" t="s">
        <v>143</v>
      </c>
      <c r="M26" s="96" t="s">
        <v>66</v>
      </c>
      <c r="N26" s="98">
        <v>0.39154</v>
      </c>
      <c r="O26" s="111"/>
      <c r="P26" s="93"/>
      <c r="Q26" s="93"/>
      <c r="R26" s="93"/>
      <c r="S26" s="93"/>
      <c r="T26" s="93"/>
      <c r="U26" s="93"/>
      <c r="V26" s="93"/>
    </row>
    <row r="27" spans="1:22" x14ac:dyDescent="0.25">
      <c r="A27" s="152" t="s">
        <v>183</v>
      </c>
      <c r="B27" s="153">
        <v>5.2950999999999997</v>
      </c>
      <c r="D27" s="152" t="s">
        <v>57</v>
      </c>
      <c r="E27" s="156">
        <v>0.66764999999999997</v>
      </c>
      <c r="M27" s="96" t="s">
        <v>67</v>
      </c>
      <c r="N27" s="98">
        <v>0.38496000000000002</v>
      </c>
      <c r="O27" s="111"/>
      <c r="P27" s="93"/>
      <c r="Q27" s="93"/>
      <c r="R27" s="93"/>
      <c r="S27" s="93"/>
      <c r="T27" s="93"/>
      <c r="U27" s="93"/>
      <c r="V27" s="93"/>
    </row>
    <row r="28" spans="1:22" x14ac:dyDescent="0.25">
      <c r="A28" s="152" t="s">
        <v>184</v>
      </c>
      <c r="B28" s="153">
        <v>9.6278500000000005</v>
      </c>
      <c r="D28" s="152" t="s">
        <v>58</v>
      </c>
      <c r="E28" s="156">
        <v>0.61190999999999995</v>
      </c>
      <c r="M28" s="93"/>
      <c r="N28" s="93"/>
      <c r="O28" s="93"/>
      <c r="P28" s="93"/>
      <c r="Q28" s="93"/>
      <c r="R28" s="93"/>
      <c r="S28" s="93"/>
      <c r="T28" s="93"/>
      <c r="U28" s="93"/>
      <c r="V28" s="93"/>
    </row>
    <row r="29" spans="1:22" x14ac:dyDescent="0.25">
      <c r="A29" s="152" t="s">
        <v>42</v>
      </c>
      <c r="B29" s="153">
        <v>9.3411500000000007</v>
      </c>
      <c r="D29" s="152" t="s">
        <v>59</v>
      </c>
      <c r="E29" s="156">
        <v>0.60889000000000004</v>
      </c>
      <c r="M29" s="93"/>
      <c r="N29" s="93"/>
      <c r="O29" s="93"/>
      <c r="P29" s="93"/>
      <c r="Q29" s="93"/>
      <c r="R29" s="93"/>
      <c r="S29" s="93"/>
      <c r="T29" s="93"/>
      <c r="U29" s="93"/>
      <c r="V29" s="93"/>
    </row>
    <row r="30" spans="1:22" x14ac:dyDescent="0.25">
      <c r="A30" s="152" t="s">
        <v>43</v>
      </c>
      <c r="B30" s="153">
        <v>7.1640999999999995</v>
      </c>
      <c r="D30" s="152" t="s">
        <v>60</v>
      </c>
      <c r="E30" s="156">
        <v>0.78773000000000004</v>
      </c>
      <c r="M30" s="93"/>
      <c r="N30" s="93"/>
      <c r="O30" s="93"/>
    </row>
    <row r="31" spans="1:22" x14ac:dyDescent="0.25">
      <c r="A31" s="152" t="s">
        <v>44</v>
      </c>
      <c r="B31" s="153">
        <v>5.7787999999999995</v>
      </c>
      <c r="D31" s="152" t="s">
        <v>61</v>
      </c>
      <c r="E31" s="156">
        <v>0.72431000000000001</v>
      </c>
      <c r="M31" s="99" t="s">
        <v>71</v>
      </c>
      <c r="N31" s="93"/>
      <c r="O31" s="93"/>
    </row>
    <row r="32" spans="1:22" x14ac:dyDescent="0.25">
      <c r="A32" s="152" t="s">
        <v>45</v>
      </c>
      <c r="B32" s="153">
        <v>5.9744999999999999</v>
      </c>
      <c r="D32" s="152" t="s">
        <v>62</v>
      </c>
      <c r="E32" s="156">
        <v>0.70843999999999996</v>
      </c>
      <c r="M32" s="117" t="s">
        <v>72</v>
      </c>
      <c r="N32" s="118">
        <v>9.7300000000000011E-2</v>
      </c>
      <c r="O32" s="93"/>
    </row>
    <row r="33" spans="1:22" x14ac:dyDescent="0.25">
      <c r="A33" s="152" t="s">
        <v>185</v>
      </c>
      <c r="B33" s="153">
        <v>7.6959</v>
      </c>
      <c r="D33" s="152" t="s">
        <v>63</v>
      </c>
      <c r="E33" s="156">
        <v>0.64678999999999998</v>
      </c>
      <c r="M33" s="117" t="s">
        <v>73</v>
      </c>
      <c r="N33" s="118">
        <v>7.7512500000000012E-2</v>
      </c>
      <c r="O33" s="93"/>
    </row>
    <row r="34" spans="1:22" x14ac:dyDescent="0.25">
      <c r="A34" s="152" t="s">
        <v>186</v>
      </c>
      <c r="B34" s="153">
        <v>6.1522500000000004</v>
      </c>
      <c r="D34" s="152" t="s">
        <v>64</v>
      </c>
      <c r="E34" s="156">
        <v>0.61253999999999997</v>
      </c>
      <c r="M34" s="117" t="s">
        <v>74</v>
      </c>
      <c r="N34" s="118">
        <v>8.9285714285714288E-2</v>
      </c>
      <c r="O34" s="93"/>
    </row>
    <row r="35" spans="1:22" x14ac:dyDescent="0.25">
      <c r="A35" s="152" t="s">
        <v>46</v>
      </c>
      <c r="B35" s="153">
        <v>5.7888000000000002</v>
      </c>
      <c r="D35" s="152" t="s">
        <v>65</v>
      </c>
      <c r="E35" s="156">
        <v>0.59104999999999996</v>
      </c>
      <c r="M35" s="117" t="s">
        <v>75</v>
      </c>
      <c r="N35" s="118">
        <v>8.09E-2</v>
      </c>
      <c r="O35" s="93"/>
    </row>
    <row r="36" spans="1:22" x14ac:dyDescent="0.25">
      <c r="A36" s="152" t="s">
        <v>47</v>
      </c>
      <c r="B36" s="153">
        <v>5.4413</v>
      </c>
      <c r="D36" s="152" t="s">
        <v>66</v>
      </c>
      <c r="E36" s="156">
        <v>0.58026999999999995</v>
      </c>
      <c r="M36" s="93"/>
      <c r="N36" s="93"/>
      <c r="O36" s="93"/>
    </row>
    <row r="37" spans="1:22" x14ac:dyDescent="0.25">
      <c r="A37" s="152" t="s">
        <v>48</v>
      </c>
      <c r="B37" s="153">
        <v>5.5190999999999999</v>
      </c>
      <c r="D37" s="152" t="s">
        <v>67</v>
      </c>
      <c r="E37" s="156" t="e">
        <f>(C37*VLOOKUP(Project_Type,Hidden!A3:H6,5)*100000+D37*VLOOKUP(Project_Type,Hidden!G7:I10,3)*3412)/1000</f>
        <v>#VALUE!</v>
      </c>
      <c r="M37" s="93"/>
      <c r="N37" s="93"/>
      <c r="O37" s="93"/>
    </row>
    <row r="38" spans="1:22" x14ac:dyDescent="0.25">
      <c r="A38" s="152" t="s">
        <v>49</v>
      </c>
      <c r="B38" s="153">
        <v>5.6638000000000002</v>
      </c>
      <c r="M38" s="117" t="s">
        <v>78</v>
      </c>
      <c r="N38" s="93"/>
      <c r="O38" s="93"/>
    </row>
    <row r="39" spans="1:22" x14ac:dyDescent="0.25">
      <c r="A39" s="152" t="s">
        <v>50</v>
      </c>
      <c r="B39" s="153">
        <v>6.508</v>
      </c>
      <c r="M39" s="119">
        <v>0.05</v>
      </c>
      <c r="N39" s="93"/>
      <c r="O39" s="93"/>
    </row>
    <row r="40" spans="1:22" x14ac:dyDescent="0.25">
      <c r="A40" s="152" t="s">
        <v>51</v>
      </c>
      <c r="B40" s="153">
        <v>6.0488999999999997</v>
      </c>
      <c r="M40" s="119">
        <v>0.1</v>
      </c>
      <c r="N40" s="93"/>
      <c r="O40" s="93"/>
    </row>
    <row r="41" spans="1:22" x14ac:dyDescent="0.25">
      <c r="A41" s="152" t="s">
        <v>52</v>
      </c>
      <c r="B41" s="153">
        <v>6.1025999999999998</v>
      </c>
      <c r="M41" s="119">
        <v>0.15</v>
      </c>
      <c r="N41" s="93"/>
      <c r="O41" s="93"/>
    </row>
    <row r="42" spans="1:22" x14ac:dyDescent="0.25">
      <c r="M42" s="93"/>
      <c r="N42" s="93"/>
      <c r="O42" s="93"/>
    </row>
    <row r="43" spans="1:22" x14ac:dyDescent="0.25">
      <c r="M43" s="93"/>
      <c r="N43" s="93"/>
      <c r="O43" s="93"/>
      <c r="P43" s="93"/>
      <c r="Q43" s="93"/>
      <c r="R43" s="93"/>
      <c r="S43" s="93"/>
      <c r="T43" s="93"/>
      <c r="U43" s="93"/>
      <c r="V43" s="93"/>
    </row>
    <row r="44" spans="1:22" x14ac:dyDescent="0.25">
      <c r="A44" s="91"/>
      <c r="B44" s="120"/>
      <c r="C44" s="120"/>
      <c r="M44" s="99" t="s">
        <v>36</v>
      </c>
      <c r="N44" s="93"/>
      <c r="O44" s="93"/>
      <c r="P44" s="93"/>
      <c r="Q44" s="93"/>
      <c r="R44" s="93"/>
      <c r="S44" s="93"/>
      <c r="T44" s="93"/>
      <c r="U44" s="93"/>
      <c r="V44" s="93"/>
    </row>
    <row r="45" spans="1:22" x14ac:dyDescent="0.25">
      <c r="A45" s="89"/>
      <c r="B45" s="91"/>
      <c r="C45" s="91"/>
      <c r="M45" s="99" t="s">
        <v>37</v>
      </c>
      <c r="N45" s="93"/>
      <c r="O45" s="93"/>
      <c r="P45" s="93"/>
      <c r="Q45" s="93"/>
      <c r="R45" s="93"/>
      <c r="S45" s="93"/>
      <c r="T45" s="93"/>
      <c r="U45" s="93"/>
      <c r="V45" s="93"/>
    </row>
    <row r="46" spans="1:22" x14ac:dyDescent="0.25">
      <c r="A46" s="120"/>
      <c r="B46" s="91"/>
      <c r="C46" s="91"/>
      <c r="M46" s="93"/>
      <c r="N46" s="93"/>
      <c r="O46" s="93"/>
      <c r="P46" s="93"/>
      <c r="Q46" s="93"/>
      <c r="R46" s="93"/>
      <c r="S46" s="93"/>
      <c r="T46" s="93"/>
      <c r="U46" s="93"/>
      <c r="V46" s="93"/>
    </row>
    <row r="47" spans="1:22" x14ac:dyDescent="0.25">
      <c r="A47" s="777"/>
      <c r="B47" s="777"/>
      <c r="C47" s="777"/>
    </row>
  </sheetData>
  <mergeCells count="7">
    <mergeCell ref="A47:C47"/>
    <mergeCell ref="A1:D1"/>
    <mergeCell ref="V1:AD1"/>
    <mergeCell ref="V2:Y2"/>
    <mergeCell ref="AA2:AD2"/>
    <mergeCell ref="B15:D15"/>
    <mergeCell ref="G15:I15"/>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view="pageLayout" zoomScaleNormal="100" zoomScaleSheetLayoutView="100" workbookViewId="0">
      <selection activeCell="E5" sqref="E5"/>
    </sheetView>
  </sheetViews>
  <sheetFormatPr defaultRowHeight="21.75" customHeight="1" x14ac:dyDescent="0.2"/>
  <cols>
    <col min="1" max="1" width="8.42578125" style="91" customWidth="1"/>
    <col min="2" max="2" width="6.28515625" style="91" customWidth="1"/>
    <col min="3" max="3" width="22.28515625" style="91" customWidth="1"/>
    <col min="4" max="4" width="14.42578125" style="91" customWidth="1"/>
    <col min="5" max="5" width="27.85546875" style="91" customWidth="1"/>
    <col min="6" max="6" width="11.85546875" style="91" customWidth="1"/>
    <col min="7" max="16384" width="9.140625" style="91"/>
  </cols>
  <sheetData>
    <row r="2" spans="1:6" ht="21.75" customHeight="1" x14ac:dyDescent="0.2">
      <c r="A2" s="577" t="s">
        <v>314</v>
      </c>
      <c r="B2" s="578"/>
      <c r="C2" s="578"/>
      <c r="D2" s="578"/>
      <c r="E2" s="578"/>
    </row>
    <row r="3" spans="1:6" ht="21.75" customHeight="1" x14ac:dyDescent="0.2">
      <c r="A3" s="579" t="s">
        <v>315</v>
      </c>
      <c r="B3" s="580"/>
      <c r="C3" s="580"/>
      <c r="D3" s="580"/>
    </row>
    <row r="4" spans="1:6" ht="21.75" customHeight="1" x14ac:dyDescent="0.2">
      <c r="A4" s="579"/>
      <c r="B4" s="580"/>
      <c r="C4" s="580"/>
      <c r="D4" s="580"/>
    </row>
    <row r="5" spans="1:6" ht="21.75" customHeight="1" x14ac:dyDescent="0.2">
      <c r="A5" s="579"/>
      <c r="B5" s="580"/>
      <c r="C5" s="580"/>
      <c r="D5" s="580"/>
    </row>
    <row r="6" spans="1:6" ht="21.75" customHeight="1" x14ac:dyDescent="0.2">
      <c r="A6" s="581"/>
      <c r="B6" s="581"/>
      <c r="C6" s="581"/>
      <c r="D6" s="581"/>
    </row>
    <row r="7" spans="1:6" ht="21.75" customHeight="1" x14ac:dyDescent="0.2">
      <c r="A7" s="789" t="s">
        <v>316</v>
      </c>
      <c r="B7" s="789"/>
      <c r="C7" s="789"/>
      <c r="D7" s="789"/>
      <c r="E7" s="789"/>
      <c r="F7" s="789"/>
    </row>
    <row r="8" spans="1:6" ht="27" customHeight="1" x14ac:dyDescent="0.2">
      <c r="A8" s="482" t="s">
        <v>317</v>
      </c>
      <c r="B8" s="482" t="s">
        <v>318</v>
      </c>
      <c r="C8" s="482" t="s">
        <v>319</v>
      </c>
      <c r="D8" s="482" t="s">
        <v>320</v>
      </c>
      <c r="E8" s="482" t="s">
        <v>321</v>
      </c>
      <c r="F8" s="483" t="s">
        <v>322</v>
      </c>
    </row>
    <row r="9" spans="1:6" ht="21.75" customHeight="1" x14ac:dyDescent="0.2">
      <c r="A9" s="517"/>
      <c r="B9" s="517"/>
      <c r="C9" s="517"/>
      <c r="D9" s="517"/>
      <c r="E9" s="517"/>
      <c r="F9" s="517"/>
    </row>
    <row r="10" spans="1:6" ht="21.75" customHeight="1" x14ac:dyDescent="0.2">
      <c r="A10" s="518"/>
      <c r="B10" s="518"/>
      <c r="C10" s="518"/>
      <c r="D10" s="518"/>
      <c r="E10" s="518"/>
      <c r="F10" s="518"/>
    </row>
    <row r="11" spans="1:6" ht="21.75" customHeight="1" x14ac:dyDescent="0.2">
      <c r="A11" s="518"/>
      <c r="B11" s="518"/>
      <c r="C11" s="518"/>
      <c r="D11" s="518"/>
      <c r="E11" s="518"/>
      <c r="F11" s="518"/>
    </row>
    <row r="12" spans="1:6" ht="21.75" customHeight="1" x14ac:dyDescent="0.2">
      <c r="A12" s="518"/>
      <c r="B12" s="518"/>
      <c r="C12" s="518"/>
      <c r="D12" s="518"/>
      <c r="E12" s="518"/>
      <c r="F12" s="518"/>
    </row>
    <row r="13" spans="1:6" ht="21.75" customHeight="1" x14ac:dyDescent="0.2">
      <c r="A13" s="518"/>
      <c r="B13" s="518"/>
      <c r="C13" s="518"/>
      <c r="D13" s="518"/>
      <c r="E13" s="518"/>
      <c r="F13" s="518"/>
    </row>
    <row r="14" spans="1:6" ht="21.75" customHeight="1" x14ac:dyDescent="0.2">
      <c r="A14" s="518"/>
      <c r="B14" s="518"/>
      <c r="C14" s="518"/>
      <c r="D14" s="518"/>
      <c r="E14" s="518"/>
      <c r="F14" s="518"/>
    </row>
    <row r="15" spans="1:6" ht="21.75" customHeight="1" x14ac:dyDescent="0.2">
      <c r="A15" s="518"/>
      <c r="B15" s="518"/>
      <c r="C15" s="518"/>
      <c r="D15" s="518"/>
      <c r="E15" s="518"/>
      <c r="F15" s="518"/>
    </row>
    <row r="16" spans="1:6" ht="21.75" customHeight="1" x14ac:dyDescent="0.2">
      <c r="A16" s="518"/>
      <c r="B16" s="518"/>
      <c r="C16" s="518"/>
      <c r="D16" s="518"/>
      <c r="E16" s="518"/>
      <c r="F16" s="518"/>
    </row>
    <row r="17" spans="1:6" ht="21.75" customHeight="1" x14ac:dyDescent="0.2">
      <c r="A17" s="518"/>
      <c r="B17" s="518"/>
      <c r="C17" s="518"/>
      <c r="D17" s="518"/>
      <c r="E17" s="518"/>
      <c r="F17" s="518"/>
    </row>
    <row r="18" spans="1:6" ht="21.75" customHeight="1" x14ac:dyDescent="0.2">
      <c r="A18" s="519"/>
      <c r="B18" s="519"/>
      <c r="C18" s="519"/>
      <c r="D18" s="519"/>
      <c r="E18" s="519"/>
      <c r="F18" s="519"/>
    </row>
    <row r="19" spans="1:6" ht="21.75" customHeight="1" x14ac:dyDescent="0.2">
      <c r="A19" s="789" t="s">
        <v>323</v>
      </c>
      <c r="B19" s="789"/>
      <c r="C19" s="789"/>
      <c r="D19" s="789"/>
      <c r="E19" s="789"/>
      <c r="F19" s="789"/>
    </row>
    <row r="20" spans="1:6" ht="26.25" customHeight="1" x14ac:dyDescent="0.2">
      <c r="A20" s="482" t="s">
        <v>317</v>
      </c>
      <c r="B20" s="482" t="s">
        <v>318</v>
      </c>
      <c r="C20" s="482" t="s">
        <v>319</v>
      </c>
      <c r="D20" s="482" t="s">
        <v>320</v>
      </c>
      <c r="E20" s="482" t="s">
        <v>321</v>
      </c>
      <c r="F20" s="483" t="s">
        <v>322</v>
      </c>
    </row>
    <row r="21" spans="1:6" ht="21.75" customHeight="1" x14ac:dyDescent="0.2">
      <c r="A21" s="518"/>
      <c r="B21" s="518"/>
      <c r="C21" s="518"/>
      <c r="D21" s="518"/>
      <c r="E21" s="518"/>
      <c r="F21" s="518"/>
    </row>
    <row r="22" spans="1:6" ht="21.75" customHeight="1" x14ac:dyDescent="0.2">
      <c r="A22" s="518"/>
      <c r="B22" s="518"/>
      <c r="C22" s="518"/>
      <c r="D22" s="518"/>
      <c r="E22" s="518"/>
      <c r="F22" s="518"/>
    </row>
    <row r="23" spans="1:6" ht="21.75" customHeight="1" x14ac:dyDescent="0.2">
      <c r="A23" s="518"/>
      <c r="B23" s="518"/>
      <c r="C23" s="518"/>
      <c r="D23" s="518"/>
      <c r="E23" s="518"/>
      <c r="F23" s="518"/>
    </row>
    <row r="24" spans="1:6" ht="21.75" customHeight="1" x14ac:dyDescent="0.2">
      <c r="A24" s="518"/>
      <c r="B24" s="518"/>
      <c r="C24" s="518"/>
      <c r="D24" s="518"/>
      <c r="E24" s="518"/>
      <c r="F24" s="518"/>
    </row>
    <row r="25" spans="1:6" ht="21.75" customHeight="1" x14ac:dyDescent="0.2">
      <c r="A25" s="518"/>
      <c r="B25" s="518"/>
      <c r="C25" s="518"/>
      <c r="D25" s="518"/>
      <c r="E25" s="518"/>
      <c r="F25" s="518"/>
    </row>
    <row r="26" spans="1:6" ht="21.75" customHeight="1" x14ac:dyDescent="0.2">
      <c r="A26" s="518"/>
      <c r="B26" s="518"/>
      <c r="C26" s="518"/>
      <c r="D26" s="518"/>
      <c r="E26" s="518"/>
      <c r="F26" s="518"/>
    </row>
    <row r="27" spans="1:6" ht="21.75" customHeight="1" x14ac:dyDescent="0.2">
      <c r="A27" s="518"/>
      <c r="B27" s="518"/>
      <c r="C27" s="518"/>
      <c r="D27" s="518"/>
      <c r="E27" s="518"/>
      <c r="F27" s="518"/>
    </row>
    <row r="28" spans="1:6" ht="21.75" customHeight="1" x14ac:dyDescent="0.2">
      <c r="A28" s="518"/>
      <c r="B28" s="518"/>
      <c r="C28" s="518"/>
      <c r="D28" s="518"/>
      <c r="E28" s="518"/>
      <c r="F28" s="518"/>
    </row>
    <row r="29" spans="1:6" ht="21.75" customHeight="1" x14ac:dyDescent="0.2">
      <c r="A29" s="518"/>
      <c r="B29" s="518"/>
      <c r="C29" s="518"/>
      <c r="D29" s="518"/>
      <c r="E29" s="518"/>
      <c r="F29" s="518"/>
    </row>
    <row r="30" spans="1:6" ht="21.75" customHeight="1" x14ac:dyDescent="0.2">
      <c r="A30" s="518"/>
      <c r="B30" s="518"/>
      <c r="C30" s="518"/>
      <c r="D30" s="518"/>
      <c r="E30" s="518"/>
      <c r="F30" s="518"/>
    </row>
    <row r="31" spans="1:6" ht="21.75" customHeight="1" x14ac:dyDescent="0.2">
      <c r="A31" s="518"/>
      <c r="B31" s="518"/>
      <c r="C31" s="518"/>
      <c r="D31" s="518"/>
      <c r="E31" s="518"/>
      <c r="F31" s="518"/>
    </row>
  </sheetData>
  <mergeCells count="2">
    <mergeCell ref="A7:F7"/>
    <mergeCell ref="A19:F19"/>
  </mergeCells>
  <pageMargins left="0.7" right="0.7" top="0.75" bottom="0.75" header="0.3" footer="0.3"/>
  <pageSetup orientation="portrait" horizontalDpi="1200" verticalDpi="1200" r:id="rId1"/>
  <headerFooter>
    <oddHeader xml:space="preserve">&amp;L&amp;G&amp;RMonitoring-Based Commissioning 
Operation and Maintenance Staff Training  </oddHeader>
    <oddFoote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41"/>
  <sheetViews>
    <sheetView view="pageLayout" topLeftCell="A31" zoomScaleNormal="100" workbookViewId="0">
      <selection activeCell="D37" sqref="D37:J37"/>
    </sheetView>
  </sheetViews>
  <sheetFormatPr defaultColWidth="9.140625" defaultRowHeight="12.75" x14ac:dyDescent="0.2"/>
  <cols>
    <col min="1" max="1" width="7.140625" style="1" customWidth="1"/>
    <col min="2" max="2" width="13.42578125" style="1" customWidth="1"/>
    <col min="3" max="3" width="6.5703125" style="1" customWidth="1"/>
    <col min="4" max="4" width="9" style="1" customWidth="1"/>
    <col min="5" max="5" width="2.28515625" style="1" customWidth="1"/>
    <col min="6" max="6" width="11.42578125" style="1" customWidth="1"/>
    <col min="7" max="7" width="12.7109375" style="1" customWidth="1"/>
    <col min="8" max="8" width="13.85546875" style="1" customWidth="1"/>
    <col min="9" max="9" width="10" style="1" customWidth="1"/>
    <col min="10" max="10" width="4.28515625" style="1" customWidth="1"/>
    <col min="11" max="11" width="10.85546875" style="1" customWidth="1"/>
    <col min="12" max="12" width="9.140625" style="1"/>
    <col min="13" max="13" width="8" style="1" customWidth="1"/>
    <col min="14" max="14" width="18.85546875" style="1" hidden="1" customWidth="1"/>
    <col min="15" max="15" width="22.140625" style="1" hidden="1" customWidth="1"/>
    <col min="16" max="16" width="13.85546875" style="1" hidden="1" customWidth="1"/>
    <col min="17" max="17" width="18.5703125" style="1" hidden="1" customWidth="1"/>
    <col min="18" max="16384" width="9.140625" style="1"/>
  </cols>
  <sheetData>
    <row r="1" spans="1:17" ht="16.5" customHeight="1" thickBot="1" x14ac:dyDescent="0.3">
      <c r="A1" s="817" t="s">
        <v>27</v>
      </c>
      <c r="B1" s="818"/>
      <c r="C1" s="819"/>
      <c r="D1" s="819"/>
      <c r="E1" s="819"/>
      <c r="F1" s="819"/>
      <c r="G1" s="819"/>
      <c r="H1" s="819"/>
      <c r="I1" s="819"/>
      <c r="J1" s="820"/>
      <c r="K1" s="39"/>
    </row>
    <row r="2" spans="1:17" x14ac:dyDescent="0.2">
      <c r="A2" s="821" t="s">
        <v>87</v>
      </c>
      <c r="B2" s="822"/>
      <c r="C2" s="822"/>
      <c r="D2" s="822"/>
      <c r="E2" s="822"/>
      <c r="F2" s="822"/>
      <c r="G2" s="822"/>
      <c r="H2" s="822"/>
      <c r="I2" s="822"/>
      <c r="J2" s="823"/>
      <c r="K2" s="40"/>
    </row>
    <row r="3" spans="1:17" x14ac:dyDescent="0.2">
      <c r="A3" s="824" t="s">
        <v>88</v>
      </c>
      <c r="B3" s="825"/>
      <c r="C3" s="825"/>
      <c r="D3" s="825"/>
      <c r="E3" s="825"/>
      <c r="F3" s="825"/>
      <c r="G3" s="825"/>
      <c r="H3" s="825"/>
      <c r="I3" s="825"/>
      <c r="J3" s="826"/>
      <c r="K3" s="40"/>
      <c r="L3" s="23"/>
      <c r="M3" s="23"/>
    </row>
    <row r="4" spans="1:17" x14ac:dyDescent="0.2">
      <c r="A4" s="801" t="s">
        <v>89</v>
      </c>
      <c r="B4" s="802"/>
      <c r="C4" s="802"/>
      <c r="D4" s="802"/>
      <c r="E4" s="802"/>
      <c r="F4" s="802"/>
      <c r="G4" s="802"/>
      <c r="H4" s="802"/>
      <c r="I4" s="802"/>
      <c r="J4" s="803"/>
      <c r="K4" s="41"/>
    </row>
    <row r="5" spans="1:17" x14ac:dyDescent="0.2">
      <c r="A5" s="801" t="s">
        <v>90</v>
      </c>
      <c r="B5" s="802"/>
      <c r="C5" s="802"/>
      <c r="D5" s="802"/>
      <c r="E5" s="802"/>
      <c r="F5" s="802"/>
      <c r="G5" s="802"/>
      <c r="H5" s="802"/>
      <c r="I5" s="802"/>
      <c r="J5" s="803"/>
      <c r="K5" s="41"/>
    </row>
    <row r="6" spans="1:17" ht="13.5" thickBot="1" x14ac:dyDescent="0.25">
      <c r="A6" s="804" t="s">
        <v>91</v>
      </c>
      <c r="B6" s="805"/>
      <c r="C6" s="805"/>
      <c r="D6" s="805"/>
      <c r="E6" s="805"/>
      <c r="F6" s="805"/>
      <c r="G6" s="805"/>
      <c r="H6" s="805"/>
      <c r="I6" s="805"/>
      <c r="J6" s="806"/>
      <c r="K6" s="41"/>
    </row>
    <row r="7" spans="1:17" ht="3.75" customHeight="1" x14ac:dyDescent="0.2">
      <c r="A7" s="42"/>
      <c r="B7" s="43"/>
      <c r="C7" s="43"/>
      <c r="D7" s="43"/>
      <c r="E7" s="43"/>
      <c r="F7" s="43"/>
      <c r="G7" s="43"/>
      <c r="H7" s="43"/>
      <c r="I7" s="43"/>
      <c r="J7" s="44"/>
      <c r="K7" s="41"/>
    </row>
    <row r="8" spans="1:17" x14ac:dyDescent="0.2">
      <c r="A8" s="807" t="s">
        <v>92</v>
      </c>
      <c r="B8" s="808"/>
      <c r="C8" s="809"/>
      <c r="D8" s="574">
        <f>G8*I8</f>
        <v>0</v>
      </c>
      <c r="E8" s="41"/>
      <c r="F8" s="45" t="s">
        <v>93</v>
      </c>
      <c r="G8" s="575">
        <f>'Pre-screen'!F7</f>
        <v>50000</v>
      </c>
      <c r="H8" s="19" t="s">
        <v>94</v>
      </c>
      <c r="I8" s="576"/>
      <c r="J8" s="10"/>
      <c r="K8" s="41"/>
    </row>
    <row r="9" spans="1:17" ht="5.25" customHeight="1" thickBot="1" x14ac:dyDescent="0.25">
      <c r="A9" s="46"/>
      <c r="B9" s="2"/>
      <c r="C9" s="2"/>
      <c r="D9" s="2"/>
      <c r="E9" s="2"/>
      <c r="F9" s="2"/>
      <c r="G9" s="2"/>
      <c r="H9" s="2"/>
      <c r="I9" s="2"/>
      <c r="J9" s="10"/>
      <c r="K9" s="2"/>
    </row>
    <row r="10" spans="1:17" ht="39" thickBot="1" x14ac:dyDescent="0.25">
      <c r="A10" s="47" t="s">
        <v>95</v>
      </c>
      <c r="B10" s="48" t="s">
        <v>38</v>
      </c>
      <c r="C10" s="49" t="s">
        <v>96</v>
      </c>
      <c r="D10" s="810" t="s">
        <v>97</v>
      </c>
      <c r="E10" s="811"/>
      <c r="F10" s="811"/>
      <c r="G10" s="811"/>
      <c r="H10" s="811"/>
      <c r="I10" s="811"/>
      <c r="J10" s="812"/>
      <c r="K10" s="50"/>
      <c r="N10" s="813" t="s">
        <v>29</v>
      </c>
      <c r="O10" s="811"/>
      <c r="P10" s="811"/>
      <c r="Q10" s="812"/>
    </row>
    <row r="11" spans="1:17" ht="17.100000000000001" customHeight="1" x14ac:dyDescent="0.2">
      <c r="A11" s="66"/>
      <c r="B11" s="66"/>
      <c r="C11" s="121"/>
      <c r="D11" s="814"/>
      <c r="E11" s="815"/>
      <c r="F11" s="815"/>
      <c r="G11" s="815"/>
      <c r="H11" s="815"/>
      <c r="I11" s="815"/>
      <c r="J11" s="816"/>
      <c r="K11" s="18"/>
      <c r="N11" s="4" t="s">
        <v>35</v>
      </c>
      <c r="O11" s="5" t="s">
        <v>30</v>
      </c>
      <c r="P11" s="6"/>
      <c r="Q11" s="7" t="s">
        <v>31</v>
      </c>
    </row>
    <row r="12" spans="1:17" ht="17.100000000000001" customHeight="1" x14ac:dyDescent="0.2">
      <c r="A12" s="122"/>
      <c r="B12" s="123"/>
      <c r="C12" s="124"/>
      <c r="D12" s="793"/>
      <c r="E12" s="793"/>
      <c r="F12" s="793"/>
      <c r="G12" s="793"/>
      <c r="H12" s="793"/>
      <c r="I12" s="794"/>
      <c r="J12" s="795"/>
      <c r="K12" s="18"/>
      <c r="N12" s="16" t="s">
        <v>36</v>
      </c>
      <c r="O12" s="8">
        <v>0.15</v>
      </c>
      <c r="P12" s="9"/>
      <c r="Q12" s="10" t="s">
        <v>32</v>
      </c>
    </row>
    <row r="13" spans="1:17" ht="17.100000000000001" customHeight="1" thickBot="1" x14ac:dyDescent="0.25">
      <c r="A13" s="122"/>
      <c r="B13" s="123"/>
      <c r="C13" s="124"/>
      <c r="D13" s="793"/>
      <c r="E13" s="793"/>
      <c r="F13" s="793"/>
      <c r="G13" s="793"/>
      <c r="H13" s="793"/>
      <c r="I13" s="794"/>
      <c r="J13" s="795"/>
      <c r="K13" s="18"/>
      <c r="N13" s="17" t="s">
        <v>37</v>
      </c>
      <c r="O13" s="11">
        <v>0.1</v>
      </c>
      <c r="P13" s="9"/>
      <c r="Q13" s="10" t="s">
        <v>33</v>
      </c>
    </row>
    <row r="14" spans="1:17" ht="17.100000000000001" customHeight="1" thickBot="1" x14ac:dyDescent="0.25">
      <c r="A14" s="122"/>
      <c r="B14" s="123"/>
      <c r="C14" s="124"/>
      <c r="D14" s="793"/>
      <c r="E14" s="793"/>
      <c r="F14" s="793"/>
      <c r="G14" s="793"/>
      <c r="H14" s="793"/>
      <c r="I14" s="794"/>
      <c r="J14" s="795"/>
      <c r="K14" s="18"/>
      <c r="N14" s="12"/>
      <c r="O14" s="13">
        <v>0.05</v>
      </c>
      <c r="P14" s="14"/>
      <c r="Q14" s="15" t="s">
        <v>34</v>
      </c>
    </row>
    <row r="15" spans="1:17" ht="17.100000000000001" customHeight="1" x14ac:dyDescent="0.2">
      <c r="A15" s="122"/>
      <c r="B15" s="123"/>
      <c r="C15" s="124"/>
      <c r="D15" s="793"/>
      <c r="E15" s="793"/>
      <c r="F15" s="793"/>
      <c r="G15" s="793"/>
      <c r="H15" s="793"/>
      <c r="I15" s="794"/>
      <c r="J15" s="795"/>
      <c r="K15" s="18"/>
      <c r="O15" s="51">
        <v>0.16</v>
      </c>
    </row>
    <row r="16" spans="1:17" ht="17.100000000000001" customHeight="1" x14ac:dyDescent="0.2">
      <c r="A16" s="122"/>
      <c r="B16" s="123"/>
      <c r="C16" s="124"/>
      <c r="D16" s="793"/>
      <c r="E16" s="793"/>
      <c r="F16" s="793"/>
      <c r="G16" s="793"/>
      <c r="H16" s="793"/>
      <c r="I16" s="794"/>
      <c r="J16" s="795"/>
      <c r="K16" s="18"/>
    </row>
    <row r="17" spans="1:13" ht="17.100000000000001" customHeight="1" x14ac:dyDescent="0.2">
      <c r="A17" s="122"/>
      <c r="B17" s="123"/>
      <c r="C17" s="124"/>
      <c r="D17" s="794"/>
      <c r="E17" s="799"/>
      <c r="F17" s="799"/>
      <c r="G17" s="799"/>
      <c r="H17" s="799"/>
      <c r="I17" s="799"/>
      <c r="J17" s="800"/>
      <c r="K17" s="18"/>
    </row>
    <row r="18" spans="1:13" ht="17.100000000000001" customHeight="1" x14ac:dyDescent="0.2">
      <c r="A18" s="122"/>
      <c r="B18" s="123"/>
      <c r="C18" s="124"/>
      <c r="D18" s="794"/>
      <c r="E18" s="799"/>
      <c r="F18" s="799"/>
      <c r="G18" s="799"/>
      <c r="H18" s="799"/>
      <c r="I18" s="799"/>
      <c r="J18" s="800"/>
      <c r="K18" s="18"/>
    </row>
    <row r="19" spans="1:13" ht="17.100000000000001" customHeight="1" x14ac:dyDescent="0.2">
      <c r="A19" s="122"/>
      <c r="B19" s="123"/>
      <c r="C19" s="124"/>
      <c r="D19" s="793"/>
      <c r="E19" s="793"/>
      <c r="F19" s="793"/>
      <c r="G19" s="793"/>
      <c r="H19" s="793"/>
      <c r="I19" s="794"/>
      <c r="J19" s="795"/>
      <c r="K19" s="18"/>
    </row>
    <row r="20" spans="1:13" ht="17.100000000000001" customHeight="1" x14ac:dyDescent="0.2">
      <c r="A20" s="122"/>
      <c r="B20" s="123"/>
      <c r="C20" s="124"/>
      <c r="D20" s="793"/>
      <c r="E20" s="793"/>
      <c r="F20" s="793"/>
      <c r="G20" s="793"/>
      <c r="H20" s="793"/>
      <c r="I20" s="794"/>
      <c r="J20" s="795"/>
      <c r="K20" s="18"/>
    </row>
    <row r="21" spans="1:13" ht="17.100000000000001" customHeight="1" x14ac:dyDescent="0.2">
      <c r="A21" s="122"/>
      <c r="B21" s="123"/>
      <c r="C21" s="124"/>
      <c r="D21" s="793"/>
      <c r="E21" s="793"/>
      <c r="F21" s="793"/>
      <c r="G21" s="793"/>
      <c r="H21" s="793"/>
      <c r="I21" s="794"/>
      <c r="J21" s="795"/>
      <c r="K21" s="18"/>
    </row>
    <row r="22" spans="1:13" ht="17.100000000000001" customHeight="1" x14ac:dyDescent="0.2">
      <c r="A22" s="122"/>
      <c r="B22" s="123"/>
      <c r="C22" s="124"/>
      <c r="D22" s="793"/>
      <c r="E22" s="793"/>
      <c r="F22" s="793"/>
      <c r="G22" s="793"/>
      <c r="H22" s="793"/>
      <c r="I22" s="794"/>
      <c r="J22" s="795"/>
      <c r="K22" s="18"/>
      <c r="L22" s="27"/>
      <c r="M22" s="27"/>
    </row>
    <row r="23" spans="1:13" ht="17.100000000000001" customHeight="1" x14ac:dyDescent="0.2">
      <c r="A23" s="122"/>
      <c r="B23" s="123"/>
      <c r="C23" s="124"/>
      <c r="D23" s="793"/>
      <c r="E23" s="793"/>
      <c r="F23" s="793"/>
      <c r="G23" s="793"/>
      <c r="H23" s="793"/>
      <c r="I23" s="794"/>
      <c r="J23" s="795"/>
      <c r="K23" s="18"/>
    </row>
    <row r="24" spans="1:13" ht="17.100000000000001" customHeight="1" x14ac:dyDescent="0.2">
      <c r="A24" s="122"/>
      <c r="B24" s="123"/>
      <c r="C24" s="124"/>
      <c r="D24" s="793"/>
      <c r="E24" s="793"/>
      <c r="F24" s="793"/>
      <c r="G24" s="793"/>
      <c r="H24" s="793"/>
      <c r="I24" s="794"/>
      <c r="J24" s="795"/>
      <c r="K24" s="18"/>
    </row>
    <row r="25" spans="1:13" ht="17.100000000000001" customHeight="1" x14ac:dyDescent="0.2">
      <c r="A25" s="122"/>
      <c r="B25" s="123"/>
      <c r="C25" s="124"/>
      <c r="D25" s="793"/>
      <c r="E25" s="793"/>
      <c r="F25" s="793"/>
      <c r="G25" s="793"/>
      <c r="H25" s="793"/>
      <c r="I25" s="794"/>
      <c r="J25" s="795"/>
      <c r="K25" s="18"/>
    </row>
    <row r="26" spans="1:13" ht="17.100000000000001" customHeight="1" x14ac:dyDescent="0.2">
      <c r="A26" s="122"/>
      <c r="B26" s="123"/>
      <c r="C26" s="124"/>
      <c r="D26" s="793"/>
      <c r="E26" s="793"/>
      <c r="F26" s="793"/>
      <c r="G26" s="793"/>
      <c r="H26" s="793"/>
      <c r="I26" s="794"/>
      <c r="J26" s="795"/>
      <c r="K26" s="18"/>
    </row>
    <row r="27" spans="1:13" ht="17.100000000000001" customHeight="1" x14ac:dyDescent="0.2">
      <c r="A27" s="122"/>
      <c r="B27" s="123"/>
      <c r="C27" s="124"/>
      <c r="D27" s="793"/>
      <c r="E27" s="793"/>
      <c r="F27" s="793"/>
      <c r="G27" s="793"/>
      <c r="H27" s="793"/>
      <c r="I27" s="794"/>
      <c r="J27" s="795"/>
      <c r="K27" s="18"/>
    </row>
    <row r="28" spans="1:13" ht="17.100000000000001" customHeight="1" x14ac:dyDescent="0.2">
      <c r="A28" s="122"/>
      <c r="B28" s="123"/>
      <c r="C28" s="124"/>
      <c r="D28" s="793"/>
      <c r="E28" s="793"/>
      <c r="F28" s="793"/>
      <c r="G28" s="793"/>
      <c r="H28" s="793"/>
      <c r="I28" s="794"/>
      <c r="J28" s="795"/>
      <c r="K28" s="18"/>
    </row>
    <row r="29" spans="1:13" ht="17.100000000000001" customHeight="1" x14ac:dyDescent="0.2">
      <c r="A29" s="122"/>
      <c r="B29" s="123"/>
      <c r="C29" s="124"/>
      <c r="D29" s="793"/>
      <c r="E29" s="793"/>
      <c r="F29" s="793"/>
      <c r="G29" s="793"/>
      <c r="H29" s="793"/>
      <c r="I29" s="794"/>
      <c r="J29" s="795"/>
      <c r="K29" s="18"/>
    </row>
    <row r="30" spans="1:13" ht="17.100000000000001" customHeight="1" x14ac:dyDescent="0.2">
      <c r="A30" s="122"/>
      <c r="B30" s="123"/>
      <c r="C30" s="124"/>
      <c r="D30" s="793"/>
      <c r="E30" s="793"/>
      <c r="F30" s="793"/>
      <c r="G30" s="793"/>
      <c r="H30" s="793"/>
      <c r="I30" s="794"/>
      <c r="J30" s="795"/>
      <c r="K30" s="18"/>
    </row>
    <row r="31" spans="1:13" ht="17.100000000000001" customHeight="1" x14ac:dyDescent="0.2">
      <c r="A31" s="122"/>
      <c r="B31" s="123"/>
      <c r="C31" s="124"/>
      <c r="D31" s="793"/>
      <c r="E31" s="793"/>
      <c r="F31" s="793"/>
      <c r="G31" s="793"/>
      <c r="H31" s="793"/>
      <c r="I31" s="794"/>
      <c r="J31" s="795"/>
      <c r="K31" s="18"/>
    </row>
    <row r="32" spans="1:13" ht="17.100000000000001" customHeight="1" x14ac:dyDescent="0.2">
      <c r="A32" s="122"/>
      <c r="B32" s="123"/>
      <c r="C32" s="124"/>
      <c r="D32" s="793"/>
      <c r="E32" s="793"/>
      <c r="F32" s="793"/>
      <c r="G32" s="793"/>
      <c r="H32" s="793"/>
      <c r="I32" s="794"/>
      <c r="J32" s="795"/>
      <c r="K32" s="18"/>
    </row>
    <row r="33" spans="1:11" ht="17.100000000000001" customHeight="1" x14ac:dyDescent="0.2">
      <c r="A33" s="122"/>
      <c r="B33" s="123"/>
      <c r="C33" s="124"/>
      <c r="D33" s="793"/>
      <c r="E33" s="793"/>
      <c r="F33" s="793"/>
      <c r="G33" s="793"/>
      <c r="H33" s="793"/>
      <c r="I33" s="794"/>
      <c r="J33" s="795"/>
      <c r="K33" s="18"/>
    </row>
    <row r="34" spans="1:11" ht="17.100000000000001" customHeight="1" x14ac:dyDescent="0.2">
      <c r="A34" s="122"/>
      <c r="B34" s="123"/>
      <c r="C34" s="124"/>
      <c r="D34" s="793"/>
      <c r="E34" s="793"/>
      <c r="F34" s="793"/>
      <c r="G34" s="793"/>
      <c r="H34" s="793"/>
      <c r="I34" s="794"/>
      <c r="J34" s="795"/>
      <c r="K34" s="18"/>
    </row>
    <row r="35" spans="1:11" ht="17.100000000000001" customHeight="1" x14ac:dyDescent="0.2">
      <c r="A35" s="122"/>
      <c r="B35" s="123"/>
      <c r="C35" s="124"/>
      <c r="D35" s="793"/>
      <c r="E35" s="793"/>
      <c r="F35" s="793"/>
      <c r="G35" s="793"/>
      <c r="H35" s="793"/>
      <c r="I35" s="794"/>
      <c r="J35" s="795"/>
      <c r="K35" s="18"/>
    </row>
    <row r="36" spans="1:11" ht="17.100000000000001" customHeight="1" x14ac:dyDescent="0.2">
      <c r="A36" s="122"/>
      <c r="B36" s="123"/>
      <c r="C36" s="124"/>
      <c r="D36" s="793"/>
      <c r="E36" s="793"/>
      <c r="F36" s="793"/>
      <c r="G36" s="793"/>
      <c r="H36" s="793"/>
      <c r="I36" s="794"/>
      <c r="J36" s="795"/>
      <c r="K36" s="18"/>
    </row>
    <row r="37" spans="1:11" ht="17.100000000000001" customHeight="1" x14ac:dyDescent="0.2">
      <c r="A37" s="122"/>
      <c r="B37" s="123"/>
      <c r="C37" s="124"/>
      <c r="D37" s="793"/>
      <c r="E37" s="793"/>
      <c r="F37" s="793"/>
      <c r="G37" s="793"/>
      <c r="H37" s="793"/>
      <c r="I37" s="794"/>
      <c r="J37" s="795"/>
      <c r="K37" s="18"/>
    </row>
    <row r="38" spans="1:11" ht="17.100000000000001" customHeight="1" x14ac:dyDescent="0.2">
      <c r="A38" s="122"/>
      <c r="B38" s="123"/>
      <c r="C38" s="124"/>
      <c r="D38" s="793"/>
      <c r="E38" s="793"/>
      <c r="F38" s="793"/>
      <c r="G38" s="793"/>
      <c r="H38" s="793"/>
      <c r="I38" s="794"/>
      <c r="J38" s="795"/>
      <c r="K38" s="18"/>
    </row>
    <row r="39" spans="1:11" ht="17.100000000000001" customHeight="1" x14ac:dyDescent="0.2">
      <c r="A39" s="122"/>
      <c r="B39" s="123"/>
      <c r="C39" s="124"/>
      <c r="D39" s="793"/>
      <c r="E39" s="793"/>
      <c r="F39" s="793"/>
      <c r="G39" s="793"/>
      <c r="H39" s="793"/>
      <c r="I39" s="794"/>
      <c r="J39" s="795"/>
      <c r="K39" s="18"/>
    </row>
    <row r="40" spans="1:11" ht="17.100000000000001" customHeight="1" thickBot="1" x14ac:dyDescent="0.25">
      <c r="A40" s="125"/>
      <c r="B40" s="126"/>
      <c r="C40" s="127"/>
      <c r="D40" s="796"/>
      <c r="E40" s="796"/>
      <c r="F40" s="796"/>
      <c r="G40" s="796"/>
      <c r="H40" s="796"/>
      <c r="I40" s="797"/>
      <c r="J40" s="798"/>
      <c r="K40" s="18"/>
    </row>
    <row r="41" spans="1:11" ht="13.5" thickBot="1" x14ac:dyDescent="0.25">
      <c r="A41" s="52" t="s">
        <v>98</v>
      </c>
      <c r="B41" s="53">
        <f>SUM(B11:B40)</f>
        <v>0</v>
      </c>
      <c r="C41" s="790" t="s">
        <v>99</v>
      </c>
      <c r="D41" s="791"/>
      <c r="E41" s="791"/>
      <c r="F41" s="791"/>
      <c r="G41" s="791"/>
      <c r="H41" s="791"/>
      <c r="I41" s="791"/>
      <c r="J41" s="792"/>
      <c r="K41" s="50"/>
    </row>
  </sheetData>
  <mergeCells count="41">
    <mergeCell ref="N10:Q10"/>
    <mergeCell ref="D11:J11"/>
    <mergeCell ref="A1:B1"/>
    <mergeCell ref="C1:J1"/>
    <mergeCell ref="A2:J2"/>
    <mergeCell ref="A3:J3"/>
    <mergeCell ref="A4:J4"/>
    <mergeCell ref="D17:J17"/>
    <mergeCell ref="A5:J5"/>
    <mergeCell ref="A6:J6"/>
    <mergeCell ref="A8:C8"/>
    <mergeCell ref="D10:J10"/>
    <mergeCell ref="D12:J12"/>
    <mergeCell ref="D13:J13"/>
    <mergeCell ref="D14:J14"/>
    <mergeCell ref="D15:J15"/>
    <mergeCell ref="D16:J16"/>
    <mergeCell ref="D29:J29"/>
    <mergeCell ref="D18:J18"/>
    <mergeCell ref="D19:J19"/>
    <mergeCell ref="D20:J20"/>
    <mergeCell ref="D21:J21"/>
    <mergeCell ref="D22:J22"/>
    <mergeCell ref="D23:J23"/>
    <mergeCell ref="D24:J24"/>
    <mergeCell ref="D25:J25"/>
    <mergeCell ref="D26:J26"/>
    <mergeCell ref="D27:J27"/>
    <mergeCell ref="D28:J28"/>
    <mergeCell ref="C41:J41"/>
    <mergeCell ref="D30:J30"/>
    <mergeCell ref="D31:J31"/>
    <mergeCell ref="D32:J32"/>
    <mergeCell ref="D33:J33"/>
    <mergeCell ref="D34:J34"/>
    <mergeCell ref="D35:J35"/>
    <mergeCell ref="D36:J36"/>
    <mergeCell ref="D37:J37"/>
    <mergeCell ref="D38:J38"/>
    <mergeCell ref="D39:J39"/>
    <mergeCell ref="D40:J40"/>
  </mergeCells>
  <dataValidations disablePrompts="1" count="3">
    <dataValidation type="list" allowBlank="1" showInputMessage="1" showErrorMessage="1" sqref="I8">
      <formula1>$O$12:$O$14</formula1>
    </dataValidation>
    <dataValidation type="list" allowBlank="1" showInputMessage="1" showErrorMessage="1" sqref="K8">
      <formula1>$O$12:$O$13</formula1>
    </dataValidation>
    <dataValidation type="list" allowBlank="1" showInputMessage="1" showErrorMessage="1" sqref="C11:C40">
      <formula1>$N$12:$N$13</formula1>
    </dataValidation>
  </dataValidations>
  <pageMargins left="0.75" right="0.75" top="0.91666666666666663" bottom="1" header="0.5" footer="0.5"/>
  <pageSetup orientation="portrait" r:id="rId1"/>
  <headerFooter alignWithMargins="0">
    <oddHeader>&amp;L&amp;G&amp;C&amp;"Arial,Bold"Monitoring-Based Commissioning
Customer Measure Cost Tracking</oddHeader>
    <oddFooter>&amp;R&amp;8Implementation Cost Tracking - 04/01/2021</oddFooter>
  </headerFooter>
  <legacyDrawingHF r:id="rId2"/>
  <extLst>
    <ext xmlns:x14="http://schemas.microsoft.com/office/spreadsheetml/2009/9/main" uri="{78C0D931-6437-407d-A8EE-F0AAD7539E65}">
      <x14:conditionalFormattings>
        <x14:conditionalFormatting xmlns:xm="http://schemas.microsoft.com/office/excel/2006/main">
          <x14:cfRule type="cellIs" priority="3" operator="greaterThanOrEqual" id="{F11427B9-FFD9-481D-8729-F4F47C22D5A7}">
            <xm:f>VLOOKUP($I$7,'\\Sestdpt1.puget.com\Sopscci\4-Energy Efficiency\BEM\_Grants\250- CI Retro\_Commissioning\Building Tune-up\00_Requirements\[Building Tune-Up_FormVer05-27-2020.xlsx]Pre-screen'!#REF!,4)</xm:f>
            <x14:dxf>
              <fill>
                <patternFill>
                  <bgColor theme="9" tint="0.79998168889431442"/>
                </patternFill>
              </fill>
            </x14:dxf>
          </x14:cfRule>
          <x14:cfRule type="cellIs" priority="4" operator="lessThanOrEqual" id="{3E6C6FF4-033D-42C3-A7E0-F8BAB88BEC88}">
            <xm:f>VLOOKUP($I$7,'\\Sestdpt1.puget.com\Sopscci\4-Energy Efficiency\BEM\_Grants\250- CI Retro\_Commissioning\Building Tune-up\00_Requirements\[Building Tune-Up_FormVer05-27-2020.xlsx]Pre-screen'!#REF!,3)</xm:f>
            <x14:dxf>
              <fill>
                <patternFill>
                  <bgColor theme="6" tint="0.79998168889431442"/>
                </patternFill>
              </fill>
            </x14:dxf>
          </x14:cfRule>
          <xm:sqref>A11</xm:sqref>
        </x14:conditionalFormatting>
        <x14:conditionalFormatting xmlns:xm="http://schemas.microsoft.com/office/excel/2006/main">
          <x14:cfRule type="cellIs" priority="1" operator="greaterThanOrEqual" id="{0D2CECF2-7D8B-48F5-AA9E-CC8B3DAE65E3}">
            <xm:f>VLOOKUP($I$7,'\\Sestdpt1.puget.com\Sopscci\4-Energy Efficiency\BEM\_Grants\250- CI Retro\_Commissioning\Building Tune-up\00_Requirements\[Building Tune-Up_FormVer05-27-2020.xlsx]Pre-screen'!#REF!,4)</xm:f>
            <x14:dxf>
              <fill>
                <patternFill>
                  <bgColor theme="9" tint="0.79998168889431442"/>
                </patternFill>
              </fill>
            </x14:dxf>
          </x14:cfRule>
          <x14:cfRule type="cellIs" priority="2" operator="lessThanOrEqual" id="{87ECE84D-33C0-4B39-B5FE-B6AF7A9BFF5F}">
            <xm:f>VLOOKUP($I$7,'\\Sestdpt1.puget.com\Sopscci\4-Energy Efficiency\BEM\_Grants\250- CI Retro\_Commissioning\Building Tune-up\00_Requirements\[Building Tune-Up_FormVer05-27-2020.xlsx]Pre-screen'!#REF!,3)</xm:f>
            <x14:dxf>
              <fill>
                <patternFill>
                  <bgColor theme="6" tint="0.79998168889431442"/>
                </patternFill>
              </fill>
            </x14:dxf>
          </x14:cfRule>
          <xm:sqref>B11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Instructions</vt:lpstr>
      <vt:lpstr>Pre-screen</vt:lpstr>
      <vt:lpstr>MBCx_Schedule</vt:lpstr>
      <vt:lpstr>IncentiveEst (optional)</vt:lpstr>
      <vt:lpstr>EEI_SummaryTable </vt:lpstr>
      <vt:lpstr>Performance_Changes</vt:lpstr>
      <vt:lpstr>Hidden</vt:lpstr>
      <vt:lpstr>Training Tracking</vt:lpstr>
      <vt:lpstr>Implementation_Cost</vt:lpstr>
      <vt:lpstr>'IncentiveEst (optional)'!Actual_Est</vt:lpstr>
      <vt:lpstr>'IncentiveEst (optional)'!AdjCost</vt:lpstr>
      <vt:lpstr>AnnualkWhs</vt:lpstr>
      <vt:lpstr>AnnualTherms</vt:lpstr>
      <vt:lpstr>ElecFAC</vt:lpstr>
      <vt:lpstr>GasFAC</vt:lpstr>
      <vt:lpstr>Implementaion_Cost</vt:lpstr>
      <vt:lpstr>Implementation_cost</vt:lpstr>
      <vt:lpstr>IncentiveTable</vt:lpstr>
      <vt:lpstr>Min_XDomain</vt:lpstr>
      <vt:lpstr>Min_YRange</vt:lpstr>
      <vt:lpstr>'IncentiveEst (optional)'!Percent_Est</vt:lpstr>
      <vt:lpstr>PercentEst</vt:lpstr>
      <vt:lpstr>'EEI_SummaryTable '!Print_Area</vt:lpstr>
      <vt:lpstr>Implementation_Cost!Print_Area</vt:lpstr>
      <vt:lpstr>'IncentiveEst (optional)'!Print_Area</vt:lpstr>
      <vt:lpstr>'Pre-screen'!Print_Area</vt:lpstr>
      <vt:lpstr>'Training Tracking'!Print_Area</vt:lpstr>
      <vt:lpstr>Performance_Changes!Print_Titles</vt:lpstr>
      <vt:lpstr>'IncentiveEst (optional)'!Project_Type</vt:lpstr>
      <vt:lpstr>'IncentiveEst (optional)'!sqft</vt:lpstr>
      <vt:lpstr>'IncentiveEst (optional)'!TotCost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jason.hyatt@pse.com</dc:creator>
  <cp:lastModifiedBy>Jason Hyatt</cp:lastModifiedBy>
  <cp:lastPrinted>2020-10-15T18:41:22Z</cp:lastPrinted>
  <dcterms:created xsi:type="dcterms:W3CDTF">2011-03-30T21:14:38Z</dcterms:created>
  <dcterms:modified xsi:type="dcterms:W3CDTF">2021-09-16T20:45:27Z</dcterms:modified>
</cp:coreProperties>
</file>