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17576\Documents\Renewables\"/>
    </mc:Choice>
  </mc:AlternateContent>
  <bookViews>
    <workbookView xWindow="0" yWindow="0" windowWidth="9240" windowHeight="7380" activeTab="2"/>
  </bookViews>
  <sheets>
    <sheet name="READ ME" sheetId="1" r:id="rId1"/>
    <sheet name="Summary of Changes" sheetId="2" r:id="rId2"/>
    <sheet name="Output - Summary" sheetId="3" r:id="rId3"/>
    <sheet name="Output - 5yr Baseload" sheetId="4" r:id="rId4"/>
    <sheet name="Output - 10yr Baseload" sheetId="5" r:id="rId5"/>
    <sheet name="Output - 15yr Baseload" sheetId="6" r:id="rId6"/>
    <sheet name="Output - 10yr Wind" sheetId="7" r:id="rId7"/>
    <sheet name="Output - 15yr Wind" sheetId="8" r:id="rId8"/>
    <sheet name="Output - 10yr Solar" sheetId="9" r:id="rId9"/>
    <sheet name="Output - 15yr Solar" sheetId="10" r:id="rId10"/>
    <sheet name="Electric EES CE Std Energy" sheetId="11" r:id="rId11"/>
    <sheet name="FlatLoadShapeEnergy_perMWh" sheetId="12" r:id="rId12"/>
    <sheet name="Baseload Avoided Capacity Calcs" sheetId="13" r:id="rId13"/>
    <sheet name="Wind Avoided Capacity Calcs" sheetId="14" r:id="rId14"/>
    <sheet name="Solar Avoided Capacity Calcs" sheetId="15" r:id="rId15"/>
    <sheet name="Inputs-----&gt;" sheetId="16" r:id="rId16"/>
    <sheet name="Energy Prices" sheetId="17" r:id="rId17"/>
    <sheet name="Capacity Delivered" sheetId="18" r:id="rId18"/>
    <sheet name="Cost of Capital" sheetId="19" r:id="rId19"/>
  </sheets>
  <externalReferences>
    <externalReference r:id="rId20"/>
    <externalReference r:id="rId21"/>
  </externalReferences>
  <definedNames>
    <definedName name="_ftn1" localSheetId="12">'Baseload Avoided Capacity Calcs'!#REF!</definedName>
    <definedName name="_ftn1" localSheetId="14">'Solar Avoided Capacity Calcs'!#REF!</definedName>
    <definedName name="_ftn1" localSheetId="13">'Wind Avoided Capacity Calcs'!#REF!</definedName>
    <definedName name="_ftnref1" localSheetId="12">'Baseload Avoided Capacity Calcs'!#REF!</definedName>
    <definedName name="_ftnref1" localSheetId="14">'Solar Avoided Capacity Calcs'!#REF!</definedName>
    <definedName name="_ftnref1" localSheetId="13">'Wind Avoided Capacity Calcs'!#REF!</definedName>
    <definedName name="afdasfasdf" localSheetId="1">'Cost of Capital'!$F$16</definedName>
    <definedName name="afdasfasdf">'Cost of Capital'!$F$16</definedName>
    <definedName name="CaseDescription">[1]Assumptions!$A$2</definedName>
    <definedName name="MeasureList" localSheetId="4">#REF!</definedName>
    <definedName name="MeasureList" localSheetId="8">#REF!</definedName>
    <definedName name="MeasureList" localSheetId="6">#REF!</definedName>
    <definedName name="MeasureList" localSheetId="9">#REF!</definedName>
    <definedName name="MeasureList" localSheetId="7">#REF!</definedName>
    <definedName name="MeasureList" localSheetId="3">#REF!</definedName>
    <definedName name="MeasureList" localSheetId="2">#REF!</definedName>
    <definedName name="MeasureList" localSheetId="0">#REF!</definedName>
    <definedName name="MeasureList" localSheetId="14">#REF!</definedName>
    <definedName name="MeasureList" localSheetId="1">#REF!</definedName>
    <definedName name="MeasureList" localSheetId="13">#REF!</definedName>
    <definedName name="MeasureList">#REF!</definedName>
    <definedName name="PreTaxWACC">[2]Assumptions!$O$24</definedName>
    <definedName name="_xlnm.Print_Area" localSheetId="12">'Baseload Avoided Capacity Calcs'!$B$4:$L$29</definedName>
    <definedName name="_xlnm.Print_Area" localSheetId="17">'Capacity Delivered'!$B$3:$S$28</definedName>
    <definedName name="_xlnm.Print_Area" localSheetId="10">'Electric EES CE Std Energy'!$B$2:$F$29</definedName>
    <definedName name="_xlnm.Print_Area" localSheetId="11">FlatLoadShapeEnergy_perMWh!$B$4:$P$33</definedName>
    <definedName name="_xlnm.Print_Area" localSheetId="4">'Output - 10yr Baseload'!$B$2:$AC$35</definedName>
    <definedName name="_xlnm.Print_Area" localSheetId="8">'Output - 10yr Solar'!$B$2:$AC$35</definedName>
    <definedName name="_xlnm.Print_Area" localSheetId="6">'Output - 10yr Wind'!$B$2:$AC$35</definedName>
    <definedName name="_xlnm.Print_Area" localSheetId="5">'Output - 15yr Baseload'!$B$2:$AD$35</definedName>
    <definedName name="_xlnm.Print_Area" localSheetId="9">'Output - 15yr Solar'!$B$2:$AD$35</definedName>
    <definedName name="_xlnm.Print_Area" localSheetId="7">'Output - 15yr Wind'!$B$2:$AD$35</definedName>
    <definedName name="_xlnm.Print_Area" localSheetId="3">'Output - 5yr Baseload'!$B$2:$AC$35</definedName>
    <definedName name="_xlnm.Print_Area" localSheetId="2">'Output - Summary'!$B$2:$AB$9</definedName>
    <definedName name="_xlnm.Print_Area" localSheetId="14">'Solar Avoided Capacity Calcs'!$B$4:$L$29</definedName>
    <definedName name="_xlnm.Print_Area" localSheetId="13">'Wind Avoided Capacity Calcs'!$B$4:$L$29</definedName>
    <definedName name="Rate_of_Return" localSheetId="0">'Cost of Capital'!$F$16</definedName>
    <definedName name="Rate_of_Return" localSheetId="1">'Cost of Capital'!$F$16</definedName>
    <definedName name="Rate_of_Return">'Cost of Capital'!$F$16</definedName>
    <definedName name="solver_typ" localSheetId="10" hidden="1">2</definedName>
    <definedName name="solver_typ" localSheetId="6" hidden="1">2</definedName>
    <definedName name="solver_typ" localSheetId="7" hidden="1">2</definedName>
    <definedName name="solver_ver" localSheetId="10" hidden="1">10</definedName>
    <definedName name="solver_ver" localSheetId="6" hidden="1">17</definedName>
    <definedName name="solver_ver" localSheetId="7" hidden="1">17</definedName>
    <definedName name="Title">[1]Assumptions!$A$1</definedName>
    <definedName name="wrn.Customer._.Counts._.Electric.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5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5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MARGIN_WO_QTR." localSheetId="15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15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Z_187E4F87_D02E_4E96_857A_1064DDCF8EA8_.wvu.PrintArea" localSheetId="12" hidden="1">'Baseload Avoided Capacity Calcs'!$B$4:$L$29</definedName>
    <definedName name="Z_187E4F87_D02E_4E96_857A_1064DDCF8EA8_.wvu.PrintArea" localSheetId="17" hidden="1">'Capacity Delivered'!$B$3:$S$28</definedName>
    <definedName name="Z_187E4F87_D02E_4E96_857A_1064DDCF8EA8_.wvu.PrintArea" localSheetId="10" hidden="1">'Electric EES CE Std Energy'!$B$2:$F$29</definedName>
    <definedName name="Z_187E4F87_D02E_4E96_857A_1064DDCF8EA8_.wvu.PrintArea" localSheetId="11" hidden="1">FlatLoadShapeEnergy_perMWh!$B$4:$P$33</definedName>
    <definedName name="Z_187E4F87_D02E_4E96_857A_1064DDCF8EA8_.wvu.PrintArea" localSheetId="4" hidden="1">'Output - 10yr Baseload'!$B$2:$AC$35</definedName>
    <definedName name="Z_187E4F87_D02E_4E96_857A_1064DDCF8EA8_.wvu.PrintArea" localSheetId="8" hidden="1">'Output - 10yr Solar'!$B$2:$AC$35</definedName>
    <definedName name="Z_187E4F87_D02E_4E96_857A_1064DDCF8EA8_.wvu.PrintArea" localSheetId="6" hidden="1">'Output - 10yr Wind'!$B$2:$AC$35</definedName>
    <definedName name="Z_187E4F87_D02E_4E96_857A_1064DDCF8EA8_.wvu.PrintArea" localSheetId="5" hidden="1">'Output - 15yr Baseload'!$B$2:$AD$35</definedName>
    <definedName name="Z_187E4F87_D02E_4E96_857A_1064DDCF8EA8_.wvu.PrintArea" localSheetId="9" hidden="1">'Output - 15yr Solar'!$B$2:$AD$35</definedName>
    <definedName name="Z_187E4F87_D02E_4E96_857A_1064DDCF8EA8_.wvu.PrintArea" localSheetId="7" hidden="1">'Output - 15yr Wind'!$B$2:$AD$35</definedName>
    <definedName name="Z_187E4F87_D02E_4E96_857A_1064DDCF8EA8_.wvu.PrintArea" localSheetId="3" hidden="1">'Output - 5yr Baseload'!$B$2:$AC$35</definedName>
    <definedName name="Z_187E4F87_D02E_4E96_857A_1064DDCF8EA8_.wvu.PrintArea" localSheetId="2" hidden="1">'Output - Summary'!$B$2:$AB$9</definedName>
    <definedName name="Z_187E4F87_D02E_4E96_857A_1064DDCF8EA8_.wvu.PrintArea" localSheetId="14" hidden="1">'Solar Avoided Capacity Calcs'!$B$4:$L$29</definedName>
    <definedName name="Z_187E4F87_D02E_4E96_857A_1064DDCF8EA8_.wvu.PrintArea" localSheetId="13" hidden="1">'Wind Avoided Capacity Calcs'!$B$4:$L$29</definedName>
    <definedName name="Z_7616AFB9_3DAD_45EA_BAD3_1A4EF1124EEE_.wvu.PrintArea" localSheetId="12" hidden="1">'Baseload Avoided Capacity Calcs'!$B$4:$L$29</definedName>
    <definedName name="Z_7616AFB9_3DAD_45EA_BAD3_1A4EF1124EEE_.wvu.PrintArea" localSheetId="17" hidden="1">'Capacity Delivered'!$B$3:$S$28</definedName>
    <definedName name="Z_7616AFB9_3DAD_45EA_BAD3_1A4EF1124EEE_.wvu.PrintArea" localSheetId="10" hidden="1">'Electric EES CE Std Energy'!$B$2:$F$29</definedName>
    <definedName name="Z_7616AFB9_3DAD_45EA_BAD3_1A4EF1124EEE_.wvu.PrintArea" localSheetId="11" hidden="1">FlatLoadShapeEnergy_perMWh!$B$4:$P$33</definedName>
    <definedName name="Z_7616AFB9_3DAD_45EA_BAD3_1A4EF1124EEE_.wvu.PrintArea" localSheetId="4" hidden="1">'Output - 10yr Baseload'!$B$2:$AC$35</definedName>
    <definedName name="Z_7616AFB9_3DAD_45EA_BAD3_1A4EF1124EEE_.wvu.PrintArea" localSheetId="8" hidden="1">'Output - 10yr Solar'!$B$2:$AC$35</definedName>
    <definedName name="Z_7616AFB9_3DAD_45EA_BAD3_1A4EF1124EEE_.wvu.PrintArea" localSheetId="6" hidden="1">'Output - 10yr Wind'!$B$2:$AC$35</definedName>
    <definedName name="Z_7616AFB9_3DAD_45EA_BAD3_1A4EF1124EEE_.wvu.PrintArea" localSheetId="5" hidden="1">'Output - 15yr Baseload'!$B$2:$AD$35</definedName>
    <definedName name="Z_7616AFB9_3DAD_45EA_BAD3_1A4EF1124EEE_.wvu.PrintArea" localSheetId="9" hidden="1">'Output - 15yr Solar'!$B$2:$AD$35</definedName>
    <definedName name="Z_7616AFB9_3DAD_45EA_BAD3_1A4EF1124EEE_.wvu.PrintArea" localSheetId="7" hidden="1">'Output - 15yr Wind'!$B$2:$AD$35</definedName>
    <definedName name="Z_7616AFB9_3DAD_45EA_BAD3_1A4EF1124EEE_.wvu.PrintArea" localSheetId="3" hidden="1">'Output - 5yr Baseload'!$B$2:$AC$35</definedName>
    <definedName name="Z_7616AFB9_3DAD_45EA_BAD3_1A4EF1124EEE_.wvu.PrintArea" localSheetId="2" hidden="1">'Output - Summary'!$B$2:$AB$9</definedName>
    <definedName name="Z_7616AFB9_3DAD_45EA_BAD3_1A4EF1124EEE_.wvu.PrintArea" localSheetId="14" hidden="1">'Solar Avoided Capacity Calcs'!$B$4:$L$29</definedName>
    <definedName name="Z_7616AFB9_3DAD_45EA_BAD3_1A4EF1124EEE_.wvu.PrintArea" localSheetId="13" hidden="1">'Wind Avoided Capacity Calcs'!$B$4:$L$29</definedName>
  </definedNames>
  <calcPr calcId="162913"/>
  <customWorkbookViews>
    <customWorkbookView name="Luera de Meyers, Camille - Personal View" guid="{7616AFB9-3DAD-45EA-BAD3-1A4EF1124EEE}" mergeInterval="0" personalView="1" maximized="1" xWindow="1912" yWindow="-8" windowWidth="1936" windowHeight="1056" activeSheetId="3"/>
    <customWorkbookView name="Cass, Mei - Personal View" guid="{187E4F87-D02E-4E96-857A-1064DDCF8EA8}" mergeInterval="0" personalView="1" maximized="1" xWindow="-9" yWindow="-9" windowWidth="1938" windowHeight="1098" activeSheetId="11" showComments="commIndAndComment"/>
  </customWorkbookViews>
</workbook>
</file>

<file path=xl/calcChain.xml><?xml version="1.0" encoding="utf-8"?>
<calcChain xmlns="http://schemas.openxmlformats.org/spreadsheetml/2006/main">
  <c r="E9" i="13" l="1"/>
  <c r="E9" i="15"/>
  <c r="E9" i="14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38" i="2"/>
  <c r="B37" i="2"/>
  <c r="B34" i="2"/>
  <c r="B33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M7" i="15" l="1"/>
  <c r="C25" i="1" l="1"/>
  <c r="B28" i="2" l="1"/>
  <c r="E28" i="2"/>
  <c r="D7" i="14" l="1"/>
  <c r="D7" i="15"/>
  <c r="D7" i="13"/>
  <c r="D6" i="14"/>
  <c r="D6" i="15"/>
  <c r="D6" i="13"/>
  <c r="L7" i="18" l="1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F5" i="10" l="1"/>
  <c r="F5" i="9"/>
  <c r="F5" i="8"/>
  <c r="F5" i="7"/>
  <c r="F5" i="6"/>
  <c r="F5" i="5"/>
  <c r="F5" i="4"/>
  <c r="B8" i="18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R8" i="18"/>
  <c r="P7" i="18"/>
  <c r="I7" i="18"/>
  <c r="I7" i="15" s="1"/>
  <c r="H7" i="18"/>
  <c r="Q7" i="18" l="1"/>
  <c r="I7" i="14"/>
  <c r="K7" i="18"/>
  <c r="G7" i="13" l="1"/>
  <c r="G7" i="15" l="1"/>
  <c r="G7" i="14"/>
  <c r="G7" i="12"/>
  <c r="C8" i="18" l="1"/>
  <c r="P29" i="17"/>
  <c r="P28" i="17"/>
  <c r="E19" i="19"/>
  <c r="C7" i="17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9" i="18" l="1"/>
  <c r="K8" i="18"/>
  <c r="F39" i="3"/>
  <c r="G39" i="3" s="1"/>
  <c r="H39" i="3" s="1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T39" i="3" s="1"/>
  <c r="U39" i="3" s="1"/>
  <c r="V39" i="3" s="1"/>
  <c r="F33" i="3"/>
  <c r="G33" i="3" s="1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F26" i="3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T26" i="3" s="1"/>
  <c r="U26" i="3" s="1"/>
  <c r="V26" i="3" s="1"/>
  <c r="G8" i="15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C10" i="18" l="1"/>
  <c r="K9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7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C11" i="18" l="1"/>
  <c r="K10" i="18"/>
  <c r="G7" i="18"/>
  <c r="O7" i="18" s="1"/>
  <c r="I7" i="13" l="1"/>
  <c r="C12" i="18"/>
  <c r="K11" i="18"/>
  <c r="S7" i="18"/>
  <c r="C13" i="18" l="1"/>
  <c r="K12" i="18"/>
  <c r="G19" i="4"/>
  <c r="F12" i="4"/>
  <c r="G12" i="4" s="1"/>
  <c r="H12" i="4" s="1"/>
  <c r="I12" i="4" s="1"/>
  <c r="J12" i="4" s="1"/>
  <c r="K12" i="4" s="1"/>
  <c r="L12" i="4" s="1"/>
  <c r="F12" i="10"/>
  <c r="F12" i="9"/>
  <c r="F12" i="8"/>
  <c r="F12" i="7"/>
  <c r="F12" i="6"/>
  <c r="F12" i="5"/>
  <c r="I27" i="12"/>
  <c r="J27" i="12" s="1"/>
  <c r="K27" i="12"/>
  <c r="I8" i="12"/>
  <c r="I7" i="12"/>
  <c r="G8" i="12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8" i="13"/>
  <c r="G9" i="13" l="1"/>
  <c r="G8" i="14"/>
  <c r="C14" i="18"/>
  <c r="K13" i="18"/>
  <c r="J7" i="12"/>
  <c r="H19" i="4"/>
  <c r="I19" i="12"/>
  <c r="J19" i="12" s="1"/>
  <c r="I13" i="18"/>
  <c r="I13" i="15" s="1"/>
  <c r="G19" i="9"/>
  <c r="H19" i="9" s="1"/>
  <c r="I19" i="9" s="1"/>
  <c r="G12" i="9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G19" i="7"/>
  <c r="H19" i="7" s="1"/>
  <c r="G12" i="7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G19" i="5"/>
  <c r="G12" i="5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G10" i="13" l="1"/>
  <c r="G9" i="14"/>
  <c r="C15" i="18"/>
  <c r="K14" i="18"/>
  <c r="S13" i="18"/>
  <c r="I19" i="4"/>
  <c r="J19" i="9"/>
  <c r="I19" i="7"/>
  <c r="H19" i="5"/>
  <c r="C16" i="18" l="1"/>
  <c r="K15" i="18"/>
  <c r="G11" i="13"/>
  <c r="G10" i="14"/>
  <c r="J19" i="4"/>
  <c r="K19" i="9"/>
  <c r="J19" i="7"/>
  <c r="I19" i="5"/>
  <c r="G12" i="13" l="1"/>
  <c r="G11" i="14"/>
  <c r="C17" i="18"/>
  <c r="K16" i="18"/>
  <c r="L19" i="9"/>
  <c r="K19" i="7"/>
  <c r="J19" i="5"/>
  <c r="G13" i="13" l="1"/>
  <c r="G12" i="14"/>
  <c r="C18" i="18"/>
  <c r="K17" i="18"/>
  <c r="M19" i="9"/>
  <c r="L19" i="7"/>
  <c r="K19" i="5"/>
  <c r="C19" i="18" l="1"/>
  <c r="K18" i="18"/>
  <c r="G14" i="13"/>
  <c r="G13" i="14"/>
  <c r="N19" i="9"/>
  <c r="M19" i="7"/>
  <c r="L19" i="5"/>
  <c r="G15" i="13" l="1"/>
  <c r="G14" i="14"/>
  <c r="C20" i="18"/>
  <c r="K19" i="18"/>
  <c r="O19" i="9"/>
  <c r="N19" i="7"/>
  <c r="M19" i="5"/>
  <c r="G16" i="13" l="1"/>
  <c r="G15" i="14"/>
  <c r="C21" i="18"/>
  <c r="K20" i="18"/>
  <c r="O19" i="7"/>
  <c r="N19" i="5"/>
  <c r="C22" i="18" l="1"/>
  <c r="K21" i="18"/>
  <c r="G17" i="13"/>
  <c r="G16" i="14"/>
  <c r="O19" i="5"/>
  <c r="C23" i="18" l="1"/>
  <c r="K22" i="18"/>
  <c r="G18" i="13"/>
  <c r="G17" i="14"/>
  <c r="G12" i="6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G12" i="8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R12" i="8" s="1"/>
  <c r="S12" i="8" s="1"/>
  <c r="T12" i="8" s="1"/>
  <c r="U12" i="8" s="1"/>
  <c r="V12" i="8" s="1"/>
  <c r="G12" i="10"/>
  <c r="H12" i="10" s="1"/>
  <c r="I12" i="10" s="1"/>
  <c r="J12" i="10" s="1"/>
  <c r="K12" i="10" s="1"/>
  <c r="L12" i="10" s="1"/>
  <c r="M12" i="10" s="1"/>
  <c r="N12" i="10" s="1"/>
  <c r="O12" i="10" s="1"/>
  <c r="P12" i="10" s="1"/>
  <c r="Q12" i="10" s="1"/>
  <c r="R12" i="10" s="1"/>
  <c r="S12" i="10" s="1"/>
  <c r="T12" i="10" s="1"/>
  <c r="U12" i="10" s="1"/>
  <c r="V12" i="10" s="1"/>
  <c r="K26" i="12"/>
  <c r="I9" i="12"/>
  <c r="I10" i="12"/>
  <c r="I11" i="12"/>
  <c r="I12" i="12"/>
  <c r="I13" i="12"/>
  <c r="I14" i="12"/>
  <c r="I15" i="12"/>
  <c r="I16" i="12"/>
  <c r="I17" i="12"/>
  <c r="I18" i="12"/>
  <c r="I20" i="12"/>
  <c r="I21" i="12"/>
  <c r="I22" i="12"/>
  <c r="I23" i="12"/>
  <c r="I24" i="12"/>
  <c r="I25" i="12"/>
  <c r="I26" i="12"/>
  <c r="J26" i="12" s="1"/>
  <c r="G19" i="13" l="1"/>
  <c r="G18" i="14"/>
  <c r="C24" i="18"/>
  <c r="K23" i="18"/>
  <c r="E18" i="19"/>
  <c r="F18" i="19" s="1"/>
  <c r="G20" i="13" l="1"/>
  <c r="G19" i="14"/>
  <c r="C25" i="18"/>
  <c r="K24" i="18"/>
  <c r="C26" i="18" l="1"/>
  <c r="K25" i="18"/>
  <c r="G21" i="13"/>
  <c r="G20" i="14"/>
  <c r="F19" i="19"/>
  <c r="F20" i="19" s="1"/>
  <c r="F15" i="19"/>
  <c r="F14" i="19"/>
  <c r="G22" i="13" l="1"/>
  <c r="G21" i="14"/>
  <c r="C27" i="18"/>
  <c r="K26" i="18"/>
  <c r="P7" i="13"/>
  <c r="P7" i="14"/>
  <c r="P8" i="14" s="1"/>
  <c r="P9" i="14" s="1"/>
  <c r="P10" i="14" s="1"/>
  <c r="P11" i="14" s="1"/>
  <c r="P12" i="14" s="1"/>
  <c r="P13" i="14" s="1"/>
  <c r="P14" i="14" s="1"/>
  <c r="P15" i="14" s="1"/>
  <c r="P16" i="14" s="1"/>
  <c r="P17" i="14" s="1"/>
  <c r="P18" i="14" s="1"/>
  <c r="P19" i="14" s="1"/>
  <c r="P20" i="14" s="1"/>
  <c r="P21" i="14" s="1"/>
  <c r="P22" i="14" s="1"/>
  <c r="P23" i="14" s="1"/>
  <c r="P24" i="14" s="1"/>
  <c r="P25" i="14" s="1"/>
  <c r="P26" i="14" s="1"/>
  <c r="P7" i="15"/>
  <c r="P8" i="15" s="1"/>
  <c r="P9" i="15" s="1"/>
  <c r="P10" i="15" s="1"/>
  <c r="P11" i="15" s="1"/>
  <c r="P12" i="15" s="1"/>
  <c r="F16" i="19"/>
  <c r="E8" i="14"/>
  <c r="E8" i="15"/>
  <c r="P8" i="13"/>
  <c r="P9" i="13" s="1"/>
  <c r="P10" i="13" s="1"/>
  <c r="P11" i="13" s="1"/>
  <c r="P12" i="13" s="1"/>
  <c r="P13" i="13" s="1"/>
  <c r="P14" i="13" s="1"/>
  <c r="P15" i="13" s="1"/>
  <c r="P16" i="13" s="1"/>
  <c r="P17" i="13" s="1"/>
  <c r="P18" i="13" s="1"/>
  <c r="P19" i="13" s="1"/>
  <c r="P20" i="13" s="1"/>
  <c r="P21" i="13" s="1"/>
  <c r="P22" i="13" s="1"/>
  <c r="P23" i="13" s="1"/>
  <c r="P24" i="13" s="1"/>
  <c r="P25" i="13" s="1"/>
  <c r="P26" i="13" s="1"/>
  <c r="P27" i="13" s="1"/>
  <c r="X19" i="7"/>
  <c r="Y19" i="7" s="1"/>
  <c r="X19" i="5"/>
  <c r="Y19" i="5" s="1"/>
  <c r="X19" i="9"/>
  <c r="Y19" i="9" s="1"/>
  <c r="X19" i="4"/>
  <c r="Y19" i="4" s="1"/>
  <c r="C28" i="18" l="1"/>
  <c r="K28" i="18" s="1"/>
  <c r="K27" i="18"/>
  <c r="G23" i="13"/>
  <c r="G22" i="14"/>
  <c r="P13" i="15"/>
  <c r="P14" i="15" s="1"/>
  <c r="P15" i="15" s="1"/>
  <c r="P16" i="15" s="1"/>
  <c r="P17" i="15" s="1"/>
  <c r="P18" i="15" s="1"/>
  <c r="P19" i="15" s="1"/>
  <c r="P20" i="15" s="1"/>
  <c r="P21" i="15" s="1"/>
  <c r="P22" i="15" s="1"/>
  <c r="P23" i="15" s="1"/>
  <c r="P24" i="15" s="1"/>
  <c r="P25" i="15" s="1"/>
  <c r="P26" i="15" s="1"/>
  <c r="P27" i="15" s="1"/>
  <c r="P27" i="14"/>
  <c r="F20" i="4"/>
  <c r="J20" i="4"/>
  <c r="G20" i="4"/>
  <c r="H20" i="4"/>
  <c r="I20" i="4"/>
  <c r="I20" i="9"/>
  <c r="M20" i="9"/>
  <c r="F20" i="9"/>
  <c r="J20" i="9"/>
  <c r="N20" i="9"/>
  <c r="G20" i="9"/>
  <c r="K20" i="9"/>
  <c r="O20" i="9"/>
  <c r="L20" i="9"/>
  <c r="H20" i="9"/>
  <c r="I20" i="5"/>
  <c r="M20" i="5"/>
  <c r="F20" i="5"/>
  <c r="J20" i="5"/>
  <c r="N20" i="5"/>
  <c r="G20" i="5"/>
  <c r="K20" i="5"/>
  <c r="O20" i="5"/>
  <c r="H20" i="5"/>
  <c r="L20" i="5"/>
  <c r="H20" i="7"/>
  <c r="L20" i="7"/>
  <c r="I20" i="7"/>
  <c r="M20" i="7"/>
  <c r="F20" i="7"/>
  <c r="J20" i="7"/>
  <c r="N20" i="7"/>
  <c r="G20" i="7"/>
  <c r="K20" i="7"/>
  <c r="O20" i="7"/>
  <c r="G12" i="18"/>
  <c r="I12" i="13" s="1"/>
  <c r="G24" i="13" l="1"/>
  <c r="G23" i="14"/>
  <c r="X20" i="9"/>
  <c r="Y20" i="9" s="1"/>
  <c r="O12" i="18"/>
  <c r="X20" i="5"/>
  <c r="Y20" i="5" s="1"/>
  <c r="X20" i="7"/>
  <c r="Y20" i="7" s="1"/>
  <c r="X20" i="4"/>
  <c r="Y20" i="4" s="1"/>
  <c r="G8" i="18"/>
  <c r="O8" i="18" s="1"/>
  <c r="G9" i="18"/>
  <c r="I9" i="13" s="1"/>
  <c r="G10" i="18"/>
  <c r="G11" i="18"/>
  <c r="I11" i="13" s="1"/>
  <c r="Q11" i="13" s="1"/>
  <c r="G13" i="18"/>
  <c r="I13" i="13" s="1"/>
  <c r="G14" i="18"/>
  <c r="I14" i="13" s="1"/>
  <c r="G15" i="18"/>
  <c r="I15" i="13" s="1"/>
  <c r="G16" i="18"/>
  <c r="I16" i="13" s="1"/>
  <c r="G17" i="18"/>
  <c r="I17" i="13" s="1"/>
  <c r="G18" i="18"/>
  <c r="G19" i="18"/>
  <c r="I19" i="13" s="1"/>
  <c r="G20" i="18"/>
  <c r="I20" i="13" s="1"/>
  <c r="G21" i="18"/>
  <c r="I21" i="13" s="1"/>
  <c r="G22" i="18"/>
  <c r="G23" i="18"/>
  <c r="I23" i="13" s="1"/>
  <c r="G24" i="18"/>
  <c r="I24" i="13" s="1"/>
  <c r="G25" i="18"/>
  <c r="I25" i="13" s="1"/>
  <c r="G26" i="18"/>
  <c r="G27" i="18"/>
  <c r="I27" i="13" s="1"/>
  <c r="I8" i="18"/>
  <c r="I9" i="18"/>
  <c r="I9" i="15" s="1"/>
  <c r="I10" i="18"/>
  <c r="I10" i="15" s="1"/>
  <c r="I11" i="18"/>
  <c r="I11" i="15" s="1"/>
  <c r="I12" i="18"/>
  <c r="I12" i="15" s="1"/>
  <c r="I14" i="18"/>
  <c r="I14" i="15" s="1"/>
  <c r="I15" i="18"/>
  <c r="I15" i="15" s="1"/>
  <c r="I16" i="18"/>
  <c r="I16" i="15" s="1"/>
  <c r="I17" i="18"/>
  <c r="I17" i="15" s="1"/>
  <c r="I18" i="18"/>
  <c r="I18" i="15" s="1"/>
  <c r="I19" i="18"/>
  <c r="I19" i="15" s="1"/>
  <c r="I20" i="18"/>
  <c r="I20" i="15" s="1"/>
  <c r="I21" i="18"/>
  <c r="I21" i="15" s="1"/>
  <c r="I22" i="18"/>
  <c r="I22" i="15" s="1"/>
  <c r="I23" i="18"/>
  <c r="I23" i="15" s="1"/>
  <c r="I24" i="18"/>
  <c r="I24" i="15" s="1"/>
  <c r="I25" i="18"/>
  <c r="I25" i="15" s="1"/>
  <c r="I26" i="18"/>
  <c r="I26" i="15" s="1"/>
  <c r="I27" i="18"/>
  <c r="I27" i="15" s="1"/>
  <c r="H9" i="18"/>
  <c r="I9" i="14" s="1"/>
  <c r="H10" i="18"/>
  <c r="I10" i="14" s="1"/>
  <c r="H11" i="18"/>
  <c r="I11" i="14" s="1"/>
  <c r="H12" i="18"/>
  <c r="I12" i="14" s="1"/>
  <c r="H13" i="18"/>
  <c r="I13" i="14" s="1"/>
  <c r="H14" i="18"/>
  <c r="I14" i="14" s="1"/>
  <c r="H15" i="18"/>
  <c r="I15" i="14" s="1"/>
  <c r="H16" i="18"/>
  <c r="I16" i="14" s="1"/>
  <c r="H17" i="18"/>
  <c r="I17" i="14" s="1"/>
  <c r="H18" i="18"/>
  <c r="I18" i="14" s="1"/>
  <c r="H19" i="18"/>
  <c r="I19" i="14" s="1"/>
  <c r="H20" i="18"/>
  <c r="I20" i="14" s="1"/>
  <c r="H21" i="18"/>
  <c r="I21" i="14" s="1"/>
  <c r="H22" i="18"/>
  <c r="I22" i="14" s="1"/>
  <c r="H23" i="18"/>
  <c r="I23" i="14" s="1"/>
  <c r="H24" i="18"/>
  <c r="I24" i="14" s="1"/>
  <c r="H25" i="18"/>
  <c r="I25" i="14" s="1"/>
  <c r="H26" i="18"/>
  <c r="I26" i="14" s="1"/>
  <c r="H27" i="18"/>
  <c r="I27" i="14" s="1"/>
  <c r="H8" i="18"/>
  <c r="I8" i="14" s="1"/>
  <c r="J12" i="15" l="1"/>
  <c r="Q12" i="15"/>
  <c r="R12" i="15" s="1"/>
  <c r="I8" i="15"/>
  <c r="Q8" i="15" s="1"/>
  <c r="R8" i="15" s="1"/>
  <c r="S8" i="18"/>
  <c r="Q7" i="13"/>
  <c r="I8" i="13"/>
  <c r="G25" i="13"/>
  <c r="G24" i="14"/>
  <c r="O18" i="18"/>
  <c r="I18" i="13"/>
  <c r="Q18" i="13" s="1"/>
  <c r="O10" i="18"/>
  <c r="I10" i="13"/>
  <c r="Q10" i="13" s="1"/>
  <c r="O22" i="18"/>
  <c r="I22" i="13"/>
  <c r="Q22" i="13" s="1"/>
  <c r="O26" i="18"/>
  <c r="I26" i="13"/>
  <c r="Q26" i="13" s="1"/>
  <c r="Q25" i="15"/>
  <c r="R25" i="15" s="1"/>
  <c r="J25" i="15"/>
  <c r="Q21" i="15"/>
  <c r="R21" i="15" s="1"/>
  <c r="J21" i="15"/>
  <c r="Q17" i="15"/>
  <c r="R17" i="15" s="1"/>
  <c r="J17" i="15"/>
  <c r="Q13" i="15"/>
  <c r="R13" i="15" s="1"/>
  <c r="J13" i="15"/>
  <c r="Q24" i="15"/>
  <c r="R24" i="15" s="1"/>
  <c r="J24" i="15"/>
  <c r="Q20" i="15"/>
  <c r="R20" i="15" s="1"/>
  <c r="J20" i="15"/>
  <c r="Q16" i="15"/>
  <c r="R16" i="15" s="1"/>
  <c r="J16" i="15"/>
  <c r="Q23" i="15"/>
  <c r="R23" i="15" s="1"/>
  <c r="J23" i="15"/>
  <c r="Q19" i="15"/>
  <c r="R19" i="15" s="1"/>
  <c r="J19" i="15"/>
  <c r="Q15" i="15"/>
  <c r="R15" i="15" s="1"/>
  <c r="J15" i="15"/>
  <c r="Q26" i="15"/>
  <c r="R26" i="15" s="1"/>
  <c r="J26" i="15"/>
  <c r="Q22" i="15"/>
  <c r="R22" i="15" s="1"/>
  <c r="J22" i="15"/>
  <c r="Q18" i="15"/>
  <c r="R18" i="15" s="1"/>
  <c r="J18" i="15"/>
  <c r="Q14" i="15"/>
  <c r="R14" i="15" s="1"/>
  <c r="J14" i="15"/>
  <c r="J24" i="14"/>
  <c r="Q24" i="14"/>
  <c r="R24" i="14" s="1"/>
  <c r="J23" i="14"/>
  <c r="Q23" i="14"/>
  <c r="R23" i="14" s="1"/>
  <c r="J19" i="14"/>
  <c r="Q19" i="14"/>
  <c r="R19" i="14" s="1"/>
  <c r="J15" i="14"/>
  <c r="Q15" i="14"/>
  <c r="R15" i="14" s="1"/>
  <c r="J16" i="14"/>
  <c r="Q16" i="14"/>
  <c r="R16" i="14" s="1"/>
  <c r="J22" i="14"/>
  <c r="Q22" i="14"/>
  <c r="R22" i="14" s="1"/>
  <c r="J14" i="14"/>
  <c r="Q14" i="14"/>
  <c r="R14" i="14" s="1"/>
  <c r="J20" i="14"/>
  <c r="Q20" i="14"/>
  <c r="R20" i="14" s="1"/>
  <c r="J26" i="14"/>
  <c r="Q26" i="14"/>
  <c r="R26" i="14" s="1"/>
  <c r="J18" i="14"/>
  <c r="Q18" i="14"/>
  <c r="R18" i="14" s="1"/>
  <c r="J25" i="14"/>
  <c r="Q25" i="14"/>
  <c r="R25" i="14" s="1"/>
  <c r="J21" i="14"/>
  <c r="Q21" i="14"/>
  <c r="R21" i="14" s="1"/>
  <c r="J17" i="14"/>
  <c r="Q17" i="14"/>
  <c r="R17" i="14" s="1"/>
  <c r="J13" i="14"/>
  <c r="Q13" i="14"/>
  <c r="R13" i="14" s="1"/>
  <c r="J12" i="14"/>
  <c r="Q12" i="14"/>
  <c r="R12" i="14" s="1"/>
  <c r="J11" i="14"/>
  <c r="Q11" i="14"/>
  <c r="R11" i="14" s="1"/>
  <c r="J11" i="15"/>
  <c r="Q11" i="15"/>
  <c r="R11" i="15" s="1"/>
  <c r="J10" i="15"/>
  <c r="Q10" i="15"/>
  <c r="R10" i="15" s="1"/>
  <c r="J10" i="14"/>
  <c r="Q10" i="14"/>
  <c r="R10" i="14" s="1"/>
  <c r="J9" i="15"/>
  <c r="Q9" i="15"/>
  <c r="R9" i="15" s="1"/>
  <c r="J9" i="14"/>
  <c r="Q9" i="14"/>
  <c r="R9" i="14" s="1"/>
  <c r="J8" i="14"/>
  <c r="Q8" i="14"/>
  <c r="R8" i="14" s="1"/>
  <c r="J7" i="15"/>
  <c r="K7" i="15" s="1"/>
  <c r="Q7" i="15"/>
  <c r="R7" i="15" s="1"/>
  <c r="S7" i="15" s="1"/>
  <c r="T7" i="15" s="1"/>
  <c r="Q7" i="14"/>
  <c r="R7" i="14" s="1"/>
  <c r="S7" i="14" s="1"/>
  <c r="T7" i="14" s="1"/>
  <c r="J7" i="14"/>
  <c r="K7" i="14" s="1"/>
  <c r="L7" i="14" s="1"/>
  <c r="Q19" i="18"/>
  <c r="S26" i="18"/>
  <c r="S14" i="18"/>
  <c r="O13" i="18"/>
  <c r="Q26" i="18"/>
  <c r="Q18" i="18"/>
  <c r="Q10" i="18"/>
  <c r="S21" i="18"/>
  <c r="S17" i="18"/>
  <c r="S12" i="18"/>
  <c r="O24" i="18"/>
  <c r="O20" i="18"/>
  <c r="O16" i="18"/>
  <c r="O11" i="18"/>
  <c r="Q23" i="18"/>
  <c r="Q11" i="18"/>
  <c r="S18" i="18"/>
  <c r="O25" i="18"/>
  <c r="O17" i="18"/>
  <c r="Q22" i="18"/>
  <c r="Q14" i="18"/>
  <c r="S25" i="18"/>
  <c r="Q25" i="18"/>
  <c r="Q21" i="18"/>
  <c r="Q17" i="18"/>
  <c r="Q13" i="18"/>
  <c r="Q9" i="18"/>
  <c r="S24" i="18"/>
  <c r="S20" i="18"/>
  <c r="S16" i="18"/>
  <c r="S11" i="18"/>
  <c r="O27" i="18"/>
  <c r="O23" i="18"/>
  <c r="O19" i="18"/>
  <c r="O15" i="18"/>
  <c r="Q27" i="18"/>
  <c r="Q15" i="18"/>
  <c r="S22" i="18"/>
  <c r="S9" i="18"/>
  <c r="O21" i="18"/>
  <c r="Q8" i="18"/>
  <c r="Q24" i="18"/>
  <c r="Q20" i="18"/>
  <c r="Q16" i="18"/>
  <c r="Q12" i="18"/>
  <c r="S27" i="18"/>
  <c r="S23" i="18"/>
  <c r="S19" i="18"/>
  <c r="S15" i="18"/>
  <c r="S10" i="18"/>
  <c r="O14" i="18"/>
  <c r="O9" i="18"/>
  <c r="G28" i="18"/>
  <c r="O28" i="18" s="1"/>
  <c r="Q16" i="13"/>
  <c r="Q8" i="13"/>
  <c r="Q24" i="13"/>
  <c r="Q14" i="13"/>
  <c r="Q9" i="13"/>
  <c r="Q25" i="13"/>
  <c r="Q15" i="13"/>
  <c r="I28" i="18"/>
  <c r="Q21" i="13"/>
  <c r="Q13" i="13"/>
  <c r="Q19" i="13"/>
  <c r="Q17" i="13"/>
  <c r="H28" i="18"/>
  <c r="Q23" i="13"/>
  <c r="Q20" i="13"/>
  <c r="Q12" i="13"/>
  <c r="E8" i="13"/>
  <c r="J7" i="13" s="1"/>
  <c r="E7" i="12"/>
  <c r="D5" i="11"/>
  <c r="J8" i="15" l="1"/>
  <c r="K8" i="15" s="1"/>
  <c r="L8" i="15" s="1"/>
  <c r="L7" i="15"/>
  <c r="G26" i="13"/>
  <c r="G25" i="14"/>
  <c r="J27" i="15"/>
  <c r="Q27" i="15"/>
  <c r="R27" i="15" s="1"/>
  <c r="J27" i="14"/>
  <c r="Q27" i="14"/>
  <c r="R27" i="14" s="1"/>
  <c r="U7" i="14"/>
  <c r="V7" i="14" s="1"/>
  <c r="S8" i="14"/>
  <c r="T8" i="14" s="1"/>
  <c r="U7" i="15"/>
  <c r="V7" i="15" s="1"/>
  <c r="S8" i="15"/>
  <c r="T8" i="15" s="1"/>
  <c r="M7" i="14"/>
  <c r="K8" i="14"/>
  <c r="L8" i="14" s="1"/>
  <c r="R8" i="13"/>
  <c r="R12" i="13"/>
  <c r="R16" i="13"/>
  <c r="R20" i="13"/>
  <c r="R24" i="13"/>
  <c r="R9" i="13"/>
  <c r="R13" i="13"/>
  <c r="R17" i="13"/>
  <c r="R21" i="13"/>
  <c r="R25" i="13"/>
  <c r="R10" i="13"/>
  <c r="R14" i="13"/>
  <c r="R18" i="13"/>
  <c r="R22" i="13"/>
  <c r="R26" i="13"/>
  <c r="R11" i="13"/>
  <c r="R15" i="13"/>
  <c r="R19" i="13"/>
  <c r="R23" i="13"/>
  <c r="R7" i="13"/>
  <c r="S7" i="13" s="1"/>
  <c r="T7" i="13" s="1"/>
  <c r="J8" i="13"/>
  <c r="J12" i="13"/>
  <c r="J16" i="13"/>
  <c r="J20" i="13"/>
  <c r="J24" i="13"/>
  <c r="J14" i="13"/>
  <c r="J26" i="13"/>
  <c r="J15" i="13"/>
  <c r="J19" i="13"/>
  <c r="J9" i="13"/>
  <c r="J13" i="13"/>
  <c r="J17" i="13"/>
  <c r="J21" i="13"/>
  <c r="J25" i="13"/>
  <c r="J10" i="13"/>
  <c r="J18" i="13"/>
  <c r="J22" i="13"/>
  <c r="J11" i="13"/>
  <c r="J23" i="13"/>
  <c r="Q28" i="18"/>
  <c r="S28" i="18"/>
  <c r="N7" i="12"/>
  <c r="Q27" i="13"/>
  <c r="R27" i="13" s="1"/>
  <c r="N26" i="12"/>
  <c r="N27" i="12"/>
  <c r="B2" i="11"/>
  <c r="B4" i="11"/>
  <c r="G27" i="13" l="1"/>
  <c r="G27" i="14" s="1"/>
  <c r="G26" i="14"/>
  <c r="N7" i="14"/>
  <c r="X7" i="14"/>
  <c r="Y7" i="14" s="1"/>
  <c r="K9" i="15"/>
  <c r="L9" i="15" s="1"/>
  <c r="M8" i="15"/>
  <c r="U8" i="15"/>
  <c r="V8" i="15" s="1"/>
  <c r="S9" i="15"/>
  <c r="T9" i="15" s="1"/>
  <c r="N7" i="15"/>
  <c r="X7" i="15"/>
  <c r="Y7" i="15" s="1"/>
  <c r="M8" i="14"/>
  <c r="K9" i="14"/>
  <c r="L9" i="14" s="1"/>
  <c r="U8" i="14"/>
  <c r="V8" i="14" s="1"/>
  <c r="S9" i="14"/>
  <c r="T9" i="14" s="1"/>
  <c r="S8" i="13"/>
  <c r="T8" i="13" s="1"/>
  <c r="J27" i="13"/>
  <c r="G19" i="10"/>
  <c r="G19" i="8"/>
  <c r="U9" i="14" l="1"/>
  <c r="V9" i="14" s="1"/>
  <c r="S10" i="14"/>
  <c r="T10" i="14" s="1"/>
  <c r="N8" i="15"/>
  <c r="X8" i="15"/>
  <c r="Y8" i="15" s="1"/>
  <c r="N8" i="14"/>
  <c r="X8" i="14"/>
  <c r="Y8" i="14" s="1"/>
  <c r="K10" i="15"/>
  <c r="L10" i="15" s="1"/>
  <c r="M9" i="15"/>
  <c r="K10" i="14"/>
  <c r="L10" i="14" s="1"/>
  <c r="M9" i="14"/>
  <c r="U9" i="15"/>
  <c r="V9" i="15" s="1"/>
  <c r="S10" i="15"/>
  <c r="T10" i="15" s="1"/>
  <c r="U7" i="13"/>
  <c r="V7" i="13" s="1"/>
  <c r="S9" i="13"/>
  <c r="T9" i="13" s="1"/>
  <c r="H19" i="8"/>
  <c r="H19" i="10"/>
  <c r="I19" i="8"/>
  <c r="M10" i="14" l="1"/>
  <c r="K11" i="14"/>
  <c r="L11" i="14" s="1"/>
  <c r="U10" i="15"/>
  <c r="V10" i="15" s="1"/>
  <c r="S11" i="15"/>
  <c r="T11" i="15" s="1"/>
  <c r="N9" i="15"/>
  <c r="X9" i="15"/>
  <c r="Y9" i="15" s="1"/>
  <c r="M10" i="15"/>
  <c r="K11" i="15"/>
  <c r="L11" i="15" s="1"/>
  <c r="N9" i="14"/>
  <c r="X9" i="14"/>
  <c r="Y9" i="14" s="1"/>
  <c r="U10" i="14"/>
  <c r="V10" i="14" s="1"/>
  <c r="S11" i="14"/>
  <c r="T11" i="14" s="1"/>
  <c r="U8" i="13"/>
  <c r="V8" i="13" s="1"/>
  <c r="S10" i="13"/>
  <c r="T10" i="13" s="1"/>
  <c r="I19" i="10"/>
  <c r="J19" i="8"/>
  <c r="U11" i="14" l="1"/>
  <c r="V11" i="14" s="1"/>
  <c r="S12" i="14"/>
  <c r="T12" i="14" s="1"/>
  <c r="M11" i="15"/>
  <c r="K12" i="15"/>
  <c r="L12" i="15" s="1"/>
  <c r="U11" i="15"/>
  <c r="V11" i="15" s="1"/>
  <c r="S12" i="15"/>
  <c r="T12" i="15" s="1"/>
  <c r="N10" i="15"/>
  <c r="X10" i="15"/>
  <c r="Y10" i="15" s="1"/>
  <c r="K12" i="14"/>
  <c r="L12" i="14" s="1"/>
  <c r="M11" i="14"/>
  <c r="N10" i="14"/>
  <c r="X10" i="14"/>
  <c r="Y10" i="14" s="1"/>
  <c r="U9" i="13"/>
  <c r="V9" i="13" s="1"/>
  <c r="S11" i="13"/>
  <c r="T11" i="13" s="1"/>
  <c r="J19" i="10"/>
  <c r="K19" i="8"/>
  <c r="M12" i="14" l="1"/>
  <c r="K13" i="14"/>
  <c r="L13" i="14" s="1"/>
  <c r="K13" i="15"/>
  <c r="L13" i="15" s="1"/>
  <c r="M12" i="15"/>
  <c r="N11" i="15"/>
  <c r="X11" i="15"/>
  <c r="Y11" i="15" s="1"/>
  <c r="X11" i="14"/>
  <c r="Y11" i="14" s="1"/>
  <c r="N11" i="14"/>
  <c r="U12" i="15"/>
  <c r="V12" i="15" s="1"/>
  <c r="S13" i="15"/>
  <c r="T13" i="15" s="1"/>
  <c r="U12" i="14"/>
  <c r="V12" i="14" s="1"/>
  <c r="S13" i="14"/>
  <c r="T13" i="14" s="1"/>
  <c r="U10" i="13"/>
  <c r="V10" i="13" s="1"/>
  <c r="S12" i="13"/>
  <c r="T12" i="13" s="1"/>
  <c r="L19" i="8"/>
  <c r="K19" i="10"/>
  <c r="N12" i="15" l="1"/>
  <c r="X12" i="15"/>
  <c r="Y12" i="15" s="1"/>
  <c r="M13" i="15"/>
  <c r="K14" i="15"/>
  <c r="L14" i="15" s="1"/>
  <c r="U13" i="14"/>
  <c r="V13" i="14" s="1"/>
  <c r="S14" i="14"/>
  <c r="T14" i="14" s="1"/>
  <c r="U13" i="15"/>
  <c r="V13" i="15" s="1"/>
  <c r="S14" i="15"/>
  <c r="T14" i="15" s="1"/>
  <c r="K14" i="14"/>
  <c r="L14" i="14" s="1"/>
  <c r="M13" i="14"/>
  <c r="X12" i="14"/>
  <c r="Y12" i="14" s="1"/>
  <c r="N12" i="14"/>
  <c r="U11" i="13"/>
  <c r="S13" i="13"/>
  <c r="T13" i="13" s="1"/>
  <c r="L19" i="10"/>
  <c r="M19" i="8"/>
  <c r="V11" i="13" l="1"/>
  <c r="U14" i="15"/>
  <c r="V14" i="15" s="1"/>
  <c r="S15" i="15"/>
  <c r="T15" i="15" s="1"/>
  <c r="K15" i="15"/>
  <c r="L15" i="15" s="1"/>
  <c r="M14" i="15"/>
  <c r="X13" i="15"/>
  <c r="Y13" i="15" s="1"/>
  <c r="N13" i="15"/>
  <c r="N13" i="14"/>
  <c r="X13" i="14"/>
  <c r="Y13" i="14" s="1"/>
  <c r="U14" i="14"/>
  <c r="V14" i="14" s="1"/>
  <c r="S15" i="14"/>
  <c r="T15" i="14" s="1"/>
  <c r="K15" i="14"/>
  <c r="L15" i="14" s="1"/>
  <c r="M14" i="14"/>
  <c r="U12" i="13"/>
  <c r="V12" i="13" s="1"/>
  <c r="S14" i="13"/>
  <c r="T14" i="13" s="1"/>
  <c r="M19" i="10"/>
  <c r="N19" i="8"/>
  <c r="X14" i="15" l="1"/>
  <c r="Y14" i="15" s="1"/>
  <c r="N14" i="15"/>
  <c r="M15" i="15"/>
  <c r="K16" i="15"/>
  <c r="L16" i="15" s="1"/>
  <c r="N14" i="14"/>
  <c r="X14" i="14"/>
  <c r="Y14" i="14" s="1"/>
  <c r="M15" i="14"/>
  <c r="K16" i="14"/>
  <c r="L16" i="14" s="1"/>
  <c r="U15" i="14"/>
  <c r="V15" i="14" s="1"/>
  <c r="S16" i="14"/>
  <c r="T16" i="14" s="1"/>
  <c r="U15" i="15"/>
  <c r="V15" i="15" s="1"/>
  <c r="S16" i="15"/>
  <c r="T16" i="15" s="1"/>
  <c r="U13" i="13"/>
  <c r="V13" i="13" s="1"/>
  <c r="S15" i="13"/>
  <c r="T15" i="13" s="1"/>
  <c r="N19" i="10"/>
  <c r="O19" i="8"/>
  <c r="U16" i="15" l="1"/>
  <c r="V16" i="15" s="1"/>
  <c r="S17" i="15"/>
  <c r="T17" i="15" s="1"/>
  <c r="M16" i="14"/>
  <c r="K17" i="14"/>
  <c r="L17" i="14" s="1"/>
  <c r="K17" i="15"/>
  <c r="L17" i="15" s="1"/>
  <c r="M16" i="15"/>
  <c r="N15" i="15"/>
  <c r="X15" i="15"/>
  <c r="Y15" i="15" s="1"/>
  <c r="N15" i="14"/>
  <c r="X15" i="14"/>
  <c r="Y15" i="14" s="1"/>
  <c r="U16" i="14"/>
  <c r="V16" i="14" s="1"/>
  <c r="S17" i="14"/>
  <c r="T17" i="14" s="1"/>
  <c r="U14" i="13"/>
  <c r="V14" i="13" s="1"/>
  <c r="S16" i="13"/>
  <c r="T16" i="13" s="1"/>
  <c r="O19" i="10"/>
  <c r="P19" i="8"/>
  <c r="U17" i="14" l="1"/>
  <c r="V17" i="14" s="1"/>
  <c r="S18" i="14"/>
  <c r="T18" i="14" s="1"/>
  <c r="M17" i="14"/>
  <c r="K18" i="14"/>
  <c r="L18" i="14" s="1"/>
  <c r="N16" i="14"/>
  <c r="X16" i="14"/>
  <c r="Y16" i="14" s="1"/>
  <c r="I5" i="7" s="1"/>
  <c r="X16" i="15"/>
  <c r="Y16" i="15" s="1"/>
  <c r="I5" i="9" s="1"/>
  <c r="N16" i="15"/>
  <c r="U17" i="15"/>
  <c r="V17" i="15" s="1"/>
  <c r="S18" i="15"/>
  <c r="T18" i="15" s="1"/>
  <c r="K18" i="15"/>
  <c r="L18" i="15" s="1"/>
  <c r="M17" i="15"/>
  <c r="U15" i="13"/>
  <c r="V15" i="13" s="1"/>
  <c r="S17" i="13"/>
  <c r="T17" i="13" s="1"/>
  <c r="P19" i="10"/>
  <c r="Q19" i="8"/>
  <c r="J25" i="12"/>
  <c r="K24" i="12"/>
  <c r="K25" i="12"/>
  <c r="N17" i="15" l="1"/>
  <c r="X17" i="15"/>
  <c r="Y17" i="15" s="1"/>
  <c r="K19" i="14"/>
  <c r="L19" i="14" s="1"/>
  <c r="M18" i="14"/>
  <c r="N17" i="14"/>
  <c r="X17" i="14"/>
  <c r="Y17" i="14" s="1"/>
  <c r="K19" i="15"/>
  <c r="L19" i="15" s="1"/>
  <c r="M18" i="15"/>
  <c r="U18" i="15"/>
  <c r="V18" i="15" s="1"/>
  <c r="S19" i="15"/>
  <c r="T19" i="15" s="1"/>
  <c r="U18" i="14"/>
  <c r="V18" i="14" s="1"/>
  <c r="S19" i="14"/>
  <c r="T19" i="14" s="1"/>
  <c r="U16" i="13"/>
  <c r="V16" i="13" s="1"/>
  <c r="S18" i="13"/>
  <c r="T18" i="13" s="1"/>
  <c r="Q19" i="10"/>
  <c r="R19" i="8"/>
  <c r="N25" i="12"/>
  <c r="J24" i="12"/>
  <c r="X18" i="14" l="1"/>
  <c r="Y18" i="14" s="1"/>
  <c r="N18" i="14"/>
  <c r="N18" i="15"/>
  <c r="X18" i="15"/>
  <c r="Y18" i="15" s="1"/>
  <c r="M19" i="14"/>
  <c r="K20" i="14"/>
  <c r="L20" i="14" s="1"/>
  <c r="U19" i="14"/>
  <c r="V19" i="14" s="1"/>
  <c r="S20" i="14"/>
  <c r="T20" i="14" s="1"/>
  <c r="U19" i="15"/>
  <c r="V19" i="15" s="1"/>
  <c r="S20" i="15"/>
  <c r="T20" i="15" s="1"/>
  <c r="M19" i="15"/>
  <c r="K20" i="15"/>
  <c r="L20" i="15" s="1"/>
  <c r="U17" i="13"/>
  <c r="V17" i="13" s="1"/>
  <c r="S19" i="13"/>
  <c r="T19" i="13" s="1"/>
  <c r="R19" i="10"/>
  <c r="S19" i="8"/>
  <c r="N24" i="12"/>
  <c r="J23" i="12"/>
  <c r="J20" i="12"/>
  <c r="J16" i="12"/>
  <c r="J14" i="12"/>
  <c r="J12" i="12"/>
  <c r="J11" i="12"/>
  <c r="J8" i="12"/>
  <c r="J9" i="12"/>
  <c r="J17" i="12"/>
  <c r="K8" i="12"/>
  <c r="K9" i="12"/>
  <c r="K10" i="12"/>
  <c r="K11" i="12"/>
  <c r="K12" i="12"/>
  <c r="J13" i="12"/>
  <c r="K13" i="12"/>
  <c r="K14" i="12"/>
  <c r="K15" i="12"/>
  <c r="K16" i="12"/>
  <c r="K17" i="12"/>
  <c r="K18" i="12"/>
  <c r="K19" i="12"/>
  <c r="K20" i="12"/>
  <c r="K21" i="12"/>
  <c r="K22" i="12"/>
  <c r="K23" i="12"/>
  <c r="G19" i="6"/>
  <c r="J18" i="12"/>
  <c r="J21" i="12"/>
  <c r="K21" i="15" l="1"/>
  <c r="L21" i="15" s="1"/>
  <c r="M20" i="15"/>
  <c r="U20" i="14"/>
  <c r="V20" i="14" s="1"/>
  <c r="S21" i="14"/>
  <c r="T21" i="14" s="1"/>
  <c r="X19" i="15"/>
  <c r="Y19" i="15" s="1"/>
  <c r="N19" i="15"/>
  <c r="U20" i="15"/>
  <c r="V20" i="15" s="1"/>
  <c r="S21" i="15"/>
  <c r="T21" i="15" s="1"/>
  <c r="M20" i="14"/>
  <c r="K21" i="14"/>
  <c r="L21" i="14" s="1"/>
  <c r="N19" i="14"/>
  <c r="X19" i="14"/>
  <c r="Y19" i="14" s="1"/>
  <c r="U18" i="13"/>
  <c r="V18" i="13" s="1"/>
  <c r="S20" i="13"/>
  <c r="T20" i="13" s="1"/>
  <c r="N12" i="12"/>
  <c r="N14" i="12"/>
  <c r="N21" i="12"/>
  <c r="H19" i="6"/>
  <c r="I19" i="6" s="1"/>
  <c r="J19" i="6" s="1"/>
  <c r="K19" i="6" s="1"/>
  <c r="S19" i="10"/>
  <c r="T19" i="8"/>
  <c r="K7" i="13"/>
  <c r="L7" i="13" s="1"/>
  <c r="N17" i="12"/>
  <c r="N13" i="12"/>
  <c r="N19" i="12"/>
  <c r="N9" i="12"/>
  <c r="J10" i="12"/>
  <c r="J15" i="12"/>
  <c r="O7" i="12"/>
  <c r="P7" i="12" s="1"/>
  <c r="N11" i="12"/>
  <c r="N23" i="12"/>
  <c r="N8" i="12"/>
  <c r="N20" i="12"/>
  <c r="N18" i="12"/>
  <c r="J22" i="12"/>
  <c r="N16" i="12"/>
  <c r="K22" i="15" l="1"/>
  <c r="L22" i="15" s="1"/>
  <c r="M21" i="15"/>
  <c r="U21" i="15"/>
  <c r="V21" i="15" s="1"/>
  <c r="S22" i="15"/>
  <c r="T22" i="15" s="1"/>
  <c r="U21" i="14"/>
  <c r="S22" i="14"/>
  <c r="T22" i="14" s="1"/>
  <c r="K22" i="14"/>
  <c r="L22" i="14" s="1"/>
  <c r="M21" i="14"/>
  <c r="N20" i="15"/>
  <c r="X20" i="15"/>
  <c r="Y20" i="15" s="1"/>
  <c r="X20" i="14"/>
  <c r="Y20" i="14" s="1"/>
  <c r="N20" i="14"/>
  <c r="U19" i="13"/>
  <c r="V19" i="13" s="1"/>
  <c r="S21" i="13"/>
  <c r="T21" i="13" s="1"/>
  <c r="C9" i="11"/>
  <c r="D9" i="11" s="1"/>
  <c r="X19" i="8"/>
  <c r="Y19" i="8" s="1"/>
  <c r="F20" i="8" s="1"/>
  <c r="T19" i="10"/>
  <c r="X19" i="10" s="1"/>
  <c r="Y19" i="10" s="1"/>
  <c r="F20" i="10" s="1"/>
  <c r="L19" i="6"/>
  <c r="K8" i="13"/>
  <c r="L8" i="13" s="1"/>
  <c r="N15" i="12"/>
  <c r="O8" i="12"/>
  <c r="P8" i="12" s="1"/>
  <c r="N10" i="12"/>
  <c r="N22" i="12"/>
  <c r="C10" i="11" l="1"/>
  <c r="D10" i="11" s="1"/>
  <c r="M8" i="13"/>
  <c r="V21" i="14"/>
  <c r="X21" i="14"/>
  <c r="Y21" i="14" s="1"/>
  <c r="I5" i="8" s="1"/>
  <c r="K23" i="15"/>
  <c r="L23" i="15" s="1"/>
  <c r="M22" i="15"/>
  <c r="N21" i="14"/>
  <c r="U22" i="15"/>
  <c r="V22" i="15" s="1"/>
  <c r="S23" i="15"/>
  <c r="T23" i="15" s="1"/>
  <c r="M22" i="14"/>
  <c r="K23" i="14"/>
  <c r="L23" i="14" s="1"/>
  <c r="U22" i="14"/>
  <c r="V22" i="14" s="1"/>
  <c r="S23" i="14"/>
  <c r="T23" i="14" s="1"/>
  <c r="N21" i="15"/>
  <c r="X21" i="15"/>
  <c r="Y21" i="15" s="1"/>
  <c r="I5" i="10" s="1"/>
  <c r="M7" i="13"/>
  <c r="U20" i="13"/>
  <c r="V20" i="13" s="1"/>
  <c r="S22" i="13"/>
  <c r="T22" i="13" s="1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M19" i="6"/>
  <c r="K9" i="13"/>
  <c r="L9" i="13" s="1"/>
  <c r="O9" i="12"/>
  <c r="P9" i="12" s="1"/>
  <c r="O10" i="12" l="1"/>
  <c r="P10" i="12" s="1"/>
  <c r="X8" i="13"/>
  <c r="Y8" i="13" s="1"/>
  <c r="N8" i="13"/>
  <c r="M9" i="13"/>
  <c r="K24" i="15"/>
  <c r="L24" i="15" s="1"/>
  <c r="M23" i="15"/>
  <c r="K24" i="14"/>
  <c r="L24" i="14" s="1"/>
  <c r="M23" i="14"/>
  <c r="X22" i="14"/>
  <c r="Y22" i="14" s="1"/>
  <c r="N22" i="14"/>
  <c r="U23" i="14"/>
  <c r="V23" i="14" s="1"/>
  <c r="S24" i="14"/>
  <c r="T24" i="14" s="1"/>
  <c r="U23" i="15"/>
  <c r="V23" i="15" s="1"/>
  <c r="S24" i="15"/>
  <c r="T24" i="15" s="1"/>
  <c r="N22" i="15"/>
  <c r="X22" i="15"/>
  <c r="Y22" i="15" s="1"/>
  <c r="N7" i="13"/>
  <c r="X7" i="13"/>
  <c r="Y7" i="13" s="1"/>
  <c r="U21" i="13"/>
  <c r="V21" i="13" s="1"/>
  <c r="I6" i="7"/>
  <c r="S23" i="13"/>
  <c r="T23" i="13" s="1"/>
  <c r="I6" i="9"/>
  <c r="X20" i="8"/>
  <c r="Y20" i="8" s="1"/>
  <c r="K10" i="13"/>
  <c r="L10" i="13" s="1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N19" i="6"/>
  <c r="O11" i="12" l="1"/>
  <c r="P11" i="12" s="1"/>
  <c r="X9" i="13"/>
  <c r="Y9" i="13" s="1"/>
  <c r="N9" i="13"/>
  <c r="M10" i="13"/>
  <c r="U24" i="14"/>
  <c r="V24" i="14" s="1"/>
  <c r="S25" i="14"/>
  <c r="T25" i="14" s="1"/>
  <c r="N23" i="14"/>
  <c r="X23" i="14"/>
  <c r="Y23" i="14" s="1"/>
  <c r="K25" i="14"/>
  <c r="L25" i="14" s="1"/>
  <c r="M24" i="14"/>
  <c r="U24" i="15"/>
  <c r="V24" i="15" s="1"/>
  <c r="S25" i="15"/>
  <c r="T25" i="15" s="1"/>
  <c r="N23" i="15"/>
  <c r="X23" i="15"/>
  <c r="Y23" i="15" s="1"/>
  <c r="K25" i="15"/>
  <c r="L25" i="15" s="1"/>
  <c r="M24" i="15"/>
  <c r="U22" i="13"/>
  <c r="V22" i="13" s="1"/>
  <c r="S24" i="13"/>
  <c r="T24" i="13" s="1"/>
  <c r="X20" i="10"/>
  <c r="Y20" i="10" s="1"/>
  <c r="C12" i="11"/>
  <c r="D12" i="11" s="1"/>
  <c r="C11" i="11"/>
  <c r="D11" i="11" s="1"/>
  <c r="K11" i="13"/>
  <c r="L11" i="13" s="1"/>
  <c r="O19" i="6"/>
  <c r="O12" i="12" l="1"/>
  <c r="P12" i="12" s="1"/>
  <c r="X10" i="13"/>
  <c r="Y10" i="13" s="1"/>
  <c r="N10" i="13"/>
  <c r="M11" i="13"/>
  <c r="X24" i="15"/>
  <c r="Y24" i="15" s="1"/>
  <c r="N24" i="15"/>
  <c r="U25" i="15"/>
  <c r="V25" i="15" s="1"/>
  <c r="S26" i="15"/>
  <c r="T26" i="15" s="1"/>
  <c r="M25" i="15"/>
  <c r="K26" i="15"/>
  <c r="L26" i="15" s="1"/>
  <c r="N24" i="14"/>
  <c r="X24" i="14"/>
  <c r="Y24" i="14" s="1"/>
  <c r="U25" i="14"/>
  <c r="V25" i="14" s="1"/>
  <c r="S26" i="14"/>
  <c r="T26" i="14" s="1"/>
  <c r="M25" i="14"/>
  <c r="K26" i="14"/>
  <c r="L26" i="14" s="1"/>
  <c r="U23" i="13"/>
  <c r="V23" i="13" s="1"/>
  <c r="S25" i="13"/>
  <c r="T25" i="13" s="1"/>
  <c r="C13" i="11"/>
  <c r="D13" i="11" s="1"/>
  <c r="H5" i="4" s="1"/>
  <c r="H6" i="4" s="1"/>
  <c r="K12" i="13"/>
  <c r="L12" i="13" s="1"/>
  <c r="P19" i="6"/>
  <c r="O13" i="12"/>
  <c r="P13" i="12" s="1"/>
  <c r="C15" i="11" l="1"/>
  <c r="N11" i="13"/>
  <c r="X11" i="13"/>
  <c r="Y11" i="13" s="1"/>
  <c r="I5" i="4" s="1"/>
  <c r="I6" i="4" s="1"/>
  <c r="M26" i="14"/>
  <c r="K27" i="14"/>
  <c r="L27" i="14" s="1"/>
  <c r="U26" i="15"/>
  <c r="V26" i="15" s="1"/>
  <c r="S27" i="15"/>
  <c r="T27" i="15" s="1"/>
  <c r="N25" i="14"/>
  <c r="X25" i="14"/>
  <c r="Y25" i="14" s="1"/>
  <c r="U26" i="14"/>
  <c r="V26" i="14" s="1"/>
  <c r="S27" i="14"/>
  <c r="T27" i="14" s="1"/>
  <c r="K27" i="15"/>
  <c r="L27" i="15" s="1"/>
  <c r="M26" i="15"/>
  <c r="X25" i="15"/>
  <c r="Y25" i="15" s="1"/>
  <c r="N25" i="15"/>
  <c r="U24" i="13"/>
  <c r="V24" i="13" s="1"/>
  <c r="S26" i="13"/>
  <c r="T26" i="13" s="1"/>
  <c r="I6" i="10"/>
  <c r="M12" i="13"/>
  <c r="X12" i="13" s="1"/>
  <c r="Y12" i="13" s="1"/>
  <c r="K13" i="13"/>
  <c r="L13" i="13" s="1"/>
  <c r="C14" i="11"/>
  <c r="D14" i="11" s="1"/>
  <c r="Q19" i="6"/>
  <c r="O14" i="12"/>
  <c r="P14" i="12" s="1"/>
  <c r="M27" i="15" l="1"/>
  <c r="U27" i="14"/>
  <c r="V27" i="14" s="1"/>
  <c r="M13" i="13"/>
  <c r="U27" i="15"/>
  <c r="V27" i="15" s="1"/>
  <c r="M27" i="14"/>
  <c r="N26" i="15"/>
  <c r="X26" i="15"/>
  <c r="Y26" i="15" s="1"/>
  <c r="N26" i="14"/>
  <c r="X26" i="14"/>
  <c r="Y26" i="14" s="1"/>
  <c r="U25" i="13"/>
  <c r="V25" i="13" s="1"/>
  <c r="S27" i="13"/>
  <c r="T27" i="13" s="1"/>
  <c r="N12" i="13"/>
  <c r="K14" i="13"/>
  <c r="L14" i="13" s="1"/>
  <c r="D15" i="11"/>
  <c r="R19" i="6"/>
  <c r="O15" i="12"/>
  <c r="P15" i="12" s="1"/>
  <c r="N27" i="14" l="1"/>
  <c r="X27" i="14"/>
  <c r="Y27" i="14" s="1"/>
  <c r="X13" i="13"/>
  <c r="Y13" i="13" s="1"/>
  <c r="N13" i="13"/>
  <c r="N27" i="15"/>
  <c r="X27" i="15"/>
  <c r="Y27" i="15" s="1"/>
  <c r="M14" i="13"/>
  <c r="U27" i="13"/>
  <c r="V27" i="13" s="1"/>
  <c r="U26" i="13"/>
  <c r="V26" i="13" s="1"/>
  <c r="I6" i="8"/>
  <c r="K15" i="13"/>
  <c r="L15" i="13" s="1"/>
  <c r="C16" i="11"/>
  <c r="D16" i="11" s="1"/>
  <c r="S19" i="6"/>
  <c r="O16" i="12"/>
  <c r="P16" i="12" s="1"/>
  <c r="X14" i="13" l="1"/>
  <c r="Y14" i="13" s="1"/>
  <c r="N14" i="13"/>
  <c r="M15" i="13"/>
  <c r="K16" i="13"/>
  <c r="L16" i="13" s="1"/>
  <c r="C17" i="11"/>
  <c r="D17" i="11" s="1"/>
  <c r="T19" i="6"/>
  <c r="X19" i="6" s="1"/>
  <c r="Y19" i="6" s="1"/>
  <c r="F20" i="6" s="1"/>
  <c r="O17" i="12"/>
  <c r="P17" i="12" s="1"/>
  <c r="X15" i="13" l="1"/>
  <c r="Y15" i="13" s="1"/>
  <c r="N15" i="13"/>
  <c r="M16" i="13"/>
  <c r="K17" i="13"/>
  <c r="L17" i="13" s="1"/>
  <c r="C18" i="11"/>
  <c r="D18" i="11" s="1"/>
  <c r="O18" i="12"/>
  <c r="P18" i="12" s="1"/>
  <c r="X16" i="13" l="1"/>
  <c r="Y16" i="13" s="1"/>
  <c r="I5" i="5" s="1"/>
  <c r="I6" i="5" s="1"/>
  <c r="N16" i="13"/>
  <c r="M17" i="13"/>
  <c r="K18" i="13"/>
  <c r="H5" i="9"/>
  <c r="H6" i="9" s="1"/>
  <c r="H5" i="5"/>
  <c r="H6" i="5" s="1"/>
  <c r="H5" i="7"/>
  <c r="H6" i="7" s="1"/>
  <c r="C19" i="11"/>
  <c r="D19" i="11" s="1"/>
  <c r="O19" i="12"/>
  <c r="P19" i="12" s="1"/>
  <c r="L18" i="13" l="1"/>
  <c r="M18" i="13" s="1"/>
  <c r="X17" i="13"/>
  <c r="Y17" i="13" s="1"/>
  <c r="N17" i="13"/>
  <c r="K19" i="13"/>
  <c r="J5" i="4"/>
  <c r="C20" i="11"/>
  <c r="D20" i="11" s="1"/>
  <c r="H20" i="6"/>
  <c r="I20" i="6"/>
  <c r="J20" i="6"/>
  <c r="G20" i="6"/>
  <c r="K20" i="6"/>
  <c r="L20" i="6"/>
  <c r="M20" i="6"/>
  <c r="N20" i="6"/>
  <c r="O20" i="6"/>
  <c r="P20" i="6"/>
  <c r="Q20" i="6"/>
  <c r="R20" i="6"/>
  <c r="S20" i="6"/>
  <c r="T20" i="6"/>
  <c r="C21" i="11"/>
  <c r="O20" i="12"/>
  <c r="P20" i="12" s="1"/>
  <c r="X18" i="13" l="1"/>
  <c r="Y18" i="13" s="1"/>
  <c r="N18" i="13"/>
  <c r="L19" i="13"/>
  <c r="M19" i="13" s="1"/>
  <c r="O21" i="12"/>
  <c r="P21" i="12" s="1"/>
  <c r="K5" i="4"/>
  <c r="L5" i="4" s="1"/>
  <c r="J6" i="4"/>
  <c r="K20" i="13"/>
  <c r="L20" i="13" s="1"/>
  <c r="X20" i="6"/>
  <c r="Y20" i="6" s="1"/>
  <c r="D21" i="11"/>
  <c r="X19" i="13" l="1"/>
  <c r="Y19" i="13" s="1"/>
  <c r="N19" i="13"/>
  <c r="C23" i="11"/>
  <c r="D23" i="11" s="1"/>
  <c r="K21" i="13"/>
  <c r="L21" i="13" s="1"/>
  <c r="M21" i="13" s="1"/>
  <c r="X21" i="13" s="1"/>
  <c r="Y21" i="13" s="1"/>
  <c r="M20" i="13"/>
  <c r="X20" i="13" s="1"/>
  <c r="Y20" i="13" s="1"/>
  <c r="L6" i="4"/>
  <c r="F9" i="4" s="1"/>
  <c r="K6" i="4"/>
  <c r="J5" i="7"/>
  <c r="J5" i="9"/>
  <c r="C22" i="11"/>
  <c r="D22" i="11" s="1"/>
  <c r="O22" i="12"/>
  <c r="P22" i="12" s="1"/>
  <c r="K22" i="13" l="1"/>
  <c r="L22" i="13" s="1"/>
  <c r="H5" i="10"/>
  <c r="H5" i="6"/>
  <c r="H6" i="6" s="1"/>
  <c r="H5" i="8"/>
  <c r="H6" i="8" s="1"/>
  <c r="F6" i="3"/>
  <c r="B69" i="2" s="1"/>
  <c r="F13" i="4"/>
  <c r="F27" i="3" s="1"/>
  <c r="N20" i="13"/>
  <c r="I5" i="6"/>
  <c r="K5" i="9"/>
  <c r="J6" i="9"/>
  <c r="K5" i="7"/>
  <c r="J6" i="7"/>
  <c r="N21" i="13"/>
  <c r="G9" i="4"/>
  <c r="J5" i="5"/>
  <c r="M22" i="13"/>
  <c r="X22" i="13" s="1"/>
  <c r="Y22" i="13" s="1"/>
  <c r="K23" i="13"/>
  <c r="L23" i="13" s="1"/>
  <c r="O23" i="12"/>
  <c r="P23" i="12" s="1"/>
  <c r="O24" i="12" l="1"/>
  <c r="P24" i="12" s="1"/>
  <c r="H6" i="10"/>
  <c r="J5" i="10"/>
  <c r="J6" i="10" s="1"/>
  <c r="L5" i="7"/>
  <c r="K6" i="7"/>
  <c r="L5" i="9"/>
  <c r="L6" i="9" s="1"/>
  <c r="F9" i="9" s="1"/>
  <c r="F19" i="3" s="1"/>
  <c r="B82" i="2" s="1"/>
  <c r="K6" i="9"/>
  <c r="H9" i="4"/>
  <c r="G13" i="4"/>
  <c r="G27" i="3" s="1"/>
  <c r="N22" i="13"/>
  <c r="K5" i="5"/>
  <c r="J6" i="5"/>
  <c r="J5" i="6"/>
  <c r="I6" i="6"/>
  <c r="J5" i="8"/>
  <c r="J6" i="8" s="1"/>
  <c r="C24" i="11"/>
  <c r="D24" i="11" s="1"/>
  <c r="M23" i="13"/>
  <c r="X23" i="13" s="1"/>
  <c r="Y23" i="13" s="1"/>
  <c r="K24" i="13"/>
  <c r="L24" i="13" s="1"/>
  <c r="C26" i="11"/>
  <c r="O25" i="12"/>
  <c r="P25" i="12" s="1"/>
  <c r="L6" i="7" l="1"/>
  <c r="F9" i="7" s="1"/>
  <c r="G9" i="9"/>
  <c r="F13" i="9"/>
  <c r="F40" i="3" s="1"/>
  <c r="N23" i="13"/>
  <c r="K5" i="6"/>
  <c r="J6" i="6"/>
  <c r="L5" i="5"/>
  <c r="L6" i="5" s="1"/>
  <c r="F9" i="5" s="1"/>
  <c r="F7" i="3" s="1"/>
  <c r="B70" i="2" s="1"/>
  <c r="K6" i="5"/>
  <c r="I9" i="4"/>
  <c r="H13" i="4"/>
  <c r="H27" i="3" s="1"/>
  <c r="C27" i="11"/>
  <c r="O26" i="12"/>
  <c r="P26" i="12" s="1"/>
  <c r="C25" i="11"/>
  <c r="D25" i="11" s="1"/>
  <c r="K5" i="8"/>
  <c r="K5" i="10"/>
  <c r="K25" i="13"/>
  <c r="L25" i="13" s="1"/>
  <c r="M24" i="13"/>
  <c r="X24" i="13" s="1"/>
  <c r="Y24" i="13" s="1"/>
  <c r="D26" i="11"/>
  <c r="F13" i="3" l="1"/>
  <c r="B76" i="2" s="1"/>
  <c r="G9" i="7"/>
  <c r="F13" i="7"/>
  <c r="F34" i="3" s="1"/>
  <c r="L5" i="8"/>
  <c r="L6" i="8" s="1"/>
  <c r="F9" i="8" s="1"/>
  <c r="F14" i="3" s="1"/>
  <c r="B77" i="2" s="1"/>
  <c r="K6" i="8"/>
  <c r="G13" i="7"/>
  <c r="G34" i="3" s="1"/>
  <c r="H9" i="7"/>
  <c r="L5" i="10"/>
  <c r="K6" i="10"/>
  <c r="H9" i="9"/>
  <c r="G13" i="9"/>
  <c r="G40" i="3" s="1"/>
  <c r="I13" i="4"/>
  <c r="I27" i="3" s="1"/>
  <c r="J9" i="4"/>
  <c r="J13" i="4" s="1"/>
  <c r="K6" i="6"/>
  <c r="L5" i="6"/>
  <c r="L6" i="6" s="1"/>
  <c r="F9" i="6" s="1"/>
  <c r="N24" i="13"/>
  <c r="F13" i="5"/>
  <c r="F28" i="3" s="1"/>
  <c r="G9" i="5"/>
  <c r="C28" i="11"/>
  <c r="D28" i="11" s="1"/>
  <c r="O27" i="12"/>
  <c r="P27" i="12" s="1"/>
  <c r="M25" i="13"/>
  <c r="X25" i="13" s="1"/>
  <c r="Y25" i="13" s="1"/>
  <c r="K26" i="13"/>
  <c r="L26" i="13" s="1"/>
  <c r="D27" i="11"/>
  <c r="C29" i="11" l="1"/>
  <c r="D29" i="11" s="1"/>
  <c r="L6" i="10"/>
  <c r="F9" i="10" s="1"/>
  <c r="F13" i="6"/>
  <c r="F29" i="3" s="1"/>
  <c r="F8" i="3"/>
  <c r="B71" i="2" s="1"/>
  <c r="K13" i="4"/>
  <c r="J27" i="3"/>
  <c r="I9" i="7"/>
  <c r="H13" i="7"/>
  <c r="H34" i="3" s="1"/>
  <c r="H13" i="9"/>
  <c r="H40" i="3" s="1"/>
  <c r="I9" i="9"/>
  <c r="G9" i="6"/>
  <c r="G13" i="6" s="1"/>
  <c r="G29" i="3" s="1"/>
  <c r="H9" i="5"/>
  <c r="G13" i="5"/>
  <c r="G28" i="3" s="1"/>
  <c r="N25" i="13"/>
  <c r="K27" i="13"/>
  <c r="L27" i="13" s="1"/>
  <c r="F13" i="8"/>
  <c r="F35" i="3" s="1"/>
  <c r="G9" i="8"/>
  <c r="G13" i="8" s="1"/>
  <c r="G35" i="3" s="1"/>
  <c r="M26" i="13"/>
  <c r="X26" i="13" s="1"/>
  <c r="Y26" i="13" s="1"/>
  <c r="F20" i="3" l="1"/>
  <c r="B83" i="2" s="1"/>
  <c r="G9" i="10"/>
  <c r="G13" i="10" s="1"/>
  <c r="G41" i="3" s="1"/>
  <c r="F13" i="10"/>
  <c r="F41" i="3" s="1"/>
  <c r="M27" i="13"/>
  <c r="L13" i="4"/>
  <c r="L27" i="3" s="1"/>
  <c r="K27" i="3"/>
  <c r="H9" i="6"/>
  <c r="H13" i="6" s="1"/>
  <c r="H29" i="3" s="1"/>
  <c r="I13" i="9"/>
  <c r="I40" i="3" s="1"/>
  <c r="J9" i="9"/>
  <c r="I13" i="7"/>
  <c r="I34" i="3" s="1"/>
  <c r="J9" i="7"/>
  <c r="N26" i="13"/>
  <c r="H13" i="5"/>
  <c r="H28" i="3" s="1"/>
  <c r="I9" i="5"/>
  <c r="H9" i="10"/>
  <c r="H13" i="10" s="1"/>
  <c r="H41" i="3" s="1"/>
  <c r="H9" i="8"/>
  <c r="H13" i="8" s="1"/>
  <c r="H35" i="3" s="1"/>
  <c r="I9" i="6" l="1"/>
  <c r="I13" i="6" s="1"/>
  <c r="I29" i="3" s="1"/>
  <c r="X27" i="13"/>
  <c r="Y27" i="13" s="1"/>
  <c r="N27" i="13"/>
  <c r="K9" i="7"/>
  <c r="J13" i="7"/>
  <c r="J34" i="3" s="1"/>
  <c r="J13" i="9"/>
  <c r="J40" i="3" s="1"/>
  <c r="K9" i="9"/>
  <c r="J9" i="5"/>
  <c r="I13" i="5"/>
  <c r="I28" i="3" s="1"/>
  <c r="I9" i="10"/>
  <c r="I13" i="10" s="1"/>
  <c r="I41" i="3" s="1"/>
  <c r="I9" i="8"/>
  <c r="J9" i="6" l="1"/>
  <c r="J13" i="6" s="1"/>
  <c r="J29" i="3" s="1"/>
  <c r="L9" i="9"/>
  <c r="K13" i="9"/>
  <c r="K40" i="3" s="1"/>
  <c r="L9" i="7"/>
  <c r="K13" i="7"/>
  <c r="K34" i="3" s="1"/>
  <c r="J13" i="5"/>
  <c r="J28" i="3" s="1"/>
  <c r="K9" i="5"/>
  <c r="J9" i="10"/>
  <c r="K9" i="10" s="1"/>
  <c r="X9" i="4"/>
  <c r="Y9" i="4" s="1"/>
  <c r="I13" i="8"/>
  <c r="I35" i="3" s="1"/>
  <c r="J9" i="8"/>
  <c r="K9" i="8" s="1"/>
  <c r="L9" i="8" s="1"/>
  <c r="K9" i="6" l="1"/>
  <c r="J13" i="10"/>
  <c r="J41" i="3" s="1"/>
  <c r="M9" i="7"/>
  <c r="L13" i="7"/>
  <c r="L34" i="3" s="1"/>
  <c r="M9" i="9"/>
  <c r="L13" i="9"/>
  <c r="L40" i="3" s="1"/>
  <c r="K13" i="5"/>
  <c r="K28" i="3" s="1"/>
  <c r="L9" i="5"/>
  <c r="X13" i="4"/>
  <c r="Y13" i="4" s="1"/>
  <c r="J13" i="8"/>
  <c r="J35" i="3" s="1"/>
  <c r="K13" i="8"/>
  <c r="K35" i="3" s="1"/>
  <c r="K13" i="6"/>
  <c r="K29" i="3" s="1"/>
  <c r="K13" i="10"/>
  <c r="K41" i="3" s="1"/>
  <c r="L13" i="8"/>
  <c r="L35" i="3" s="1"/>
  <c r="L9" i="10"/>
  <c r="L9" i="6"/>
  <c r="M9" i="8"/>
  <c r="N9" i="9" l="1"/>
  <c r="M13" i="9"/>
  <c r="M40" i="3" s="1"/>
  <c r="N9" i="7"/>
  <c r="M13" i="7"/>
  <c r="M34" i="3" s="1"/>
  <c r="M9" i="5"/>
  <c r="L13" i="5"/>
  <c r="L28" i="3" s="1"/>
  <c r="L13" i="6"/>
  <c r="L29" i="3" s="1"/>
  <c r="L13" i="10"/>
  <c r="L41" i="3" s="1"/>
  <c r="M13" i="8"/>
  <c r="M35" i="3" s="1"/>
  <c r="M9" i="10"/>
  <c r="M13" i="10" s="1"/>
  <c r="M41" i="3" s="1"/>
  <c r="M9" i="6"/>
  <c r="N9" i="8"/>
  <c r="O9" i="7" l="1"/>
  <c r="N13" i="7"/>
  <c r="N34" i="3" s="1"/>
  <c r="N13" i="9"/>
  <c r="N40" i="3" s="1"/>
  <c r="O9" i="9"/>
  <c r="N9" i="5"/>
  <c r="M13" i="5"/>
  <c r="M28" i="3" s="1"/>
  <c r="M13" i="6"/>
  <c r="M29" i="3" s="1"/>
  <c r="N13" i="8"/>
  <c r="N35" i="3" s="1"/>
  <c r="N9" i="10"/>
  <c r="N9" i="6"/>
  <c r="O9" i="8"/>
  <c r="X9" i="9" l="1"/>
  <c r="Y9" i="9" s="1"/>
  <c r="O13" i="9"/>
  <c r="O40" i="3" s="1"/>
  <c r="X9" i="7"/>
  <c r="O13" i="7"/>
  <c r="N13" i="5"/>
  <c r="N28" i="3" s="1"/>
  <c r="O9" i="5"/>
  <c r="N13" i="6"/>
  <c r="N29" i="3" s="1"/>
  <c r="N13" i="10"/>
  <c r="N41" i="3" s="1"/>
  <c r="O13" i="8"/>
  <c r="O35" i="3" s="1"/>
  <c r="O9" i="10"/>
  <c r="O9" i="6"/>
  <c r="P9" i="8"/>
  <c r="P13" i="7" l="1"/>
  <c r="O34" i="3"/>
  <c r="X13" i="7"/>
  <c r="P13" i="9"/>
  <c r="X13" i="9"/>
  <c r="Y13" i="9" s="1"/>
  <c r="X9" i="5"/>
  <c r="Y9" i="5" s="1"/>
  <c r="O13" i="5"/>
  <c r="O28" i="3" s="1"/>
  <c r="O13" i="6"/>
  <c r="O29" i="3" s="1"/>
  <c r="O13" i="10"/>
  <c r="O41" i="3" s="1"/>
  <c r="P13" i="8"/>
  <c r="P35" i="3" s="1"/>
  <c r="P9" i="10"/>
  <c r="P9" i="6"/>
  <c r="Q9" i="8"/>
  <c r="Q13" i="9" l="1"/>
  <c r="Q40" i="3" s="1"/>
  <c r="P40" i="3"/>
  <c r="Q13" i="7"/>
  <c r="Q34" i="3" s="1"/>
  <c r="P34" i="3"/>
  <c r="X13" i="5"/>
  <c r="Y13" i="5" s="1"/>
  <c r="P13" i="5"/>
  <c r="Y9" i="7"/>
  <c r="P13" i="6"/>
  <c r="P29" i="3" s="1"/>
  <c r="P13" i="10"/>
  <c r="P41" i="3" s="1"/>
  <c r="Q13" i="8"/>
  <c r="Q35" i="3" s="1"/>
  <c r="Q9" i="10"/>
  <c r="Q9" i="6"/>
  <c r="R9" i="8"/>
  <c r="Q13" i="5" l="1"/>
  <c r="Q28" i="3" s="1"/>
  <c r="P28" i="3"/>
  <c r="Y13" i="7"/>
  <c r="Q13" i="6"/>
  <c r="Q29" i="3" s="1"/>
  <c r="Q13" i="10"/>
  <c r="Q41" i="3" s="1"/>
  <c r="R13" i="8"/>
  <c r="R35" i="3" s="1"/>
  <c r="R9" i="10"/>
  <c r="R9" i="6"/>
  <c r="S9" i="8"/>
  <c r="R13" i="6" l="1"/>
  <c r="R29" i="3" s="1"/>
  <c r="R13" i="10"/>
  <c r="R41" i="3" s="1"/>
  <c r="S13" i="8"/>
  <c r="S35" i="3" s="1"/>
  <c r="S9" i="10"/>
  <c r="S9" i="6"/>
  <c r="T9" i="8"/>
  <c r="X9" i="8" s="1"/>
  <c r="Y9" i="8" s="1"/>
  <c r="S13" i="6" l="1"/>
  <c r="S29" i="3" s="1"/>
  <c r="S13" i="10"/>
  <c r="S41" i="3" s="1"/>
  <c r="T13" i="8"/>
  <c r="T35" i="3" s="1"/>
  <c r="T9" i="10"/>
  <c r="X9" i="10" s="1"/>
  <c r="Y9" i="10" s="1"/>
  <c r="T9" i="6"/>
  <c r="X9" i="6" s="1"/>
  <c r="Y9" i="6" s="1"/>
  <c r="X13" i="8" l="1"/>
  <c r="Y13" i="8" s="1"/>
  <c r="U13" i="8"/>
  <c r="T13" i="6"/>
  <c r="T13" i="10"/>
  <c r="T41" i="3" s="1"/>
  <c r="X13" i="6" l="1"/>
  <c r="Y13" i="6" s="1"/>
  <c r="T29" i="3"/>
  <c r="V13" i="8"/>
  <c r="V35" i="3" s="1"/>
  <c r="U35" i="3"/>
  <c r="X13" i="10"/>
  <c r="Y13" i="10" s="1"/>
  <c r="U13" i="10"/>
  <c r="U13" i="6"/>
  <c r="V13" i="10" l="1"/>
  <c r="V41" i="3" s="1"/>
  <c r="U41" i="3"/>
  <c r="V13" i="6"/>
  <c r="V29" i="3" s="1"/>
  <c r="U29" i="3"/>
</calcChain>
</file>

<file path=xl/sharedStrings.xml><?xml version="1.0" encoding="utf-8"?>
<sst xmlns="http://schemas.openxmlformats.org/spreadsheetml/2006/main" count="580" uniqueCount="176">
  <si>
    <t>Annual Energy Savings in kWh</t>
  </si>
  <si>
    <t>Measure Life</t>
  </si>
  <si>
    <t>Capacity Factor</t>
  </si>
  <si>
    <t>Measure Type</t>
  </si>
  <si>
    <t>Avoided Cost of Energy</t>
  </si>
  <si>
    <t>Avoided Cost of Capacity</t>
  </si>
  <si>
    <t>Total Avoided Cost</t>
  </si>
  <si>
    <t>$/kWh</t>
  </si>
  <si>
    <t>Flat</t>
  </si>
  <si>
    <t>Constant Nominal</t>
  </si>
  <si>
    <t>Equivalent w/ 2.5% Increase</t>
  </si>
  <si>
    <t>2.5 Percent Increase</t>
  </si>
  <si>
    <t>2.5 Percent Index</t>
  </si>
  <si>
    <t>Notes</t>
  </si>
  <si>
    <t>$/MWh</t>
  </si>
  <si>
    <t>Year</t>
  </si>
  <si>
    <t>Total Annual Capital &amp; Fixed Costs of Capacity</t>
  </si>
  <si>
    <t>NPV - Capacity</t>
  </si>
  <si>
    <t>Cumulative Present Value CES-Capacity</t>
  </si>
  <si>
    <t>Levelized Cost Effectiveness Standard-Capacity</t>
  </si>
  <si>
    <t>(years)</t>
  </si>
  <si>
    <t>[1]</t>
  </si>
  <si>
    <t>[2]</t>
  </si>
  <si>
    <t>[3]</t>
  </si>
  <si>
    <t>[4]</t>
  </si>
  <si>
    <t>[5]</t>
  </si>
  <si>
    <t>[7]</t>
  </si>
  <si>
    <t>[8]</t>
  </si>
  <si>
    <t>Annual Weighted Average of Hourly Price</t>
  </si>
  <si>
    <t>Levelized Cost Effectiveness Standard-Energy</t>
  </si>
  <si>
    <t>[6]</t>
  </si>
  <si>
    <t>($/kw-yr)</t>
  </si>
  <si>
    <t xml:space="preserve">Present Value-Energy </t>
  </si>
  <si>
    <t>Cumulative Present Value -Energy</t>
  </si>
  <si>
    <t>$ / MWh</t>
  </si>
  <si>
    <t>$ / kWh</t>
  </si>
  <si>
    <t>[9]</t>
  </si>
  <si>
    <t xml:space="preserve"> "Contingency Reserves" per WECC 10/1/2014</t>
  </si>
  <si>
    <t>Ave</t>
  </si>
  <si>
    <t>MONTHS</t>
  </si>
  <si>
    <t>Indicative Avoided Capacity Costs for Resources Delivered to PSE's System</t>
  </si>
  <si>
    <t>Capacity Resource Addition</t>
  </si>
  <si>
    <t>Frame Peaker</t>
  </si>
  <si>
    <t>Wind</t>
  </si>
  <si>
    <t>Solar</t>
  </si>
  <si>
    <t>This model accounts for both avoided energy costs and avoided capacity costs.</t>
  </si>
  <si>
    <t>Nominal Discount Rate</t>
  </si>
  <si>
    <t>GDP Inflation</t>
  </si>
  <si>
    <t>Planning Adjustment</t>
  </si>
  <si>
    <t>Avoided Renewable Benefits</t>
  </si>
  <si>
    <t>Conservation Credit</t>
  </si>
  <si>
    <t>PSE currently makes no deduction for balancing related costs as such costs could not be currently identified.</t>
  </si>
  <si>
    <t>Including</t>
  </si>
  <si>
    <t>($/MWh)</t>
  </si>
  <si>
    <t>20-year levelized</t>
  </si>
  <si>
    <t>15-year levelized</t>
  </si>
  <si>
    <t>Escalated Rate @ 2.5%</t>
  </si>
  <si>
    <t>1</t>
  </si>
  <si>
    <t>PUGET SOUND ENERGY-ELECTRIC</t>
  </si>
  <si>
    <t>LINE</t>
  </si>
  <si>
    <t>PRO FORMA</t>
  </si>
  <si>
    <t>COST OF</t>
  </si>
  <si>
    <t>NO.</t>
  </si>
  <si>
    <t>DESCRIPTION</t>
  </si>
  <si>
    <t>CAPITAL %</t>
  </si>
  <si>
    <t>COST %</t>
  </si>
  <si>
    <t>CAPITAL</t>
  </si>
  <si>
    <t>SHORT &amp; LONG TERM DEBT</t>
  </si>
  <si>
    <t>EQUITY</t>
  </si>
  <si>
    <t>TOTAL COST OF CAPITAL</t>
  </si>
  <si>
    <t>AFTER TAX DEBT</t>
  </si>
  <si>
    <t>TOTAL AFTER TAX COST OF CAPITAL</t>
  </si>
  <si>
    <t>[10]</t>
  </si>
  <si>
    <t>Deferred T&amp;D</t>
  </si>
  <si>
    <t>checksum</t>
  </si>
  <si>
    <t>Flat ($/MWh)</t>
  </si>
  <si>
    <t>Flat ($/kWh)</t>
  </si>
  <si>
    <t>Schedule 91 Rates for Purchase of Energy - Wind</t>
  </si>
  <si>
    <t>Schedule 91 Rates for Purchase of Energy - Solar</t>
  </si>
  <si>
    <t>The value of a measure increases with its measured life. The Power Purchase Agreement (PPA) length under Schedule 91 are five, ten and fifteen years, analogous to a five, ten and fifteen year measure life respectively.</t>
  </si>
  <si>
    <t>For each type of resource the final output of this calculation is a levelized price that does not vary from year to year (see cell L5).</t>
  </si>
  <si>
    <t>Unlike a conservation project, a PPA requires spinning reserves which are deducted above at the rate of 3% (see cell M6).</t>
  </si>
  <si>
    <t>The final levelized price is adjusted to create a Fixed Price option that increases by 2.5% each year, which maintains the same value to PSE while increasing the value to the customer-generator over time.</t>
  </si>
  <si>
    <t>The proposed strip is highlighted in yellow above.</t>
  </si>
  <si>
    <t xml:space="preserve">Schedule 91 -- Purchases from Qualifying Facilities of Five Megawatts or Less </t>
  </si>
  <si>
    <t>Baseload</t>
  </si>
  <si>
    <t>Delivered to PSE Capacity Value ($/kW-yr)</t>
  </si>
  <si>
    <t>Delivered to PSE Capacity Value ($/MWh)</t>
  </si>
  <si>
    <t>(a)
Levelized Net $/kW-yr  Delivered To PSE</t>
  </si>
  <si>
    <t>Hours 
Available</t>
  </si>
  <si>
    <t>$/kW-yr</t>
  </si>
  <si>
    <t>Schedule 91 Rates for Purchase of Energy - Baseload</t>
  </si>
  <si>
    <t>Baseload - 15 year</t>
  </si>
  <si>
    <t>Baseload - 5 year</t>
  </si>
  <si>
    <t>Baseload - 10 year</t>
  </si>
  <si>
    <t>Wind - 10 year</t>
  </si>
  <si>
    <t>Wind - 15 year</t>
  </si>
  <si>
    <t>Solar - 10 year</t>
  </si>
  <si>
    <t>Solar - 15 year</t>
  </si>
  <si>
    <t>Levelized</t>
  </si>
  <si>
    <t>Summary - Escalating @ 2.5%</t>
  </si>
  <si>
    <t>Summary - Levelized</t>
  </si>
  <si>
    <t>An additional two years are added to the strip to accommodate projects that sign the PPA in the year following the "current year."</t>
  </si>
  <si>
    <t>Power prices have been updated to be consistent with PSE's 2021 IRP using the Mid-C prices for the “Base” scenario, and includes the 2020 power price forecast from Aurora.</t>
  </si>
  <si>
    <t>As Used in UE-190529 and UG-190530</t>
  </si>
  <si>
    <t>PRO FORMA COST OF CAPITAL APPROVED IN UE-190529/UG-190530</t>
  </si>
  <si>
    <t>FOR THE TWELVE MONTHS ENDED DECEMBER 31, 2018</t>
  </si>
  <si>
    <r>
      <t xml:space="preserve">(b)=(a)*1.000                   
</t>
    </r>
    <r>
      <rPr>
        <u/>
        <sz val="10"/>
        <color theme="1"/>
        <rFont val="Arial"/>
        <family val="2"/>
      </rPr>
      <t>Baseload Resource</t>
    </r>
    <r>
      <rPr>
        <sz val="10"/>
        <rFont val="Arial"/>
        <family val="2"/>
      </rPr>
      <t xml:space="preserve"> ELCC=100.0%</t>
    </r>
  </si>
  <si>
    <t>(e)
Year</t>
  </si>
  <si>
    <t xml:space="preserve">(f)
Total Hours in Year
</t>
  </si>
  <si>
    <r>
      <t xml:space="preserve">(g)=(f)*1.000
</t>
    </r>
    <r>
      <rPr>
        <u/>
        <sz val="10"/>
        <color theme="1"/>
        <rFont val="Arial"/>
        <family val="2"/>
      </rPr>
      <t>Baseload 
Resource</t>
    </r>
    <r>
      <rPr>
        <sz val="10"/>
        <color theme="1"/>
        <rFont val="Arial"/>
        <family val="2"/>
      </rPr>
      <t xml:space="preserve"> NCF=100%</t>
    </r>
  </si>
  <si>
    <t>(h)=(b)*(g)
Baseload 
Resource</t>
  </si>
  <si>
    <t>(j)=(c)*(i)
Wind 
Resource</t>
  </si>
  <si>
    <t>This Schedule 91 standard rate model is based upon the cost effectiveness standard model that has been used for evaluating individual measures of PSE's Energy Efficiency Services program.</t>
  </si>
  <si>
    <r>
      <t xml:space="preserve">(i)=(f)*0.367
</t>
    </r>
    <r>
      <rPr>
        <u/>
        <sz val="10"/>
        <color theme="1"/>
        <rFont val="Arial"/>
        <family val="2"/>
      </rPr>
      <t>Wind 
Resource</t>
    </r>
    <r>
      <rPr>
        <sz val="10"/>
        <color theme="1"/>
        <rFont val="Arial"/>
        <family val="2"/>
      </rPr>
      <t xml:space="preserve">
NCF=36.7%</t>
    </r>
  </si>
  <si>
    <r>
      <t xml:space="preserve">(k)=(f)*0.242
</t>
    </r>
    <r>
      <rPr>
        <u/>
        <sz val="10"/>
        <color theme="1"/>
        <rFont val="Arial"/>
        <family val="2"/>
      </rPr>
      <t>Solar 
Resource</t>
    </r>
    <r>
      <rPr>
        <sz val="10"/>
        <color theme="1"/>
        <rFont val="Arial"/>
        <family val="2"/>
      </rPr>
      <t xml:space="preserve">
NCF=24.2%</t>
    </r>
  </si>
  <si>
    <r>
      <t xml:space="preserve">(c)=(a)*0.178         
</t>
    </r>
    <r>
      <rPr>
        <u/>
        <sz val="10"/>
        <color theme="1"/>
        <rFont val="Arial"/>
        <family val="2"/>
      </rPr>
      <t>Wind Resource</t>
    </r>
    <r>
      <rPr>
        <sz val="10"/>
        <rFont val="Arial"/>
        <family val="2"/>
      </rPr>
      <t xml:space="preserve"> ELCC=17.8%</t>
    </r>
  </si>
  <si>
    <r>
      <t xml:space="preserve">(d)=(a)*0.040      
</t>
    </r>
    <r>
      <rPr>
        <u/>
        <sz val="10"/>
        <color theme="1"/>
        <rFont val="Arial"/>
        <family val="2"/>
      </rPr>
      <t>Solar Resource</t>
    </r>
    <r>
      <rPr>
        <sz val="10"/>
        <rFont val="Arial"/>
        <family val="2"/>
      </rPr>
      <t xml:space="preserve"> ELCC=4.0%</t>
    </r>
  </si>
  <si>
    <t>Schedule 91 -- Purchases from Qualifying Facilities of Five Megawatts or Less - Net Output Delivered to PSE's Transmission System</t>
  </si>
  <si>
    <t xml:space="preserve">There are separate calculations for Baseload, Wind and Solar resources which have different capacity values, net capacity factors  and Effective Load Carrying Capability (ELCC) as provided in the 2021 IRP. </t>
  </si>
  <si>
    <t>- Basis for assumptions in this table is PSE's 2021 IRP</t>
  </si>
  <si>
    <t>Forecast Mid-C Power Prices (Nominal $/MWh) from PSE’s 2021 Integrated Resource Plan Base Scenario: Pursuant to WAC 480-106-040(a), the 2021-2041 Avoided Energy Costs are based on PSE’s most current forecast of market prices for the Mid-C Market used in PSE’s final 2021 IRP, which was filed with the UTC on 4/4/2021 under Dockets UE-200304 and UG-200305.  The 2022-2041 Avoided Energy Costs are as shown at Figure 34 of 2021 IRP Appendix G, page G-59.  The 2021 Avoided Energy Costs are from the same market price strip but it just wasn’t shown at Figure 34.</t>
  </si>
  <si>
    <t xml:space="preserve">-Capacity Cost: Appendix G, Figure 35, page G-60 </t>
  </si>
  <si>
    <t>-Effective Load Carrying Capably (ELCC): Chapter 7, Figure 7-17 Page 7-28 for "Generic WA East Wind" and "Generic WA East Solar" for Year 2027</t>
  </si>
  <si>
    <t>-Net Capacity Factor (NCF) Appendix D</t>
  </si>
  <si>
    <t>-Solar NCF: Figure D-27, page D-56, Capacity Factor for "Utility Solar WA East"</t>
  </si>
  <si>
    <t>-Wind NCF: Figure D-29, page D-62, Capacity Factor for "On-Shore Wind SE Wash."</t>
  </si>
  <si>
    <t>NW Power Act Regional Credit</t>
  </si>
  <si>
    <t>($/kW-yr)</t>
  </si>
  <si>
    <t>Deferred T&amp;D Cost Credit ($/kW-yr)</t>
  </si>
  <si>
    <t>Line Loss Reduction</t>
  </si>
  <si>
    <t>Input Tabs</t>
  </si>
  <si>
    <t xml:space="preserve">Capacity Cost: Appendix G, Figure 35, page G-60 </t>
  </si>
  <si>
    <t>Effective Load Carrying Capably (ELCC): Chapter 7, Figure 7-17 Page 7-28 for "Generic WA East Wind" and "Generic WA East Solar" for Year 2027</t>
  </si>
  <si>
    <t>Net Capacity Factor (NCF) Appendix D</t>
  </si>
  <si>
    <t>Solar NCF: Figure D-27, page D-56, Capacity Factor for "Utility Solar WA East"</t>
  </si>
  <si>
    <t>Wind NCF: Figure D-29, page D-62, Capacity Factor for "On-Shore Wind SE Wash."</t>
  </si>
  <si>
    <t>3. Update TAB [Cost of Capital]</t>
  </si>
  <si>
    <t>Based on the most recent approved GRC UE-190529/UG-190530</t>
  </si>
  <si>
    <t>This is set in the Cost of Capital</t>
  </si>
  <si>
    <t>5.  The [FlatLoadShapeEnergy_perMWH] TAB  calculates the levelized cost of energy.</t>
  </si>
  <si>
    <t>The information is summarized from  [Electric EES CE Std Energy]  TAB.</t>
  </si>
  <si>
    <t xml:space="preserve">Pricing </t>
  </si>
  <si>
    <t>Updated</t>
  </si>
  <si>
    <t>Previous</t>
  </si>
  <si>
    <t>20 yr Levelized Price</t>
  </si>
  <si>
    <t>Capacity ELCC</t>
  </si>
  <si>
    <t>Frame peaker</t>
  </si>
  <si>
    <t xml:space="preserve">Net Capacity Factor </t>
  </si>
  <si>
    <t>Cost of Capacity $/KW</t>
  </si>
  <si>
    <t>T&amp;D Deferral</t>
  </si>
  <si>
    <t>Results - Summarized</t>
  </si>
  <si>
    <t xml:space="preserve"> T&amp;D Line Loss Reduction</t>
  </si>
  <si>
    <t>2. Updated TAB  [Capacity Delivered]</t>
  </si>
  <si>
    <t>The avoided capacity cost is comprised of the capacity benefit and the T&amp;D deferral benefit.</t>
  </si>
  <si>
    <t>The results in column X reflects  the annual cost and column Y the levelized cost based on the number of years in the calculation.</t>
  </si>
  <si>
    <t>Column I is fed from the [Energy Prices] TAB</t>
  </si>
  <si>
    <t>The benefit of the avoided cost of transmission line losses since the energy is delivered to PSE distribution system is in column J.</t>
  </si>
  <si>
    <t xml:space="preserve">6. The [Electric EES CE Std Energy] summarized the information is summarized from[FlatLoadShapeEnergy_perMWH] TAB   </t>
  </si>
  <si>
    <t xml:space="preserve">Row 5 shows the Total Avoided Cost levelized cost </t>
  </si>
  <si>
    <t>Row 9 is  the levelized cost over the time period.</t>
  </si>
  <si>
    <t>Row 13 shows the results of converting  the levelized cost stream to escalating price stream.</t>
  </si>
  <si>
    <t>(l)=(d)*(k)
Solar
Resource</t>
  </si>
  <si>
    <t>Conservation benefit not used</t>
  </si>
  <si>
    <t>Avoided cost is converted from $/KW  to $/MWh  based on the Effective Load Carrying Capability  (ELCC)  and the net capacity factor of each type of resource.</t>
  </si>
  <si>
    <t>Cell L6 includes the  reserve requirement.</t>
  </si>
  <si>
    <t>Delivery to the transmission system should not get the benefit of avoiding T&amp;D losses</t>
  </si>
  <si>
    <t>Columns N and O are the present value and the cumulative present value respectively of the energy that is used to calculated the levelized cost in column P.</t>
  </si>
  <si>
    <t>Basis for assumptions in this table is PSE's 2021 IRP</t>
  </si>
  <si>
    <t>1.  Updated TAB [Energy Prices]</t>
  </si>
  <si>
    <t>Note:  There is no change for this update since the same approved GRC cost of captial has been effective for both 2020 and 2021 updates.</t>
  </si>
  <si>
    <t>7. The output TABS indicate the avoided costs for baseload, solar and wind varied by number of years --  5, 10 and 15.</t>
  </si>
  <si>
    <t>8.  [Output Summary] TAB summarizes the results from the proposed filing and the prior UTC approved filing.</t>
  </si>
  <si>
    <t>4. Update the Avoided capacity cost tabs for:[Baseload Avoided Capacity Calcs], [Wind Avoided Cost Calcs], and [Solar Avoided Cost Calcs]</t>
  </si>
  <si>
    <t>Not applicable for output delivery to PSE's tranmission system</t>
  </si>
  <si>
    <t>Inflation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</si>
</sst>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0000"/>
    <numFmt numFmtId="166" formatCode="0.000000"/>
    <numFmt numFmtId="167" formatCode="0.0%"/>
    <numFmt numFmtId="168" formatCode="&quot;$&quot;#,##0.00"/>
    <numFmt numFmtId="169" formatCode="_(&quot;$&quot;* #,##0.0000_);_(&quot;$&quot;* \(#,##0.0000\);_(&quot;$&quot;* &quot;-&quot;??_);_(@_)"/>
    <numFmt numFmtId="170" formatCode="_(&quot;$&quot;* #,##0.00000_);_(&quot;$&quot;* \(#,##0.00000\);_(&quot;$&quot;* &quot;-&quot;??_);_(@_)"/>
    <numFmt numFmtId="171" formatCode="_(* #,##0.0000_);_(* \(#,##0.0000\);_(* &quot;-&quot;??_);_(@_)"/>
    <numFmt numFmtId="172" formatCode="_(&quot;$&quot;* #,##0_);_(&quot;$&quot;* \(#,##0\);_(&quot;$&quot;* &quot;-&quot;??_);_(@_)"/>
    <numFmt numFmtId="173" formatCode="_(* #,##0_);_(* \(#,##0\);_(* &quot;-&quot;??_);_(@_)"/>
    <numFmt numFmtId="174" formatCode="_(* #,##0.000000000000_);_(* \(#,##0.000000000000\);_(* &quot;-&quot;??_);_(@_)"/>
    <numFmt numFmtId="175" formatCode="&quot;$&quot;#,##0.00_);\(&quot;$&quot;#,##0.00\);@_)"/>
    <numFmt numFmtId="176" formatCode="&quot;$&quot;#,##0.000_);[Red]\(&quot;$&quot;#,##0.000\)"/>
    <numFmt numFmtId="177" formatCode="0.00%_);\(0.00%\);&quot;–&quot;_)"/>
    <numFmt numFmtId="178" formatCode="#,##0.00_);\(#,##0.00\);\–_);&quot;–&quot;_)"/>
    <numFmt numFmtId="179" formatCode="0.0%_);\(0.0%\);&quot;–&quot;_)"/>
  </numFmts>
  <fonts count="5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Calibri"/>
      <family val="2"/>
      <scheme val="minor"/>
    </font>
    <font>
      <i/>
      <sz val="12"/>
      <name val="Arial"/>
      <family val="2"/>
    </font>
    <font>
      <sz val="12"/>
      <color indexed="9"/>
      <name val="Arial"/>
      <family val="2"/>
    </font>
    <font>
      <u/>
      <sz val="12"/>
      <name val="Arial"/>
      <family val="2"/>
    </font>
    <font>
      <sz val="11"/>
      <color indexed="8"/>
      <name val="Arial"/>
      <family val="2"/>
    </font>
    <font>
      <b/>
      <sz val="12"/>
      <color indexed="10"/>
      <name val="Arial"/>
      <family val="2"/>
    </font>
    <font>
      <sz val="11"/>
      <color rgb="FF1F497D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2"/>
      <color theme="9" tint="-0.499984740745262"/>
      <name val="Arial"/>
      <family val="2"/>
    </font>
    <font>
      <b/>
      <sz val="12"/>
      <color theme="9" tint="-0.49998474074526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BDD22B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0" fillId="0" borderId="0"/>
    <xf numFmtId="0" fontId="14" fillId="0" borderId="0"/>
    <xf numFmtId="0" fontId="10" fillId="0" borderId="0"/>
    <xf numFmtId="0" fontId="14" fillId="0" borderId="0"/>
    <xf numFmtId="0" fontId="14" fillId="23" borderId="7" applyNumberFormat="0" applyFont="0" applyAlignment="0" applyProtection="0"/>
    <xf numFmtId="0" fontId="27" fillId="20" borderId="8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6" fillId="0" borderId="0">
      <alignment horizontal="left" wrapText="1"/>
    </xf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</cellStyleXfs>
  <cellXfs count="376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0" xfId="0" applyFont="1"/>
    <xf numFmtId="0" fontId="12" fillId="0" borderId="10" xfId="0" applyFont="1" applyBorder="1" applyAlignment="1">
      <alignment horizontal="center" wrapText="1"/>
    </xf>
    <xf numFmtId="0" fontId="12" fillId="0" borderId="0" xfId="0" applyFont="1"/>
    <xf numFmtId="0" fontId="0" fillId="0" borderId="10" xfId="0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/>
    <xf numFmtId="41" fontId="10" fillId="0" borderId="0" xfId="28" applyNumberFormat="1" applyFon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165" fontId="0" fillId="0" borderId="0" xfId="0" applyNumberFormat="1" applyAlignment="1">
      <alignment horizontal="right"/>
    </xf>
    <xf numFmtId="0" fontId="31" fillId="0" borderId="0" xfId="47" applyFont="1"/>
    <xf numFmtId="0" fontId="9" fillId="0" borderId="0" xfId="47" applyFont="1" applyAlignment="1">
      <alignment horizontal="center"/>
    </xf>
    <xf numFmtId="0" fontId="9" fillId="0" borderId="0" xfId="47" applyFont="1" applyAlignment="1">
      <alignment horizontal="center" wrapText="1"/>
    </xf>
    <xf numFmtId="0" fontId="9" fillId="0" borderId="0" xfId="47" applyFont="1" applyFill="1" applyAlignment="1">
      <alignment horizontal="center" wrapText="1"/>
    </xf>
    <xf numFmtId="0" fontId="9" fillId="0" borderId="11" xfId="47" applyFont="1" applyBorder="1" applyAlignment="1">
      <alignment horizontal="center"/>
    </xf>
    <xf numFmtId="0" fontId="9" fillId="0" borderId="11" xfId="47" applyFont="1" applyFill="1" applyBorder="1" applyAlignment="1">
      <alignment horizontal="center"/>
    </xf>
    <xf numFmtId="0" fontId="9" fillId="0" borderId="0" xfId="47" applyFont="1" applyBorder="1" applyAlignment="1">
      <alignment horizontal="right"/>
    </xf>
    <xf numFmtId="0" fontId="13" fillId="0" borderId="0" xfId="47" applyFont="1" applyFill="1"/>
    <xf numFmtId="0" fontId="9" fillId="0" borderId="0" xfId="46" applyFont="1" applyFill="1" applyAlignment="1">
      <alignment horizontal="right"/>
    </xf>
    <xf numFmtId="0" fontId="9" fillId="0" borderId="0" xfId="46" applyFont="1" applyFill="1" applyAlignment="1">
      <alignment horizontal="center"/>
    </xf>
    <xf numFmtId="0" fontId="9" fillId="0" borderId="0" xfId="46" applyFont="1" applyFill="1" applyAlignment="1">
      <alignment horizontal="center" wrapText="1"/>
    </xf>
    <xf numFmtId="0" fontId="9" fillId="0" borderId="0" xfId="46" applyFont="1" applyFill="1" applyBorder="1" applyAlignment="1">
      <alignment horizontal="center" wrapText="1"/>
    </xf>
    <xf numFmtId="0" fontId="9" fillId="0" borderId="11" xfId="46" applyFont="1" applyFill="1" applyBorder="1" applyAlignment="1">
      <alignment horizontal="center"/>
    </xf>
    <xf numFmtId="0" fontId="9" fillId="0" borderId="0" xfId="46" applyFont="1" applyFill="1" applyBorder="1" applyAlignment="1">
      <alignment horizontal="center"/>
    </xf>
    <xf numFmtId="0" fontId="9" fillId="0" borderId="0" xfId="46" applyFont="1" applyFill="1" applyBorder="1" applyAlignment="1">
      <alignment horizontal="right"/>
    </xf>
    <xf numFmtId="0" fontId="0" fillId="0" borderId="0" xfId="0" quotePrefix="1"/>
    <xf numFmtId="44" fontId="12" fillId="0" borderId="10" xfId="31" applyFont="1" applyFill="1" applyBorder="1" applyAlignment="1">
      <alignment horizontal="center" wrapText="1"/>
    </xf>
    <xf numFmtId="0" fontId="5" fillId="0" borderId="0" xfId="47" applyFont="1" applyFill="1" applyAlignment="1">
      <alignment horizontal="left"/>
    </xf>
    <xf numFmtId="44" fontId="5" fillId="0" borderId="0" xfId="31" applyFont="1" applyBorder="1"/>
    <xf numFmtId="0" fontId="5" fillId="0" borderId="0" xfId="47" applyFont="1"/>
    <xf numFmtId="0" fontId="9" fillId="0" borderId="0" xfId="46" applyFont="1" applyFill="1" applyBorder="1"/>
    <xf numFmtId="0" fontId="0" fillId="0" borderId="0" xfId="0" applyBorder="1"/>
    <xf numFmtId="44" fontId="0" fillId="0" borderId="10" xfId="31" applyFont="1" applyBorder="1"/>
    <xf numFmtId="0" fontId="5" fillId="0" borderId="0" xfId="47" applyFont="1" applyFill="1" applyAlignment="1">
      <alignment horizontal="center"/>
    </xf>
    <xf numFmtId="0" fontId="5" fillId="0" borderId="0" xfId="46" applyFont="1" applyFill="1" applyAlignment="1">
      <alignment horizontal="center"/>
    </xf>
    <xf numFmtId="0" fontId="5" fillId="0" borderId="0" xfId="47" applyFont="1" applyAlignment="1">
      <alignment horizontal="center"/>
    </xf>
    <xf numFmtId="44" fontId="5" fillId="0" borderId="0" xfId="31" applyFont="1"/>
    <xf numFmtId="44" fontId="5" fillId="0" borderId="0" xfId="31" applyFont="1" applyAlignment="1">
      <alignment horizontal="center"/>
    </xf>
    <xf numFmtId="0" fontId="9" fillId="0" borderId="0" xfId="0" applyFont="1" applyAlignment="1">
      <alignment horizontal="center"/>
    </xf>
    <xf numFmtId="8" fontId="0" fillId="0" borderId="0" xfId="0" applyNumberFormat="1" applyBorder="1"/>
    <xf numFmtId="0" fontId="5" fillId="0" borderId="0" xfId="47" applyFont="1" applyFill="1"/>
    <xf numFmtId="168" fontId="5" fillId="0" borderId="0" xfId="32" applyNumberFormat="1" applyFont="1" applyFill="1" applyAlignment="1">
      <alignment horizontal="right"/>
    </xf>
    <xf numFmtId="10" fontId="5" fillId="0" borderId="10" xfId="50" applyNumberFormat="1" applyFont="1" applyFill="1" applyBorder="1" applyAlignment="1">
      <alignment horizontal="right"/>
    </xf>
    <xf numFmtId="167" fontId="5" fillId="0" borderId="0" xfId="51" applyNumberFormat="1" applyFont="1" applyAlignment="1">
      <alignment horizontal="right"/>
    </xf>
    <xf numFmtId="8" fontId="5" fillId="0" borderId="0" xfId="31" applyNumberFormat="1" applyFont="1" applyAlignment="1">
      <alignment horizontal="center"/>
    </xf>
    <xf numFmtId="0" fontId="5" fillId="0" borderId="0" xfId="47" applyFont="1" applyAlignment="1">
      <alignment horizontal="right"/>
    </xf>
    <xf numFmtId="0" fontId="5" fillId="0" borderId="0" xfId="47" applyFont="1" applyBorder="1"/>
    <xf numFmtId="168" fontId="5" fillId="0" borderId="0" xfId="32" applyNumberFormat="1" applyFont="1" applyFill="1" applyBorder="1" applyAlignment="1">
      <alignment horizontal="right"/>
    </xf>
    <xf numFmtId="167" fontId="5" fillId="0" borderId="0" xfId="51" applyNumberFormat="1" applyFont="1" applyBorder="1"/>
    <xf numFmtId="0" fontId="5" fillId="0" borderId="0" xfId="0" applyFont="1"/>
    <xf numFmtId="44" fontId="5" fillId="0" borderId="0" xfId="47" applyNumberFormat="1" applyFont="1" applyFill="1"/>
    <xf numFmtId="172" fontId="5" fillId="0" borderId="0" xfId="47" applyNumberFormat="1" applyFont="1" applyFill="1"/>
    <xf numFmtId="172" fontId="5" fillId="0" borderId="0" xfId="32" applyNumberFormat="1" applyFont="1" applyFill="1" applyAlignment="1">
      <alignment horizontal="center"/>
    </xf>
    <xf numFmtId="0" fontId="34" fillId="0" borderId="0" xfId="40" applyFont="1" applyAlignment="1" applyProtection="1">
      <alignment vertical="center"/>
    </xf>
    <xf numFmtId="0" fontId="36" fillId="0" borderId="0" xfId="0" applyFont="1"/>
    <xf numFmtId="0" fontId="35" fillId="0" borderId="0" xfId="59" applyFont="1"/>
    <xf numFmtId="0" fontId="37" fillId="26" borderId="14" xfId="0" applyFont="1" applyFill="1" applyBorder="1" applyAlignment="1">
      <alignment vertical="center"/>
    </xf>
    <xf numFmtId="0" fontId="40" fillId="0" borderId="20" xfId="0" applyFont="1" applyBorder="1" applyAlignment="1">
      <alignment horizontal="right" vertical="center"/>
    </xf>
    <xf numFmtId="2" fontId="40" fillId="0" borderId="19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right" vertical="center"/>
    </xf>
    <xf numFmtId="2" fontId="40" fillId="0" borderId="0" xfId="0" applyNumberFormat="1" applyFont="1" applyBorder="1" applyAlignment="1">
      <alignment horizontal="right" vertical="center"/>
    </xf>
    <xf numFmtId="2" fontId="40" fillId="0" borderId="0" xfId="0" applyNumberFormat="1" applyFont="1" applyFill="1" applyBorder="1" applyAlignment="1">
      <alignment horizontal="right" vertical="center"/>
    </xf>
    <xf numFmtId="0" fontId="35" fillId="0" borderId="0" xfId="59" applyFont="1" applyAlignment="1">
      <alignment horizontal="right"/>
    </xf>
    <xf numFmtId="8" fontId="35" fillId="0" borderId="31" xfId="59" applyNumberFormat="1" applyFont="1" applyBorder="1"/>
    <xf numFmtId="0" fontId="38" fillId="26" borderId="15" xfId="0" applyFont="1" applyFill="1" applyBorder="1" applyAlignment="1">
      <alignment horizontal="center" vertical="center"/>
    </xf>
    <xf numFmtId="0" fontId="38" fillId="26" borderId="16" xfId="0" applyFont="1" applyFill="1" applyBorder="1" applyAlignment="1">
      <alignment horizontal="center" vertical="center"/>
    </xf>
    <xf numFmtId="0" fontId="39" fillId="27" borderId="17" xfId="0" applyFont="1" applyFill="1" applyBorder="1" applyAlignment="1">
      <alignment horizontal="centerContinuous" vertical="center"/>
    </xf>
    <xf numFmtId="0" fontId="39" fillId="27" borderId="18" xfId="0" applyFont="1" applyFill="1" applyBorder="1" applyAlignment="1">
      <alignment horizontal="centerContinuous" vertical="center"/>
    </xf>
    <xf numFmtId="0" fontId="39" fillId="27" borderId="19" xfId="0" applyFont="1" applyFill="1" applyBorder="1" applyAlignment="1">
      <alignment horizontal="centerContinuous" vertical="center"/>
    </xf>
    <xf numFmtId="0" fontId="35" fillId="0" borderId="0" xfId="59" applyFont="1" applyAlignment="1">
      <alignment horizontal="right" indent="1"/>
    </xf>
    <xf numFmtId="0" fontId="35" fillId="0" borderId="0" xfId="59" applyFont="1" applyBorder="1" applyAlignment="1">
      <alignment horizontal="right" indent="1"/>
    </xf>
    <xf numFmtId="177" fontId="35" fillId="0" borderId="0" xfId="50" applyNumberFormat="1" applyFont="1" applyAlignment="1">
      <alignment horizontal="right"/>
    </xf>
    <xf numFmtId="0" fontId="2" fillId="0" borderId="0" xfId="63"/>
    <xf numFmtId="0" fontId="41" fillId="0" borderId="14" xfId="63" applyFont="1" applyBorder="1" applyAlignment="1">
      <alignment vertical="center"/>
    </xf>
    <xf numFmtId="0" fontId="42" fillId="0" borderId="15" xfId="63" applyFont="1" applyBorder="1" applyAlignment="1">
      <alignment vertical="center"/>
    </xf>
    <xf numFmtId="0" fontId="41" fillId="0" borderId="16" xfId="63" applyFont="1" applyBorder="1" applyAlignment="1">
      <alignment horizontal="right" vertical="center"/>
    </xf>
    <xf numFmtId="0" fontId="43" fillId="0" borderId="41" xfId="63" applyFont="1" applyBorder="1" applyAlignment="1">
      <alignment vertical="center"/>
    </xf>
    <xf numFmtId="0" fontId="42" fillId="0" borderId="0" xfId="63" applyFont="1"/>
    <xf numFmtId="0" fontId="41" fillId="0" borderId="42" xfId="63" applyFont="1" applyBorder="1" applyAlignment="1">
      <alignment horizontal="right" vertical="center"/>
    </xf>
    <xf numFmtId="0" fontId="42" fillId="0" borderId="41" xfId="63" applyFont="1" applyBorder="1" applyAlignment="1">
      <alignment vertical="center"/>
    </xf>
    <xf numFmtId="0" fontId="41" fillId="0" borderId="41" xfId="63" applyFont="1" applyBorder="1" applyAlignment="1">
      <alignment horizontal="center" vertical="center"/>
    </xf>
    <xf numFmtId="0" fontId="41" fillId="0" borderId="42" xfId="63" applyFont="1" applyBorder="1" applyAlignment="1">
      <alignment vertical="center"/>
    </xf>
    <xf numFmtId="0" fontId="42" fillId="0" borderId="42" xfId="63" applyFont="1" applyBorder="1" applyAlignment="1">
      <alignment vertical="center"/>
    </xf>
    <xf numFmtId="0" fontId="42" fillId="0" borderId="0" xfId="63" applyFont="1" applyAlignment="1">
      <alignment horizontal="center" vertical="center"/>
    </xf>
    <xf numFmtId="0" fontId="42" fillId="0" borderId="42" xfId="63" applyFont="1" applyBorder="1" applyAlignment="1">
      <alignment horizontal="center" vertical="center"/>
    </xf>
    <xf numFmtId="0" fontId="41" fillId="0" borderId="43" xfId="63" applyFont="1" applyBorder="1" applyAlignment="1">
      <alignment horizontal="center" vertical="center"/>
    </xf>
    <xf numFmtId="0" fontId="41" fillId="0" borderId="21" xfId="63" applyFont="1" applyBorder="1" applyAlignment="1">
      <alignment vertical="center"/>
    </xf>
    <xf numFmtId="0" fontId="42" fillId="0" borderId="21" xfId="63" applyFont="1" applyBorder="1" applyAlignment="1">
      <alignment horizontal="center" vertical="center"/>
    </xf>
    <xf numFmtId="0" fontId="42" fillId="0" borderId="44" xfId="63" applyFont="1" applyBorder="1" applyAlignment="1">
      <alignment horizontal="center" vertical="center"/>
    </xf>
    <xf numFmtId="0" fontId="42" fillId="0" borderId="41" xfId="63" applyFont="1" applyBorder="1" applyAlignment="1">
      <alignment horizontal="center" vertical="center"/>
    </xf>
    <xf numFmtId="0" fontId="42" fillId="0" borderId="0" xfId="63" applyFont="1" applyAlignment="1">
      <alignment vertical="center"/>
    </xf>
    <xf numFmtId="10" fontId="42" fillId="29" borderId="0" xfId="63" applyNumberFormat="1" applyFont="1" applyFill="1" applyAlignment="1">
      <alignment horizontal="right" vertical="center"/>
    </xf>
    <xf numFmtId="10" fontId="42" fillId="29" borderId="42" xfId="63" applyNumberFormat="1" applyFont="1" applyFill="1" applyBorder="1" applyAlignment="1">
      <alignment horizontal="right" vertical="center"/>
    </xf>
    <xf numFmtId="10" fontId="42" fillId="29" borderId="21" xfId="63" applyNumberFormat="1" applyFont="1" applyFill="1" applyBorder="1" applyAlignment="1">
      <alignment horizontal="right" vertical="center"/>
    </xf>
    <xf numFmtId="10" fontId="42" fillId="29" borderId="15" xfId="63" applyNumberFormat="1" applyFont="1" applyFill="1" applyBorder="1" applyAlignment="1">
      <alignment horizontal="right" vertical="center"/>
    </xf>
    <xf numFmtId="0" fontId="42" fillId="29" borderId="0" xfId="63" applyFont="1" applyFill="1"/>
    <xf numFmtId="10" fontId="42" fillId="0" borderId="0" xfId="63" applyNumberFormat="1" applyFont="1" applyAlignment="1">
      <alignment horizontal="right" vertical="center"/>
    </xf>
    <xf numFmtId="10" fontId="42" fillId="0" borderId="42" xfId="63" applyNumberFormat="1" applyFont="1" applyBorder="1" applyAlignment="1">
      <alignment horizontal="right" vertical="center"/>
    </xf>
    <xf numFmtId="0" fontId="44" fillId="0" borderId="0" xfId="63" applyFont="1"/>
    <xf numFmtId="10" fontId="42" fillId="0" borderId="21" xfId="63" applyNumberFormat="1" applyFont="1" applyBorder="1" applyAlignment="1">
      <alignment horizontal="right" vertical="center"/>
    </xf>
    <xf numFmtId="10" fontId="42" fillId="0" borderId="15" xfId="63" applyNumberFormat="1" applyFont="1" applyBorder="1" applyAlignment="1">
      <alignment horizontal="right" vertical="center"/>
    </xf>
    <xf numFmtId="10" fontId="42" fillId="0" borderId="16" xfId="63" applyNumberFormat="1" applyFont="1" applyBorder="1" applyAlignment="1">
      <alignment horizontal="right" vertical="center"/>
    </xf>
    <xf numFmtId="0" fontId="42" fillId="0" borderId="43" xfId="63" applyFont="1" applyBorder="1" applyAlignment="1">
      <alignment horizontal="center" vertical="center"/>
    </xf>
    <xf numFmtId="0" fontId="42" fillId="0" borderId="21" xfId="63" applyFont="1" applyBorder="1" applyAlignment="1">
      <alignment vertical="center"/>
    </xf>
    <xf numFmtId="0" fontId="42" fillId="0" borderId="44" xfId="63" applyFont="1" applyBorder="1" applyAlignment="1">
      <alignment vertical="center"/>
    </xf>
    <xf numFmtId="10" fontId="42" fillId="29" borderId="45" xfId="63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44" fontId="5" fillId="0" borderId="0" xfId="0" applyNumberFormat="1" applyFont="1"/>
    <xf numFmtId="0" fontId="5" fillId="0" borderId="0" xfId="0" applyFont="1" applyBorder="1"/>
    <xf numFmtId="173" fontId="5" fillId="0" borderId="0" xfId="0" applyNumberFormat="1" applyFont="1"/>
    <xf numFmtId="44" fontId="5" fillId="0" borderId="0" xfId="0" applyNumberFormat="1" applyFont="1" applyBorder="1"/>
    <xf numFmtId="0" fontId="45" fillId="0" borderId="0" xfId="0" applyFont="1" applyBorder="1"/>
    <xf numFmtId="174" fontId="5" fillId="0" borderId="0" xfId="0" applyNumberFormat="1" applyFont="1"/>
    <xf numFmtId="8" fontId="5" fillId="0" borderId="0" xfId="0" applyNumberFormat="1" applyFont="1" applyBorder="1"/>
    <xf numFmtId="8" fontId="5" fillId="0" borderId="0" xfId="0" applyNumberFormat="1" applyFont="1"/>
    <xf numFmtId="0" fontId="5" fillId="0" borderId="36" xfId="0" applyFont="1" applyFill="1" applyBorder="1"/>
    <xf numFmtId="44" fontId="5" fillId="0" borderId="36" xfId="31" applyFont="1" applyFill="1" applyBorder="1"/>
    <xf numFmtId="175" fontId="5" fillId="0" borderId="0" xfId="31" applyNumberFormat="1" applyFont="1" applyBorder="1"/>
    <xf numFmtId="0" fontId="5" fillId="24" borderId="10" xfId="0" applyFont="1" applyFill="1" applyBorder="1" applyAlignment="1">
      <alignment horizontal="center"/>
    </xf>
    <xf numFmtId="0" fontId="5" fillId="0" borderId="0" xfId="0" applyFont="1" applyFill="1" applyBorder="1"/>
    <xf numFmtId="8" fontId="5" fillId="0" borderId="0" xfId="0" applyNumberFormat="1" applyFont="1" applyFill="1" applyBorder="1"/>
    <xf numFmtId="9" fontId="5" fillId="0" borderId="0" xfId="50" applyFont="1"/>
    <xf numFmtId="0" fontId="46" fillId="0" borderId="0" xfId="0" applyFont="1"/>
    <xf numFmtId="0" fontId="5" fillId="0" borderId="0" xfId="0" applyFont="1" applyFill="1"/>
    <xf numFmtId="2" fontId="5" fillId="0" borderId="0" xfId="0" applyNumberFormat="1" applyFont="1"/>
    <xf numFmtId="40" fontId="5" fillId="0" borderId="0" xfId="0" applyNumberFormat="1" applyFont="1"/>
    <xf numFmtId="17" fontId="47" fillId="0" borderId="0" xfId="0" applyNumberFormat="1" applyFont="1" applyAlignment="1">
      <alignment horizontal="left" vertical="top"/>
    </xf>
    <xf numFmtId="17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176" fontId="5" fillId="0" borderId="0" xfId="0" applyNumberFormat="1" applyFont="1"/>
    <xf numFmtId="0" fontId="5" fillId="0" borderId="34" xfId="0" applyFont="1" applyFill="1" applyBorder="1"/>
    <xf numFmtId="2" fontId="5" fillId="0" borderId="36" xfId="0" applyNumberFormat="1" applyFont="1" applyFill="1" applyBorder="1"/>
    <xf numFmtId="2" fontId="5" fillId="0" borderId="0" xfId="0" applyNumberFormat="1" applyFont="1" applyBorder="1"/>
    <xf numFmtId="164" fontId="5" fillId="0" borderId="0" xfId="0" applyNumberFormat="1" applyFont="1" applyBorder="1"/>
    <xf numFmtId="0" fontId="5" fillId="0" borderId="33" xfId="0" applyFont="1" applyFill="1" applyBorder="1"/>
    <xf numFmtId="40" fontId="5" fillId="0" borderId="33" xfId="0" applyNumberFormat="1" applyFont="1" applyFill="1" applyBorder="1"/>
    <xf numFmtId="2" fontId="5" fillId="0" borderId="0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wrapText="1"/>
    </xf>
    <xf numFmtId="173" fontId="5" fillId="0" borderId="0" xfId="0" applyNumberFormat="1" applyFont="1" applyBorder="1"/>
    <xf numFmtId="171" fontId="5" fillId="0" borderId="36" xfId="28" applyNumberFormat="1" applyFont="1" applyFill="1" applyBorder="1"/>
    <xf numFmtId="173" fontId="5" fillId="0" borderId="36" xfId="28" applyNumberFormat="1" applyFont="1" applyFill="1" applyBorder="1"/>
    <xf numFmtId="1" fontId="5" fillId="0" borderId="36" xfId="0" applyNumberFormat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170" fontId="5" fillId="0" borderId="36" xfId="31" applyNumberFormat="1" applyFont="1" applyFill="1" applyBorder="1"/>
    <xf numFmtId="169" fontId="5" fillId="0" borderId="36" xfId="31" applyNumberFormat="1" applyFont="1" applyFill="1" applyBorder="1"/>
    <xf numFmtId="169" fontId="5" fillId="0" borderId="36" xfId="0" applyNumberFormat="1" applyFont="1" applyFill="1" applyBorder="1"/>
    <xf numFmtId="44" fontId="5" fillId="0" borderId="36" xfId="0" applyNumberFormat="1" applyFont="1" applyFill="1" applyBorder="1"/>
    <xf numFmtId="44" fontId="5" fillId="28" borderId="35" xfId="0" applyNumberFormat="1" applyFont="1" applyFill="1" applyBorder="1"/>
    <xf numFmtId="44" fontId="5" fillId="28" borderId="23" xfId="0" applyNumberFormat="1" applyFont="1" applyFill="1" applyBorder="1"/>
    <xf numFmtId="44" fontId="5" fillId="28" borderId="26" xfId="0" applyNumberFormat="1" applyFont="1" applyFill="1" applyBorder="1"/>
    <xf numFmtId="178" fontId="5" fillId="0" borderId="36" xfId="0" applyNumberFormat="1" applyFont="1" applyFill="1" applyBorder="1"/>
    <xf numFmtId="178" fontId="5" fillId="0" borderId="34" xfId="31" applyNumberFormat="1" applyFont="1" applyFill="1" applyBorder="1"/>
    <xf numFmtId="170" fontId="10" fillId="0" borderId="10" xfId="31" applyNumberFormat="1" applyFont="1" applyFill="1" applyBorder="1"/>
    <xf numFmtId="10" fontId="0" fillId="0" borderId="37" xfId="50" applyNumberFormat="1" applyFont="1" applyFill="1" applyBorder="1"/>
    <xf numFmtId="0" fontId="9" fillId="0" borderId="33" xfId="46" applyFont="1" applyFill="1" applyBorder="1" applyAlignment="1">
      <alignment horizontal="center"/>
    </xf>
    <xf numFmtId="0" fontId="9" fillId="0" borderId="0" xfId="47" applyFont="1" applyFill="1" applyBorder="1" applyAlignment="1">
      <alignment horizontal="right"/>
    </xf>
    <xf numFmtId="0" fontId="45" fillId="0" borderId="0" xfId="47" applyFont="1" applyFill="1" applyAlignment="1">
      <alignment horizontal="center"/>
    </xf>
    <xf numFmtId="0" fontId="5" fillId="0" borderId="0" xfId="47" applyFont="1" applyBorder="1" applyAlignment="1">
      <alignment horizontal="center"/>
    </xf>
    <xf numFmtId="44" fontId="5" fillId="0" borderId="0" xfId="31" applyFont="1" applyBorder="1" applyAlignment="1">
      <alignment horizontal="center"/>
    </xf>
    <xf numFmtId="0" fontId="9" fillId="0" borderId="33" xfId="47" applyFont="1" applyFill="1" applyBorder="1" applyAlignment="1">
      <alignment horizontal="center"/>
    </xf>
    <xf numFmtId="0" fontId="6" fillId="0" borderId="0" xfId="47" applyFont="1" applyFill="1"/>
    <xf numFmtId="0" fontId="5" fillId="0" borderId="0" xfId="47" applyFont="1" applyFill="1" applyBorder="1"/>
    <xf numFmtId="0" fontId="5" fillId="0" borderId="0" xfId="46" applyFont="1" applyFill="1" applyBorder="1" applyAlignment="1">
      <alignment horizontal="center"/>
    </xf>
    <xf numFmtId="44" fontId="32" fillId="0" borderId="0" xfId="31" applyFont="1" applyFill="1" applyBorder="1"/>
    <xf numFmtId="0" fontId="48" fillId="0" borderId="0" xfId="47" applyFont="1"/>
    <xf numFmtId="0" fontId="6" fillId="0" borderId="0" xfId="0" applyFont="1"/>
    <xf numFmtId="44" fontId="6" fillId="0" borderId="0" xfId="0" applyNumberFormat="1" applyFont="1" applyFill="1"/>
    <xf numFmtId="8" fontId="48" fillId="0" borderId="0" xfId="47" applyNumberFormat="1" applyFont="1" applyFill="1" applyBorder="1"/>
    <xf numFmtId="44" fontId="32" fillId="0" borderId="0" xfId="31" applyNumberFormat="1" applyFont="1" applyFill="1" applyBorder="1"/>
    <xf numFmtId="0" fontId="5" fillId="0" borderId="0" xfId="46" applyFont="1" applyFill="1" applyBorder="1"/>
    <xf numFmtId="10" fontId="5" fillId="0" borderId="37" xfId="51" applyNumberFormat="1" applyFont="1" applyFill="1" applyBorder="1" applyAlignment="1">
      <alignment horizontal="right"/>
    </xf>
    <xf numFmtId="167" fontId="5" fillId="0" borderId="0" xfId="51" applyNumberFormat="1" applyFont="1" applyFill="1" applyBorder="1" applyAlignment="1">
      <alignment horizontal="right"/>
    </xf>
    <xf numFmtId="2" fontId="5" fillId="0" borderId="0" xfId="46" applyNumberFormat="1" applyFont="1" applyFill="1" applyBorder="1" applyAlignment="1">
      <alignment horizontal="center"/>
    </xf>
    <xf numFmtId="8" fontId="5" fillId="0" borderId="0" xfId="46" applyNumberFormat="1" applyFont="1" applyFill="1"/>
    <xf numFmtId="44" fontId="5" fillId="0" borderId="0" xfId="32" applyFont="1" applyFill="1"/>
    <xf numFmtId="44" fontId="5" fillId="0" borderId="0" xfId="46" applyNumberFormat="1" applyFont="1" applyFill="1"/>
    <xf numFmtId="44" fontId="5" fillId="0" borderId="0" xfId="32" applyFont="1" applyFill="1" applyAlignment="1">
      <alignment horizontal="center"/>
    </xf>
    <xf numFmtId="2" fontId="5" fillId="0" borderId="0" xfId="46" applyNumberFormat="1" applyFont="1" applyFill="1" applyAlignment="1">
      <alignment horizontal="center"/>
    </xf>
    <xf numFmtId="0" fontId="5" fillId="0" borderId="0" xfId="46" applyFont="1" applyFill="1" applyBorder="1" applyAlignment="1">
      <alignment horizontal="right"/>
    </xf>
    <xf numFmtId="0" fontId="5" fillId="0" borderId="0" xfId="46" applyFont="1" applyFill="1" applyBorder="1" applyAlignment="1"/>
    <xf numFmtId="167" fontId="5" fillId="0" borderId="0" xfId="51" applyNumberFormat="1" applyFont="1" applyFill="1" applyBorder="1"/>
    <xf numFmtId="0" fontId="31" fillId="0" borderId="0" xfId="47" applyFont="1" applyFill="1"/>
    <xf numFmtId="0" fontId="31" fillId="0" borderId="0" xfId="46" applyFont="1" applyFill="1"/>
    <xf numFmtId="0" fontId="49" fillId="0" borderId="0" xfId="46" applyFont="1" applyFill="1" applyAlignment="1">
      <alignment horizontal="right"/>
    </xf>
    <xf numFmtId="0" fontId="49" fillId="0" borderId="0" xfId="46" applyFont="1" applyFill="1"/>
    <xf numFmtId="0" fontId="5" fillId="0" borderId="0" xfId="46" applyFont="1" applyFill="1"/>
    <xf numFmtId="0" fontId="9" fillId="0" borderId="0" xfId="46" applyFont="1" applyFill="1"/>
    <xf numFmtId="0" fontId="32" fillId="0" borderId="0" xfId="47" applyFont="1" applyFill="1"/>
    <xf numFmtId="0" fontId="31" fillId="0" borderId="0" xfId="46" applyFont="1" applyFill="1" applyAlignment="1">
      <alignment wrapText="1"/>
    </xf>
    <xf numFmtId="8" fontId="5" fillId="0" borderId="36" xfId="31" applyNumberFormat="1" applyFont="1" applyFill="1" applyBorder="1"/>
    <xf numFmtId="8" fontId="45" fillId="0" borderId="0" xfId="0" applyNumberFormat="1" applyFont="1"/>
    <xf numFmtId="44" fontId="5" fillId="0" borderId="10" xfId="31" applyFont="1" applyFill="1" applyBorder="1" applyAlignment="1">
      <alignment horizontal="right"/>
    </xf>
    <xf numFmtId="8" fontId="5" fillId="0" borderId="1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0" fillId="0" borderId="0" xfId="0" applyFont="1" applyAlignment="1">
      <alignment vertical="center"/>
    </xf>
    <xf numFmtId="0" fontId="5" fillId="0" borderId="0" xfId="31" applyNumberFormat="1" applyFont="1" applyBorder="1" applyAlignment="1">
      <alignment horizontal="center"/>
    </xf>
    <xf numFmtId="0" fontId="5" fillId="25" borderId="32" xfId="0" applyFont="1" applyFill="1" applyBorder="1" applyAlignment="1">
      <alignment vertical="center" wrapText="1"/>
    </xf>
    <xf numFmtId="0" fontId="5" fillId="25" borderId="32" xfId="0" applyFont="1" applyFill="1" applyBorder="1" applyAlignment="1">
      <alignment horizontal="left" vertical="center" wrapText="1"/>
    </xf>
    <xf numFmtId="0" fontId="35" fillId="0" borderId="0" xfId="59" applyFont="1" applyAlignment="1">
      <alignment wrapText="1"/>
    </xf>
    <xf numFmtId="44" fontId="5" fillId="0" borderId="0" xfId="0" applyNumberFormat="1" applyFont="1" applyFill="1" applyBorder="1"/>
    <xf numFmtId="0" fontId="9" fillId="0" borderId="0" xfId="0" applyFont="1" applyAlignment="1">
      <alignment horizontal="left"/>
    </xf>
    <xf numFmtId="8" fontId="51" fillId="0" borderId="13" xfId="0" applyNumberFormat="1" applyFont="1" applyBorder="1" applyAlignment="1">
      <alignment horizontal="right" vertical="center"/>
    </xf>
    <xf numFmtId="8" fontId="51" fillId="0" borderId="51" xfId="0" applyNumberFormat="1" applyFont="1" applyBorder="1" applyAlignment="1">
      <alignment horizontal="right" vertical="center"/>
    </xf>
    <xf numFmtId="8" fontId="51" fillId="0" borderId="27" xfId="0" applyNumberFormat="1" applyFont="1" applyBorder="1" applyAlignment="1">
      <alignment horizontal="right" vertical="center"/>
    </xf>
    <xf numFmtId="0" fontId="51" fillId="0" borderId="0" xfId="59" applyFont="1"/>
    <xf numFmtId="0" fontId="6" fillId="0" borderId="0" xfId="0" applyFont="1" applyBorder="1"/>
    <xf numFmtId="0" fontId="6" fillId="0" borderId="0" xfId="0" applyFont="1" applyFill="1" applyBorder="1"/>
    <xf numFmtId="0" fontId="51" fillId="0" borderId="0" xfId="59" applyFont="1" applyBorder="1"/>
    <xf numFmtId="44" fontId="6" fillId="0" borderId="0" xfId="60" applyNumberFormat="1" applyFont="1"/>
    <xf numFmtId="169" fontId="6" fillId="0" borderId="29" xfId="31" applyNumberFormat="1" applyFont="1" applyBorder="1"/>
    <xf numFmtId="169" fontId="6" fillId="0" borderId="62" xfId="31" applyNumberFormat="1" applyFont="1" applyBorder="1"/>
    <xf numFmtId="0" fontId="51" fillId="0" borderId="0" xfId="59" applyNumberFormat="1" applyFont="1"/>
    <xf numFmtId="9" fontId="5" fillId="0" borderId="32" xfId="0" applyNumberFormat="1" applyFont="1" applyFill="1" applyBorder="1" applyAlignment="1">
      <alignment horizontal="center"/>
    </xf>
    <xf numFmtId="169" fontId="5" fillId="0" borderId="0" xfId="31" applyNumberFormat="1" applyFont="1" applyBorder="1" applyAlignment="1">
      <alignment horizontal="center"/>
    </xf>
    <xf numFmtId="169" fontId="5" fillId="0" borderId="0" xfId="31" applyNumberFormat="1" applyFont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6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64" xfId="47" applyFont="1" applyFill="1" applyBorder="1" applyAlignment="1">
      <alignment horizontal="center"/>
    </xf>
    <xf numFmtId="0" fontId="9" fillId="0" borderId="65" xfId="47" applyFont="1" applyFill="1" applyBorder="1" applyAlignment="1">
      <alignment horizontal="center"/>
    </xf>
    <xf numFmtId="44" fontId="5" fillId="0" borderId="41" xfId="31" applyFont="1" applyBorder="1" applyAlignment="1">
      <alignment horizontal="center"/>
    </xf>
    <xf numFmtId="169" fontId="5" fillId="0" borderId="42" xfId="31" applyNumberFormat="1" applyFont="1" applyBorder="1" applyAlignment="1">
      <alignment horizontal="center"/>
    </xf>
    <xf numFmtId="44" fontId="5" fillId="0" borderId="43" xfId="31" applyFont="1" applyBorder="1" applyAlignment="1">
      <alignment horizontal="center"/>
    </xf>
    <xf numFmtId="169" fontId="5" fillId="0" borderId="44" xfId="31" applyNumberFormat="1" applyFont="1" applyBorder="1" applyAlignment="1">
      <alignment horizontal="center"/>
    </xf>
    <xf numFmtId="8" fontId="5" fillId="0" borderId="0" xfId="47" applyNumberFormat="1" applyFont="1"/>
    <xf numFmtId="2" fontId="51" fillId="0" borderId="0" xfId="59" applyNumberFormat="1" applyFont="1"/>
    <xf numFmtId="8" fontId="6" fillId="0" borderId="0" xfId="0" applyNumberFormat="1" applyFont="1"/>
    <xf numFmtId="8" fontId="35" fillId="0" borderId="24" xfId="31" applyNumberFormat="1" applyFont="1" applyBorder="1"/>
    <xf numFmtId="169" fontId="6" fillId="0" borderId="47" xfId="31" applyNumberFormat="1" applyFont="1" applyBorder="1"/>
    <xf numFmtId="167" fontId="5" fillId="0" borderId="0" xfId="51" applyNumberFormat="1" applyFont="1" applyFill="1" applyAlignment="1">
      <alignment horizontal="right"/>
    </xf>
    <xf numFmtId="44" fontId="5" fillId="0" borderId="0" xfId="31" applyFont="1" applyFill="1"/>
    <xf numFmtId="44" fontId="5" fillId="0" borderId="0" xfId="31" applyFont="1" applyFill="1" applyAlignment="1">
      <alignment horizontal="center"/>
    </xf>
    <xf numFmtId="169" fontId="5" fillId="0" borderId="0" xfId="31" applyNumberFormat="1" applyFont="1" applyFill="1" applyAlignment="1">
      <alignment horizontal="center"/>
    </xf>
    <xf numFmtId="44" fontId="5" fillId="0" borderId="41" xfId="31" applyFont="1" applyFill="1" applyBorder="1" applyAlignment="1">
      <alignment horizontal="center"/>
    </xf>
    <xf numFmtId="169" fontId="5" fillId="0" borderId="42" xfId="31" applyNumberFormat="1" applyFont="1" applyFill="1" applyBorder="1" applyAlignment="1">
      <alignment horizontal="center"/>
    </xf>
    <xf numFmtId="0" fontId="5" fillId="0" borderId="0" xfId="47" applyFont="1" applyFill="1" applyAlignment="1">
      <alignment horizontal="right"/>
    </xf>
    <xf numFmtId="44" fontId="5" fillId="0" borderId="0" xfId="31" applyFont="1" applyFill="1" applyBorder="1"/>
    <xf numFmtId="0" fontId="48" fillId="0" borderId="0" xfId="47" applyFont="1" applyFill="1" applyBorder="1"/>
    <xf numFmtId="0" fontId="48" fillId="0" borderId="0" xfId="47" applyFont="1" applyFill="1"/>
    <xf numFmtId="0" fontId="6" fillId="0" borderId="0" xfId="0" applyFont="1" applyFill="1"/>
    <xf numFmtId="0" fontId="5" fillId="0" borderId="0" xfId="47" applyFont="1" applyFill="1" applyBorder="1" applyAlignment="1">
      <alignment horizontal="center"/>
    </xf>
    <xf numFmtId="44" fontId="5" fillId="0" borderId="0" xfId="31" applyFont="1" applyFill="1" applyBorder="1" applyAlignment="1">
      <alignment horizontal="center"/>
    </xf>
    <xf numFmtId="169" fontId="5" fillId="0" borderId="0" xfId="31" applyNumberFormat="1" applyFont="1" applyFill="1" applyBorder="1" applyAlignment="1">
      <alignment horizontal="center"/>
    </xf>
    <xf numFmtId="0" fontId="51" fillId="0" borderId="14" xfId="59" applyFont="1" applyFill="1" applyBorder="1" applyAlignment="1">
      <alignment horizontal="center" vertical="top" wrapText="1"/>
    </xf>
    <xf numFmtId="0" fontId="51" fillId="0" borderId="41" xfId="59" applyFont="1" applyFill="1" applyBorder="1" applyAlignment="1">
      <alignment horizontal="center" wrapText="1"/>
    </xf>
    <xf numFmtId="0" fontId="51" fillId="0" borderId="70" xfId="59" applyFont="1" applyFill="1" applyBorder="1" applyAlignment="1">
      <alignment horizontal="center" wrapText="1"/>
    </xf>
    <xf numFmtId="0" fontId="51" fillId="0" borderId="17" xfId="59" applyFont="1" applyFill="1" applyBorder="1" applyAlignment="1">
      <alignment horizontal="center" wrapText="1"/>
    </xf>
    <xf numFmtId="0" fontId="51" fillId="0" borderId="71" xfId="59" applyFont="1" applyFill="1" applyBorder="1" applyAlignment="1">
      <alignment horizontal="center" wrapText="1"/>
    </xf>
    <xf numFmtId="44" fontId="6" fillId="0" borderId="62" xfId="60" applyFont="1" applyBorder="1"/>
    <xf numFmtId="44" fontId="6" fillId="0" borderId="72" xfId="60" applyFont="1" applyBorder="1"/>
    <xf numFmtId="44" fontId="6" fillId="0" borderId="47" xfId="60" applyFont="1" applyBorder="1"/>
    <xf numFmtId="44" fontId="0" fillId="0" borderId="0" xfId="60" quotePrefix="1" applyNumberFormat="1" applyFont="1" applyAlignment="1"/>
    <xf numFmtId="0" fontId="51" fillId="0" borderId="69" xfId="59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0" fillId="0" borderId="10" xfId="0" applyFill="1" applyBorder="1" applyAlignment="1">
      <alignment horizontal="center"/>
    </xf>
    <xf numFmtId="44" fontId="0" fillId="0" borderId="10" xfId="31" applyFont="1" applyFill="1" applyBorder="1"/>
    <xf numFmtId="10" fontId="5" fillId="0" borderId="36" xfId="0" applyNumberFormat="1" applyFont="1" applyFill="1" applyBorder="1" applyAlignment="1">
      <alignment horizontal="right"/>
    </xf>
    <xf numFmtId="0" fontId="51" fillId="0" borderId="0" xfId="59" applyFont="1" applyFill="1"/>
    <xf numFmtId="0" fontId="51" fillId="0" borderId="53" xfId="59" applyFont="1" applyFill="1" applyBorder="1" applyAlignment="1">
      <alignment horizontal="center" vertical="top" wrapText="1"/>
    </xf>
    <xf numFmtId="0" fontId="51" fillId="0" borderId="61" xfId="59" applyFont="1" applyFill="1" applyBorder="1" applyAlignment="1">
      <alignment horizontal="center" vertical="top" wrapText="1"/>
    </xf>
    <xf numFmtId="0" fontId="51" fillId="0" borderId="48" xfId="59" applyFont="1" applyFill="1" applyBorder="1" applyAlignment="1">
      <alignment horizontal="centerContinuous" vertical="top" wrapText="1"/>
    </xf>
    <xf numFmtId="0" fontId="51" fillId="0" borderId="28" xfId="59" applyFont="1" applyFill="1" applyBorder="1" applyAlignment="1">
      <alignment horizontal="centerContinuous" vertical="top" wrapText="1"/>
    </xf>
    <xf numFmtId="0" fontId="51" fillId="0" borderId="52" xfId="59" applyFont="1" applyFill="1" applyBorder="1" applyAlignment="1">
      <alignment horizontal="centerContinuous" vertical="top" wrapText="1"/>
    </xf>
    <xf numFmtId="0" fontId="51" fillId="0" borderId="0" xfId="59" applyFont="1" applyFill="1" applyBorder="1"/>
    <xf numFmtId="179" fontId="51" fillId="0" borderId="12" xfId="59" applyNumberFormat="1" applyFont="1" applyFill="1" applyBorder="1" applyAlignment="1">
      <alignment horizontal="center"/>
    </xf>
    <xf numFmtId="0" fontId="51" fillId="0" borderId="27" xfId="59" applyFont="1" applyFill="1" applyBorder="1"/>
    <xf numFmtId="179" fontId="51" fillId="0" borderId="46" xfId="59" applyNumberFormat="1" applyFont="1" applyFill="1" applyBorder="1" applyAlignment="1">
      <alignment horizontal="center"/>
    </xf>
    <xf numFmtId="0" fontId="51" fillId="0" borderId="27" xfId="0" applyFont="1" applyFill="1" applyBorder="1" applyAlignment="1">
      <alignment horizontal="center" wrapText="1"/>
    </xf>
    <xf numFmtId="0" fontId="51" fillId="0" borderId="18" xfId="59" applyFont="1" applyFill="1" applyBorder="1"/>
    <xf numFmtId="0" fontId="51" fillId="0" borderId="54" xfId="59" applyFont="1" applyFill="1" applyBorder="1" applyAlignment="1">
      <alignment horizontal="centerContinuous"/>
    </xf>
    <xf numFmtId="0" fontId="51" fillId="0" borderId="47" xfId="59" applyFont="1" applyFill="1" applyBorder="1" applyAlignment="1">
      <alignment horizontal="centerContinuous"/>
    </xf>
    <xf numFmtId="0" fontId="51" fillId="0" borderId="50" xfId="59" applyFont="1" applyFill="1" applyBorder="1" applyAlignment="1">
      <alignment horizontal="center" wrapText="1"/>
    </xf>
    <xf numFmtId="0" fontId="51" fillId="0" borderId="51" xfId="59" applyFont="1" applyFill="1" applyBorder="1" applyAlignment="1">
      <alignment horizontal="center"/>
    </xf>
    <xf numFmtId="0" fontId="51" fillId="0" borderId="58" xfId="59" applyFont="1" applyFill="1" applyBorder="1" applyAlignment="1">
      <alignment horizontal="center" wrapText="1"/>
    </xf>
    <xf numFmtId="43" fontId="5" fillId="0" borderId="0" xfId="28" applyFont="1"/>
    <xf numFmtId="9" fontId="51" fillId="0" borderId="59" xfId="59" applyNumberFormat="1" applyFont="1" applyFill="1" applyBorder="1" applyAlignment="1">
      <alignment horizontal="center" wrapText="1"/>
    </xf>
    <xf numFmtId="167" fontId="51" fillId="0" borderId="59" xfId="59" applyNumberFormat="1" applyFont="1" applyFill="1" applyBorder="1" applyAlignment="1">
      <alignment horizontal="center" wrapText="1"/>
    </xf>
    <xf numFmtId="8" fontId="32" fillId="0" borderId="0" xfId="31" applyNumberFormat="1" applyFont="1" applyFill="1" applyBorder="1"/>
    <xf numFmtId="44" fontId="6" fillId="0" borderId="66" xfId="60" applyFont="1" applyFill="1" applyBorder="1"/>
    <xf numFmtId="44" fontId="6" fillId="0" borderId="62" xfId="60" applyFont="1" applyFill="1" applyBorder="1"/>
    <xf numFmtId="0" fontId="54" fillId="0" borderId="0" xfId="0" applyFont="1" applyBorder="1"/>
    <xf numFmtId="0" fontId="55" fillId="0" borderId="0" xfId="47" applyFont="1" applyFill="1" applyBorder="1" applyAlignment="1">
      <alignment horizontal="right"/>
    </xf>
    <xf numFmtId="179" fontId="6" fillId="0" borderId="0" xfId="59" applyNumberFormat="1" applyFont="1"/>
    <xf numFmtId="0" fontId="6" fillId="0" borderId="0" xfId="59" applyFont="1"/>
    <xf numFmtId="0" fontId="6" fillId="0" borderId="0" xfId="59" quotePrefix="1" applyNumberFormat="1" applyFont="1"/>
    <xf numFmtId="0" fontId="6" fillId="0" borderId="0" xfId="59" quotePrefix="1" applyNumberFormat="1" applyFont="1" applyAlignment="1">
      <alignment vertical="top" wrapText="1"/>
    </xf>
    <xf numFmtId="0" fontId="6" fillId="0" borderId="0" xfId="59" quotePrefix="1" applyFont="1" applyAlignment="1">
      <alignment horizontal="left" indent="1"/>
    </xf>
    <xf numFmtId="44" fontId="6" fillId="0" borderId="0" xfId="60" quotePrefix="1" applyNumberFormat="1" applyFont="1" applyAlignment="1"/>
    <xf numFmtId="0" fontId="6" fillId="0" borderId="0" xfId="59" quotePrefix="1" applyFont="1" applyAlignment="1"/>
    <xf numFmtId="167" fontId="6" fillId="0" borderId="62" xfId="59" applyNumberFormat="1" applyFont="1" applyFill="1" applyBorder="1" applyAlignment="1">
      <alignment horizontal="center" wrapText="1"/>
    </xf>
    <xf numFmtId="0" fontId="6" fillId="30" borderId="40" xfId="59" applyFont="1" applyFill="1" applyBorder="1" applyAlignment="1">
      <alignment horizontal="center"/>
    </xf>
    <xf numFmtId="0" fontId="6" fillId="0" borderId="67" xfId="59" applyFont="1" applyBorder="1" applyAlignment="1">
      <alignment horizontal="center"/>
    </xf>
    <xf numFmtId="0" fontId="6" fillId="0" borderId="22" xfId="59" applyFont="1" applyFill="1" applyBorder="1"/>
    <xf numFmtId="169" fontId="6" fillId="0" borderId="60" xfId="31" applyNumberFormat="1" applyFont="1" applyBorder="1"/>
    <xf numFmtId="0" fontId="6" fillId="0" borderId="2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8" fontId="6" fillId="0" borderId="27" xfId="0" applyNumberFormat="1" applyFont="1" applyBorder="1" applyAlignment="1">
      <alignment horizontal="right" vertical="center"/>
    </xf>
    <xf numFmtId="1" fontId="6" fillId="0" borderId="23" xfId="0" applyNumberFormat="1" applyFont="1" applyBorder="1" applyAlignment="1">
      <alignment horizontal="center" vertical="center"/>
    </xf>
    <xf numFmtId="0" fontId="6" fillId="30" borderId="39" xfId="59" applyFont="1" applyFill="1" applyBorder="1" applyAlignment="1">
      <alignment horizontal="center"/>
    </xf>
    <xf numFmtId="0" fontId="6" fillId="0" borderId="11" xfId="59" applyFont="1" applyBorder="1" applyAlignment="1">
      <alignment horizontal="center"/>
    </xf>
    <xf numFmtId="169" fontId="6" fillId="0" borderId="59" xfId="31" applyNumberFormat="1" applyFont="1" applyBorder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8" fontId="6" fillId="0" borderId="13" xfId="0" applyNumberFormat="1" applyFont="1" applyBorder="1" applyAlignment="1">
      <alignment horizontal="right" vertical="center"/>
    </xf>
    <xf numFmtId="1" fontId="6" fillId="0" borderId="46" xfId="0" applyNumberFormat="1" applyFont="1" applyBorder="1" applyAlignment="1">
      <alignment horizontal="center" vertical="center"/>
    </xf>
    <xf numFmtId="0" fontId="6" fillId="30" borderId="30" xfId="59" applyFont="1" applyFill="1" applyBorder="1" applyAlignment="1">
      <alignment horizontal="center"/>
    </xf>
    <xf numFmtId="0" fontId="6" fillId="0" borderId="18" xfId="59" applyFont="1" applyBorder="1" applyAlignment="1">
      <alignment horizontal="center"/>
    </xf>
    <xf numFmtId="0" fontId="6" fillId="0" borderId="73" xfId="59" applyFont="1" applyFill="1" applyBorder="1"/>
    <xf numFmtId="169" fontId="6" fillId="0" borderId="54" xfId="31" applyNumberFormat="1" applyFont="1" applyBorder="1"/>
    <xf numFmtId="169" fontId="6" fillId="0" borderId="68" xfId="31" applyNumberFormat="1" applyFont="1" applyBorder="1"/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8" fontId="6" fillId="0" borderId="51" xfId="0" applyNumberFormat="1" applyFont="1" applyBorder="1" applyAlignment="1">
      <alignment horizontal="right" vertical="center"/>
    </xf>
    <xf numFmtId="1" fontId="6" fillId="0" borderId="58" xfId="0" applyNumberFormat="1" applyFont="1" applyBorder="1" applyAlignment="1">
      <alignment horizontal="center" vertical="center"/>
    </xf>
    <xf numFmtId="10" fontId="5" fillId="31" borderId="37" xfId="51" applyNumberFormat="1" applyFont="1" applyFill="1" applyBorder="1" applyAlignment="1">
      <alignment horizontal="right"/>
    </xf>
    <xf numFmtId="0" fontId="9" fillId="0" borderId="0" xfId="47" applyFont="1" applyFill="1" applyBorder="1" applyAlignment="1">
      <alignment horizontal="left"/>
    </xf>
    <xf numFmtId="0" fontId="9" fillId="0" borderId="0" xfId="47" applyFont="1" applyBorder="1" applyAlignment="1">
      <alignment horizontal="left"/>
    </xf>
    <xf numFmtId="8" fontId="35" fillId="0" borderId="74" xfId="65" applyNumberFormat="1" applyFont="1" applyBorder="1"/>
    <xf numFmtId="167" fontId="5" fillId="0" borderId="0" xfId="0" applyNumberFormat="1" applyFont="1"/>
    <xf numFmtId="10" fontId="5" fillId="0" borderId="0" xfId="0" applyNumberFormat="1" applyFont="1"/>
    <xf numFmtId="167" fontId="5" fillId="0" borderId="0" xfId="50" applyNumberFormat="1" applyFont="1"/>
    <xf numFmtId="0" fontId="5" fillId="0" borderId="10" xfId="0" applyFont="1" applyFill="1" applyBorder="1" applyAlignment="1">
      <alignment horizontal="center"/>
    </xf>
    <xf numFmtId="0" fontId="5" fillId="0" borderId="32" xfId="0" applyFont="1" applyFill="1" applyBorder="1" applyAlignment="1">
      <alignment vertical="center" wrapText="1"/>
    </xf>
    <xf numFmtId="44" fontId="5" fillId="0" borderId="35" xfId="0" applyNumberFormat="1" applyFont="1" applyFill="1" applyBorder="1"/>
    <xf numFmtId="0" fontId="46" fillId="0" borderId="0" xfId="0" applyFont="1" applyFill="1"/>
    <xf numFmtId="0" fontId="5" fillId="0" borderId="0" xfId="31" applyNumberFormat="1" applyFont="1" applyFill="1" applyBorder="1" applyAlignment="1">
      <alignment horizontal="center"/>
    </xf>
    <xf numFmtId="10" fontId="5" fillId="0" borderId="0" xfId="67" applyNumberFormat="1" applyFont="1" applyFill="1" applyBorder="1" applyAlignment="1">
      <alignment horizontal="right"/>
    </xf>
    <xf numFmtId="10" fontId="9" fillId="0" borderId="0" xfId="50" applyNumberFormat="1" applyFont="1" applyFill="1" applyBorder="1" applyAlignment="1">
      <alignment horizontal="right"/>
    </xf>
    <xf numFmtId="0" fontId="9" fillId="0" borderId="0" xfId="68" applyFont="1" applyFill="1" applyBorder="1" applyAlignment="1">
      <alignment horizontal="right"/>
    </xf>
    <xf numFmtId="44" fontId="5" fillId="0" borderId="10" xfId="31" applyFont="1" applyFill="1" applyBorder="1" applyAlignment="1">
      <alignment horizontal="left"/>
    </xf>
    <xf numFmtId="179" fontId="35" fillId="0" borderId="0" xfId="59" applyNumberFormat="1" applyFont="1"/>
    <xf numFmtId="0" fontId="5" fillId="0" borderId="0" xfId="59" applyFont="1"/>
    <xf numFmtId="0" fontId="5" fillId="0" borderId="0" xfId="59" quotePrefix="1" applyNumberFormat="1" applyFont="1"/>
    <xf numFmtId="0" fontId="5" fillId="0" borderId="0" xfId="59" quotePrefix="1" applyFont="1" applyAlignment="1">
      <alignment horizontal="left" indent="1"/>
    </xf>
    <xf numFmtId="44" fontId="5" fillId="0" borderId="0" xfId="60" quotePrefix="1" applyNumberFormat="1" applyFont="1" applyAlignment="1"/>
    <xf numFmtId="0" fontId="5" fillId="0" borderId="0" xfId="59" quotePrefix="1" applyNumberFormat="1" applyFont="1" applyAlignment="1">
      <alignment vertical="top" wrapText="1"/>
    </xf>
    <xf numFmtId="0" fontId="5" fillId="0" borderId="0" xfId="59" quotePrefix="1" applyFont="1" applyAlignment="1"/>
    <xf numFmtId="44" fontId="5" fillId="32" borderId="0" xfId="31" applyFont="1" applyFill="1" applyAlignment="1">
      <alignment horizontal="center"/>
    </xf>
    <xf numFmtId="10" fontId="0" fillId="0" borderId="32" xfId="0" applyNumberFormat="1" applyFill="1" applyBorder="1"/>
    <xf numFmtId="10" fontId="5" fillId="0" borderId="32" xfId="51" applyNumberFormat="1" applyFont="1" applyFill="1" applyBorder="1" applyAlignment="1">
      <alignment horizontal="right"/>
    </xf>
    <xf numFmtId="0" fontId="5" fillId="0" borderId="0" xfId="0" applyFont="1" applyAlignment="1">
      <alignment vertical="top" wrapText="1"/>
    </xf>
    <xf numFmtId="0" fontId="35" fillId="0" borderId="0" xfId="59" quotePrefix="1" applyNumberFormat="1" applyFont="1" applyAlignment="1">
      <alignment horizontal="left" vertical="top" wrapText="1"/>
    </xf>
    <xf numFmtId="0" fontId="5" fillId="0" borderId="0" xfId="59" quotePrefix="1" applyNumberFormat="1" applyFont="1" applyAlignment="1">
      <alignment horizontal="left" vertical="top"/>
    </xf>
    <xf numFmtId="0" fontId="5" fillId="0" borderId="0" xfId="59" quotePrefix="1" applyNumberFormat="1" applyFont="1" applyAlignment="1">
      <alignment horizontal="left" vertical="top" wrapText="1"/>
    </xf>
    <xf numFmtId="0" fontId="3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46" applyFont="1" applyFill="1" applyBorder="1" applyAlignment="1">
      <alignment horizontal="right"/>
    </xf>
    <xf numFmtId="0" fontId="5" fillId="0" borderId="0" xfId="0" applyFont="1" applyAlignment="1">
      <alignment wrapText="1"/>
    </xf>
    <xf numFmtId="0" fontId="6" fillId="0" borderId="0" xfId="59" quotePrefix="1" applyNumberFormat="1" applyFont="1" applyAlignment="1">
      <alignment horizontal="left" vertical="top" wrapText="1"/>
    </xf>
    <xf numFmtId="0" fontId="6" fillId="0" borderId="0" xfId="59" quotePrefix="1" applyNumberFormat="1" applyFont="1" applyAlignment="1">
      <alignment horizontal="left" vertical="top"/>
    </xf>
    <xf numFmtId="0" fontId="52" fillId="0" borderId="0" xfId="59" applyFont="1" applyFill="1" applyBorder="1" applyAlignment="1">
      <alignment horizontal="center"/>
    </xf>
    <xf numFmtId="0" fontId="51" fillId="0" borderId="14" xfId="59" applyFont="1" applyFill="1" applyBorder="1" applyAlignment="1">
      <alignment horizontal="center" vertical="top" wrapText="1"/>
    </xf>
    <xf numFmtId="0" fontId="51" fillId="0" borderId="41" xfId="59" applyFont="1" applyFill="1" applyBorder="1" applyAlignment="1">
      <alignment horizontal="center" vertical="top" wrapText="1"/>
    </xf>
    <xf numFmtId="0" fontId="51" fillId="0" borderId="43" xfId="59" applyFont="1" applyFill="1" applyBorder="1" applyAlignment="1">
      <alignment horizontal="center" vertical="top" wrapText="1"/>
    </xf>
    <xf numFmtId="0" fontId="51" fillId="0" borderId="55" xfId="59" applyFont="1" applyFill="1" applyBorder="1" applyAlignment="1">
      <alignment horizontal="center" vertical="top" wrapText="1"/>
    </xf>
    <xf numFmtId="0" fontId="51" fillId="0" borderId="56" xfId="59" applyFont="1" applyFill="1" applyBorder="1" applyAlignment="1">
      <alignment horizontal="center" vertical="top" wrapText="1"/>
    </xf>
    <xf numFmtId="0" fontId="51" fillId="0" borderId="57" xfId="59" applyFont="1" applyFill="1" applyBorder="1" applyAlignment="1">
      <alignment horizontal="center" vertical="top" wrapText="1"/>
    </xf>
    <xf numFmtId="0" fontId="52" fillId="0" borderId="21" xfId="59" applyFont="1" applyFill="1" applyBorder="1" applyAlignment="1">
      <alignment horizontal="center" wrapText="1"/>
    </xf>
    <xf numFmtId="0" fontId="41" fillId="0" borderId="41" xfId="63" applyFont="1" applyBorder="1" applyAlignment="1">
      <alignment horizontal="center" vertical="center"/>
    </xf>
    <xf numFmtId="0" fontId="41" fillId="0" borderId="0" xfId="63" applyFont="1" applyBorder="1" applyAlignment="1">
      <alignment horizontal="center" vertical="center"/>
    </xf>
    <xf numFmtId="0" fontId="41" fillId="0" borderId="38" xfId="63" applyFont="1" applyBorder="1" applyAlignment="1">
      <alignment horizontal="center" vertical="center"/>
    </xf>
    <xf numFmtId="0" fontId="41" fillId="0" borderId="42" xfId="63" applyFont="1" applyBorder="1" applyAlignment="1">
      <alignment horizontal="center" vertical="center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58"/>
    <cellStyle name="Comma 5" xfId="61"/>
    <cellStyle name="Currency" xfId="31" builtinId="4"/>
    <cellStyle name="Currency 2" xfId="32"/>
    <cellStyle name="Currency 3" xfId="33"/>
    <cellStyle name="Currency 4" xfId="60"/>
    <cellStyle name="Currency 4 2" xfId="66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" xfId="40" builtinId="8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2" xfId="44"/>
    <cellStyle name="Normal 3" xfId="45"/>
    <cellStyle name="Normal 4" xfId="46"/>
    <cellStyle name="Normal 4 2" xfId="68"/>
    <cellStyle name="Normal 5" xfId="57"/>
    <cellStyle name="Normal 6" xfId="59"/>
    <cellStyle name="Normal 6 2" xfId="65"/>
    <cellStyle name="Normal 7" xfId="63"/>
    <cellStyle name="Normal_ElectricAvoidedCost_FlatLoad.Jim_Tom.10.14.11" xfId="47"/>
    <cellStyle name="Note" xfId="48" builtinId="10" customBuiltin="1"/>
    <cellStyle name="Output" xfId="49" builtinId="21" customBuiltin="1"/>
    <cellStyle name="Percent" xfId="50" builtinId="5"/>
    <cellStyle name="Percent 2" xfId="51"/>
    <cellStyle name="Percent 2 2" xfId="67"/>
    <cellStyle name="Percent 3" xfId="52"/>
    <cellStyle name="Percent 3 2" xfId="64"/>
    <cellStyle name="Percent 4" xfId="62"/>
    <cellStyle name="Style 1" xfId="53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Relationship Id="rId30" Type="http://schemas.openxmlformats.org/officeDocument/2006/relationships/revisionHeaders" Target="revisions/revisionHeader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All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1E5-4900-B61D-5D47D8C99D1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1E5-4900-B61D-5D47D8C99D10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1E5-4900-B61D-5D47D8C99D10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C1E5-4900-B61D-5D47D8C99D10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1E5-4900-B61D-5D47D8C99D10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C1E5-4900-B61D-5D47D8C99D10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C1E5-4900-B61D-5D47D8C99D10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C1E5-4900-B61D-5D47D8C99D10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C1E5-4900-B61D-5D47D8C99D10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C1E5-4900-B61D-5D47D8C99D10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C1E5-4900-B61D-5D47D8C99D10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C1E5-4900-B61D-5D47D8C99D10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C-C1E5-4900-B61D-5D47D8C99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91520"/>
        <c:axId val="231297792"/>
      </c:lineChart>
      <c:catAx>
        <c:axId val="2312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29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29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291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Residential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B7C-4C8E-B5B6-F1F89FFE359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B7C-4C8E-B5B6-F1F89FFE3596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B7C-4C8E-B5B6-F1F89FFE3596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4B7C-4C8E-B5B6-F1F89FFE3596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B7C-4C8E-B5B6-F1F89FFE3596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4B7C-4C8E-B5B6-F1F89FFE3596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B7C-4C8E-B5B6-F1F89FFE3596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'Electric EES CE Std Energy'!#REF!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'Electric EES CE Std Energy'!#REF!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4B7C-4C8E-B5B6-F1F89FFE3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12544"/>
        <c:axId val="231214080"/>
      </c:lineChart>
      <c:catAx>
        <c:axId val="2312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2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21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21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42</xdr:row>
      <xdr:rowOff>129540</xdr:rowOff>
    </xdr:from>
    <xdr:to>
      <xdr:col>3</xdr:col>
      <xdr:colOff>0</xdr:colOff>
      <xdr:row>61</xdr:row>
      <xdr:rowOff>137160</xdr:rowOff>
    </xdr:to>
    <xdr:graphicFrame macro="">
      <xdr:nvGraphicFramePr>
        <xdr:cNvPr id="2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42</xdr:row>
      <xdr:rowOff>129540</xdr:rowOff>
    </xdr:from>
    <xdr:to>
      <xdr:col>3</xdr:col>
      <xdr:colOff>0</xdr:colOff>
      <xdr:row>61</xdr:row>
      <xdr:rowOff>137160</xdr:rowOff>
    </xdr:to>
    <xdr:graphicFrame macro="">
      <xdr:nvGraphicFramePr>
        <xdr:cNvPr id="22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09IRP/Aurora/PSM/RevReq/Update%20A/Update%20A%20Constrained_No%20DSM_FullCap_PSM%2020-1%202009%20IR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illi/AppData/Local/Microsoft/Windows/Temporary%20Internet%20Files/Content.Outlook/OMOIMSCX/PSM%20III%2023.4_2015%20IRP%20Capacity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Case Output"/>
      <sheetName val="EvalSum"/>
      <sheetName val="Evaluation Summary"/>
      <sheetName val="Assumptions"/>
      <sheetName val="Acquisition Inputs"/>
      <sheetName val="AURORAenergy"/>
      <sheetName val="AURORAcost"/>
      <sheetName val="AURORArevenue"/>
      <sheetName val="ACQTHERMAL"/>
      <sheetName val="ACQWIND"/>
      <sheetName val="ACQPPA"/>
      <sheetName val="EXISTCOAL"/>
      <sheetName val="CONTRACT"/>
      <sheetName val="EXISTGAS"/>
      <sheetName val="EXISTWIND"/>
      <sheetName val="WESTERNHYDRO"/>
      <sheetName val="MIDCHYDRO"/>
      <sheetName val="NEWBIOMASS"/>
      <sheetName val="NEWCOAL"/>
      <sheetName val="NEWGAS"/>
      <sheetName val="NEWGASPK"/>
      <sheetName val="NEWGEOTHERMAL"/>
      <sheetName val="NEWSOLAR"/>
      <sheetName val="NEWWIND"/>
      <sheetName val="NEWWINDLONG"/>
      <sheetName val="Load_Market_DSM"/>
      <sheetName val="RPS Summary"/>
      <sheetName val="Dispatch Cases"/>
      <sheetName val="Capital Additions"/>
      <sheetName val="Results Summary"/>
      <sheetName val="ACQConsol"/>
      <sheetName val="Acquisition Thermal"/>
      <sheetName val="Acquisition Wind"/>
      <sheetName val="Consol"/>
      <sheetName val="CCGT"/>
      <sheetName val="Geothermal"/>
      <sheetName val="Long Haul Wind"/>
      <sheetName val="Solar"/>
      <sheetName val="Open Slot"/>
      <sheetName val="Wind"/>
      <sheetName val="Coal"/>
      <sheetName val="Recip Engine"/>
      <sheetName val="Biomass"/>
      <sheetName val="Joint Ownership MW"/>
      <sheetName val="Contracted MW"/>
      <sheetName val="Exist Consol"/>
      <sheetName val="Existing Gas"/>
      <sheetName val="Colstrip"/>
      <sheetName val="Existing Wind"/>
      <sheetName val="West Hydro"/>
      <sheetName val="Mid_C Hydro"/>
      <sheetName val="PPA Rollup"/>
      <sheetName val="Equity Equalization - PPA"/>
      <sheetName val="End Effects"/>
      <sheetName val="Nameplate Capacity"/>
      <sheetName val="WACC"/>
      <sheetName val="AURORAENERGY1"/>
      <sheetName val="AURORACOST1"/>
      <sheetName val="AURORAREVENUE1"/>
      <sheetName val="AURORAENERGY11"/>
      <sheetName val="AURORACOST11"/>
      <sheetName val="AURORAREVENUE1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Current Trends - All Generic</v>
          </cell>
        </row>
        <row r="2">
          <cell r="A2" t="str">
            <v>PSM 20-1 2009 IRP Update A Cnstrd No DSR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Capacity Calculation"/>
      <sheetName val="To Tableau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Chart1"/>
      <sheetName val="Biomass"/>
      <sheetName val="Batteries"/>
      <sheetName val="Solar"/>
      <sheetName val="Wind"/>
      <sheetName val="MT Wind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K8">
            <v>228</v>
          </cell>
        </row>
        <row r="24">
          <cell r="O24">
            <v>7.7700000000000005E-2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0260767-E1DF-4391-93AB-3341F9CD62B2}" diskRevisions="1" revisionId="102" version="4">
  <header guid="{1C0798E4-F12C-471B-8CF6-FD42B7229017}" dateTime="2021-11-23T12:02:55" maxSheetId="20" userName="Cass, Mei" r:id="rId3" minRId="63" maxRId="7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0260767-E1DF-4391-93AB-3341F9CD62B2}" dateTime="2022-01-13T17:01:17" maxSheetId="20" userName="Luera de Meyers, Camille" r:id="rId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" sId="1">
    <oc r="B35" t="inlineStr">
      <is>
        <t>Column N and O are the present value and the cumulative present value respectively  of the energy that is used to calculated the levelized cost in column P.</t>
      </is>
    </oc>
    <nc r="B35" t="inlineStr">
      <is>
        <t>Columns N and O are the present value and the cumulative present value respectively of the energy that is used to calculated the levelized cost in column P.</t>
      </is>
    </nc>
  </rcc>
  <rcc rId="64" sId="1" quotePrefix="1">
    <oc r="B9" t="inlineStr">
      <is>
        <t xml:space="preserve"> Basis for assumptions in this table is PSE's 2021 IRP</t>
      </is>
    </oc>
    <nc r="B9" t="inlineStr">
      <is>
        <t>Basis for assumptions in this table is PSE's 2021 IRP</t>
      </is>
    </nc>
  </rcc>
  <rcc rId="65" sId="1">
    <oc r="A5" t="inlineStr">
      <is>
        <t>1.  Updated TAB [Energy Prices].</t>
      </is>
    </oc>
    <nc r="A5" t="inlineStr">
      <is>
        <t>1.  Updated TAB [Energy Prices]</t>
      </is>
    </nc>
  </rcc>
  <rcc rId="66" sId="1">
    <oc r="B18" t="inlineStr">
      <is>
        <t>Note:  Was not changed for this update since the same approved GRC was in Effect</t>
      </is>
    </oc>
    <nc r="B18" t="inlineStr">
      <is>
        <t>Note:  There is no change for this update since the same approved GRC cost of captial has been effective for both 2020 and 2021 updates.</t>
      </is>
    </nc>
  </rcc>
  <rcmt sheetId="1" cell="C23" guid="{00000000-0000-0000-0000-000000000000}" action="delete" author="Williams, Bob"/>
  <rcc rId="67" sId="1">
    <oc r="A40" t="inlineStr">
      <is>
        <t>7. The output TABS indicates the avoided cost for  baseload,  solar and wind  varied by number of years  5, 10 and 15</t>
      </is>
    </oc>
    <nc r="A40" t="inlineStr">
      <is>
        <t>7. The output TABS indicate the avoided costs for baseload, solar and wind varied by number of years --  5, 10 and 15.</t>
      </is>
    </nc>
  </rcc>
  <rcc rId="68" sId="1">
    <oc r="A46" t="inlineStr">
      <is>
        <t>8.  [Output Summary] TAB summarizes the results  from each of the sensitivities.</t>
      </is>
    </oc>
    <nc r="A46" t="inlineStr">
      <is>
        <t>8.  [Output Summary] TAB summarizes the results from the proposed filing and the prior UTC approved filing.</t>
      </is>
    </nc>
  </rcc>
  <rcc rId="69" sId="1">
    <oc r="A21" t="inlineStr">
      <is>
        <t>4. Update the Avoided cost tabs for:[Baseload Avoided Capacity Calcs], [Wind Avoided Cost Calcs], and [Solar Avoided Cost Calcs]</t>
      </is>
    </oc>
    <nc r="A21" t="inlineStr">
      <is>
        <t>4. Update the Avoided capacity cost tabs for:[Baseload Avoided Capacity Calcs], [Wind Avoided Cost Calcs], and [Solar Avoided Cost Calcs]</t>
      </is>
    </nc>
  </rcc>
  <rcc rId="70" sId="1">
    <nc r="D23" t="inlineStr">
      <is>
        <t>Not applicable for output delivery to PSE's tranmission system</t>
      </is>
    </nc>
  </rcc>
  <rcc rId="71" sId="1">
    <oc r="D26" t="inlineStr">
      <is>
        <t>Standard inflation rate</t>
      </is>
    </oc>
    <nc r="D26" t="inlineStr">
      <is>
        <t>Inflation rate</t>
      </is>
    </nc>
  </rcc>
  <rfmt sheetId="11" sqref="D4">
    <dxf>
      <fill>
        <patternFill patternType="none">
          <bgColor auto="1"/>
        </patternFill>
      </fill>
    </dxf>
  </rfmt>
  <rfmt sheetId="12" sqref="E6">
    <dxf>
      <fill>
        <patternFill patternType="none">
          <bgColor auto="1"/>
        </patternFill>
      </fill>
    </dxf>
  </rfmt>
  <rfmt sheetId="13" sqref="E7">
    <dxf>
      <fill>
        <patternFill patternType="none">
          <bgColor auto="1"/>
        </patternFill>
      </fill>
    </dxf>
  </rfmt>
  <rcc rId="72" sId="14" numFmtId="14">
    <oc r="E9">
      <v>2.5000000000000001E-2</v>
    </oc>
    <nc r="E9">
      <f>+'Baseload Avoided Capacity Calcs'!E9</f>
    </nc>
  </rcc>
  <rcc rId="73" sId="15" numFmtId="14">
    <oc r="E9">
      <v>2.5000000000000001E-2</v>
    </oc>
    <nc r="E9">
      <f>+'Baseload Avoided Capacity Calcs'!E9</f>
    </nc>
  </rcc>
  <rcc rId="74" sId="13" numFmtId="14">
    <oc r="E9">
      <v>2.5000000000000001E-2</v>
    </oc>
    <nc r="E9">
      <f>+FlatLoadShapeEnergy_perMWh!E8</f>
    </nc>
  </rcc>
  <rfmt sheetId="13" sqref="E9">
    <dxf>
      <fill>
        <patternFill patternType="none">
          <bgColor auto="1"/>
        </patternFill>
      </fill>
    </dxf>
  </rfmt>
  <rcv guid="{187E4F87-D02E-4E96-857A-1064DDCF8EA8}" action="delete"/>
  <rdn rId="0" localSheetId="3" customView="1" name="Z_187E4F87_D02E_4E96_857A_1064DDCF8EA8_.wvu.PrintArea" hidden="1" oldHidden="1">
    <formula>'Output - Summary'!$B$2:$AB$9</formula>
    <oldFormula>'Output - Summary'!$B$2:$AB$9</oldFormula>
  </rdn>
  <rdn rId="0" localSheetId="4" customView="1" name="Z_187E4F87_D02E_4E96_857A_1064DDCF8EA8_.wvu.PrintArea" hidden="1" oldHidden="1">
    <formula>'Output - 5yr Baseload'!$B$2:$AC$35</formula>
    <oldFormula>'Output - 5yr Baseload'!$B$2:$AC$35</oldFormula>
  </rdn>
  <rdn rId="0" localSheetId="5" customView="1" name="Z_187E4F87_D02E_4E96_857A_1064DDCF8EA8_.wvu.PrintArea" hidden="1" oldHidden="1">
    <formula>'Output - 10yr Baseload'!$B$2:$AC$35</formula>
    <oldFormula>'Output - 10yr Baseload'!$B$2:$AC$35</oldFormula>
  </rdn>
  <rdn rId="0" localSheetId="6" customView="1" name="Z_187E4F87_D02E_4E96_857A_1064DDCF8EA8_.wvu.PrintArea" hidden="1" oldHidden="1">
    <formula>'Output - 15yr Baseload'!$B$2:$AD$35</formula>
    <oldFormula>'Output - 15yr Baseload'!$B$2:$AD$35</oldFormula>
  </rdn>
  <rdn rId="0" localSheetId="7" customView="1" name="Z_187E4F87_D02E_4E96_857A_1064DDCF8EA8_.wvu.PrintArea" hidden="1" oldHidden="1">
    <formula>'Output - 10yr Wind'!$B$2:$AC$35</formula>
    <oldFormula>'Output - 10yr Wind'!$B$2:$AC$35</oldFormula>
  </rdn>
  <rdn rId="0" localSheetId="8" customView="1" name="Z_187E4F87_D02E_4E96_857A_1064DDCF8EA8_.wvu.PrintArea" hidden="1" oldHidden="1">
    <formula>'Output - 15yr Wind'!$B$2:$AD$35</formula>
    <oldFormula>'Output - 15yr Wind'!$B$2:$AD$35</oldFormula>
  </rdn>
  <rdn rId="0" localSheetId="9" customView="1" name="Z_187E4F87_D02E_4E96_857A_1064DDCF8EA8_.wvu.PrintArea" hidden="1" oldHidden="1">
    <formula>'Output - 10yr Solar'!$B$2:$AC$35</formula>
    <oldFormula>'Output - 10yr Solar'!$B$2:$AC$35</oldFormula>
  </rdn>
  <rdn rId="0" localSheetId="10" customView="1" name="Z_187E4F87_D02E_4E96_857A_1064DDCF8EA8_.wvu.PrintArea" hidden="1" oldHidden="1">
    <formula>'Output - 15yr Solar'!$B$2:$AD$35</formula>
    <oldFormula>'Output - 15yr Solar'!$B$2:$AD$35</oldFormula>
  </rdn>
  <rdn rId="0" localSheetId="11" customView="1" name="Z_187E4F87_D02E_4E96_857A_1064DDCF8EA8_.wvu.PrintArea" hidden="1" oldHidden="1">
    <formula>'Electric EES CE Std Energy'!$B$2:$F$29</formula>
    <oldFormula>'Electric EES CE Std Energy'!$B$2:$F$29</oldFormula>
  </rdn>
  <rdn rId="0" localSheetId="12" customView="1" name="Z_187E4F87_D02E_4E96_857A_1064DDCF8EA8_.wvu.PrintArea" hidden="1" oldHidden="1">
    <formula>FlatLoadShapeEnergy_perMWh!$B$4:$P$33</formula>
    <oldFormula>FlatLoadShapeEnergy_perMWh!$B$4:$P$33</oldFormula>
  </rdn>
  <rdn rId="0" localSheetId="13" customView="1" name="Z_187E4F87_D02E_4E96_857A_1064DDCF8EA8_.wvu.PrintArea" hidden="1" oldHidden="1">
    <formula>'Baseload Avoided Capacity Calcs'!$B$4:$L$29</formula>
    <oldFormula>'Baseload Avoided Capacity Calcs'!$B$4:$L$29</oldFormula>
  </rdn>
  <rdn rId="0" localSheetId="14" customView="1" name="Z_187E4F87_D02E_4E96_857A_1064DDCF8EA8_.wvu.PrintArea" hidden="1" oldHidden="1">
    <formula>'Wind Avoided Capacity Calcs'!$B$4:$L$29</formula>
    <oldFormula>'Wind Avoided Capacity Calcs'!$B$4:$L$29</oldFormula>
  </rdn>
  <rdn rId="0" localSheetId="15" customView="1" name="Z_187E4F87_D02E_4E96_857A_1064DDCF8EA8_.wvu.PrintArea" hidden="1" oldHidden="1">
    <formula>'Solar Avoided Capacity Calcs'!$B$4:$L$29</formula>
    <oldFormula>'Solar Avoided Capacity Calcs'!$B$4:$L$29</oldFormula>
  </rdn>
  <rdn rId="0" localSheetId="18" customView="1" name="Z_187E4F87_D02E_4E96_857A_1064DDCF8EA8_.wvu.PrintArea" hidden="1" oldHidden="1">
    <formula>'Capacity Delivered'!$B$3:$S$28</formula>
    <oldFormula>'Capacity Delivered'!$B$3:$S$28</oldFormula>
  </rdn>
  <rcv guid="{187E4F87-D02E-4E96-857A-1064DDCF8EA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3" customView="1" name="Z_7616AFB9_3DAD_45EA_BAD3_1A4EF1124EEE_.wvu.PrintArea" hidden="1" oldHidden="1">
    <formula>'Output - Summary'!$B$2:$AB$9</formula>
  </rdn>
  <rdn rId="0" localSheetId="4" customView="1" name="Z_7616AFB9_3DAD_45EA_BAD3_1A4EF1124EEE_.wvu.PrintArea" hidden="1" oldHidden="1">
    <formula>'Output - 5yr Baseload'!$B$2:$AC$35</formula>
  </rdn>
  <rdn rId="0" localSheetId="5" customView="1" name="Z_7616AFB9_3DAD_45EA_BAD3_1A4EF1124EEE_.wvu.PrintArea" hidden="1" oldHidden="1">
    <formula>'Output - 10yr Baseload'!$B$2:$AC$35</formula>
  </rdn>
  <rdn rId="0" localSheetId="6" customView="1" name="Z_7616AFB9_3DAD_45EA_BAD3_1A4EF1124EEE_.wvu.PrintArea" hidden="1" oldHidden="1">
    <formula>'Output - 15yr Baseload'!$B$2:$AD$35</formula>
  </rdn>
  <rdn rId="0" localSheetId="7" customView="1" name="Z_7616AFB9_3DAD_45EA_BAD3_1A4EF1124EEE_.wvu.PrintArea" hidden="1" oldHidden="1">
    <formula>'Output - 10yr Wind'!$B$2:$AC$35</formula>
  </rdn>
  <rdn rId="0" localSheetId="8" customView="1" name="Z_7616AFB9_3DAD_45EA_BAD3_1A4EF1124EEE_.wvu.PrintArea" hidden="1" oldHidden="1">
    <formula>'Output - 15yr Wind'!$B$2:$AD$35</formula>
  </rdn>
  <rdn rId="0" localSheetId="9" customView="1" name="Z_7616AFB9_3DAD_45EA_BAD3_1A4EF1124EEE_.wvu.PrintArea" hidden="1" oldHidden="1">
    <formula>'Output - 10yr Solar'!$B$2:$AC$35</formula>
  </rdn>
  <rdn rId="0" localSheetId="10" customView="1" name="Z_7616AFB9_3DAD_45EA_BAD3_1A4EF1124EEE_.wvu.PrintArea" hidden="1" oldHidden="1">
    <formula>'Output - 15yr Solar'!$B$2:$AD$35</formula>
  </rdn>
  <rdn rId="0" localSheetId="11" customView="1" name="Z_7616AFB9_3DAD_45EA_BAD3_1A4EF1124EEE_.wvu.PrintArea" hidden="1" oldHidden="1">
    <formula>'Electric EES CE Std Energy'!$B$2:$F$29</formula>
  </rdn>
  <rdn rId="0" localSheetId="12" customView="1" name="Z_7616AFB9_3DAD_45EA_BAD3_1A4EF1124EEE_.wvu.PrintArea" hidden="1" oldHidden="1">
    <formula>FlatLoadShapeEnergy_perMWh!$B$4:$P$33</formula>
  </rdn>
  <rdn rId="0" localSheetId="13" customView="1" name="Z_7616AFB9_3DAD_45EA_BAD3_1A4EF1124EEE_.wvu.PrintArea" hidden="1" oldHidden="1">
    <formula>'Baseload Avoided Capacity Calcs'!$B$4:$L$29</formula>
  </rdn>
  <rdn rId="0" localSheetId="14" customView="1" name="Z_7616AFB9_3DAD_45EA_BAD3_1A4EF1124EEE_.wvu.PrintArea" hidden="1" oldHidden="1">
    <formula>'Wind Avoided Capacity Calcs'!$B$4:$L$29</formula>
  </rdn>
  <rdn rId="0" localSheetId="15" customView="1" name="Z_7616AFB9_3DAD_45EA_BAD3_1A4EF1124EEE_.wvu.PrintArea" hidden="1" oldHidden="1">
    <formula>'Solar Avoided Capacity Calcs'!$B$4:$L$29</formula>
  </rdn>
  <rdn rId="0" localSheetId="18" customView="1" name="Z_7616AFB9_3DAD_45EA_BAD3_1A4EF1124EEE_.wvu.PrintArea" hidden="1" oldHidden="1">
    <formula>'Capacity Delivered'!$B$3:$S$28</formula>
  </rdn>
  <rcv guid="{7616AFB9-3DAD-45EA-BAD3-1A4EF1124EE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1C0798E4-F12C-471B-8CF6-FD42B7229017}" name="Cass, Mei" id="-672592296" dateTime="2021-11-23T11:02:43"/>
  <userInfo guid="{80260767-E1DF-4391-93AB-3341F9CD62B2}" name="Gibbs, Duncan" id="-2127619587" dateTime="2022-01-24T12:19:3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customProperty" Target="../customProperty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customProperty" Target="../customProperty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customProperty" Target="../customProperty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customProperty" Target="../customProperty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customProperty" Target="../customProperty8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customProperty" Target="../customProperty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4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customProperty" Target="../customProperty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customProperty" Target="../customProperty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6"/>
  <sheetViews>
    <sheetView workbookViewId="0">
      <selection activeCell="C26" sqref="C26"/>
    </sheetView>
  </sheetViews>
  <sheetFormatPr defaultColWidth="9.140625" defaultRowHeight="15" x14ac:dyDescent="0.2"/>
  <cols>
    <col min="1" max="1" width="14.140625" style="53" customWidth="1"/>
    <col min="2" max="2" width="41" style="53" customWidth="1"/>
    <col min="3" max="3" width="16.28515625" style="53" customWidth="1"/>
    <col min="4" max="4" width="13.42578125" style="53" customWidth="1"/>
    <col min="5" max="5" width="12.42578125" style="53" customWidth="1"/>
    <col min="6" max="16384" width="9.140625" style="53"/>
  </cols>
  <sheetData>
    <row r="3" spans="1:19" x14ac:dyDescent="0.2">
      <c r="A3" s="53" t="s">
        <v>131</v>
      </c>
    </row>
    <row r="5" spans="1:19" x14ac:dyDescent="0.2">
      <c r="A5" s="53" t="s">
        <v>169</v>
      </c>
    </row>
    <row r="6" spans="1:19" ht="76.5" customHeight="1" x14ac:dyDescent="0.2">
      <c r="B6" s="353" t="s">
        <v>121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</row>
    <row r="8" spans="1:19" x14ac:dyDescent="0.2">
      <c r="A8" s="53" t="s">
        <v>153</v>
      </c>
    </row>
    <row r="9" spans="1:19" x14ac:dyDescent="0.2">
      <c r="B9" s="354" t="s">
        <v>168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43"/>
    </row>
    <row r="10" spans="1:19" x14ac:dyDescent="0.2">
      <c r="B10" s="355" t="s">
        <v>132</v>
      </c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44"/>
    </row>
    <row r="11" spans="1:19" x14ac:dyDescent="0.2">
      <c r="B11" s="345" t="s">
        <v>133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</row>
    <row r="12" spans="1:19" x14ac:dyDescent="0.2">
      <c r="B12" s="356" t="s">
        <v>134</v>
      </c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</row>
    <row r="13" spans="1:19" x14ac:dyDescent="0.2">
      <c r="B13" s="346" t="s">
        <v>135</v>
      </c>
      <c r="C13" s="347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4"/>
    </row>
    <row r="14" spans="1:19" x14ac:dyDescent="0.2">
      <c r="B14" s="346" t="s">
        <v>136</v>
      </c>
      <c r="C14" s="349"/>
      <c r="D14" s="344"/>
      <c r="F14" s="344"/>
      <c r="G14" s="344"/>
      <c r="H14" s="344"/>
      <c r="J14" s="344"/>
      <c r="K14" s="344"/>
      <c r="M14" s="344"/>
      <c r="N14" s="344"/>
      <c r="O14" s="344"/>
      <c r="P14" s="344"/>
      <c r="Q14" s="344"/>
      <c r="R14" s="344"/>
    </row>
    <row r="16" spans="1:19" x14ac:dyDescent="0.2">
      <c r="A16" s="53" t="s">
        <v>137</v>
      </c>
    </row>
    <row r="17" spans="1:4" x14ac:dyDescent="0.2">
      <c r="B17" s="53" t="s">
        <v>138</v>
      </c>
    </row>
    <row r="18" spans="1:4" x14ac:dyDescent="0.2">
      <c r="B18" s="53" t="s">
        <v>170</v>
      </c>
    </row>
    <row r="21" spans="1:4" x14ac:dyDescent="0.2">
      <c r="A21" s="53" t="s">
        <v>173</v>
      </c>
    </row>
    <row r="23" spans="1:4" ht="15.75" x14ac:dyDescent="0.25">
      <c r="B23" s="328" t="s">
        <v>129</v>
      </c>
      <c r="C23" s="342">
        <v>0</v>
      </c>
      <c r="D23" s="53" t="s">
        <v>174</v>
      </c>
    </row>
    <row r="24" spans="1:4" ht="15.75" x14ac:dyDescent="0.25">
      <c r="B24" s="329" t="s">
        <v>127</v>
      </c>
      <c r="C24" s="46">
        <v>0</v>
      </c>
      <c r="D24" s="53" t="s">
        <v>163</v>
      </c>
    </row>
    <row r="25" spans="1:4" ht="15.75" x14ac:dyDescent="0.25">
      <c r="B25" s="329" t="s">
        <v>46</v>
      </c>
      <c r="C25" s="46">
        <f>Rate_of_Return</f>
        <v>7.3899999999999993E-2</v>
      </c>
      <c r="D25" s="53" t="s">
        <v>139</v>
      </c>
    </row>
    <row r="26" spans="1:4" ht="15.75" x14ac:dyDescent="0.25">
      <c r="B26" s="329" t="s">
        <v>47</v>
      </c>
      <c r="C26" s="46">
        <v>2.5000000000000001E-2</v>
      </c>
      <c r="D26" s="53" t="s">
        <v>175</v>
      </c>
    </row>
    <row r="28" spans="1:4" x14ac:dyDescent="0.2">
      <c r="B28" s="53" t="s">
        <v>154</v>
      </c>
    </row>
    <row r="29" spans="1:4" x14ac:dyDescent="0.2">
      <c r="B29" s="53" t="s">
        <v>164</v>
      </c>
    </row>
    <row r="30" spans="1:4" x14ac:dyDescent="0.2">
      <c r="B30" s="53" t="s">
        <v>155</v>
      </c>
    </row>
    <row r="32" spans="1:4" x14ac:dyDescent="0.2">
      <c r="A32" s="53" t="s">
        <v>140</v>
      </c>
    </row>
    <row r="33" spans="1:2" x14ac:dyDescent="0.2">
      <c r="B33" s="53" t="s">
        <v>156</v>
      </c>
    </row>
    <row r="34" spans="1:2" x14ac:dyDescent="0.2">
      <c r="B34" s="53" t="s">
        <v>157</v>
      </c>
    </row>
    <row r="35" spans="1:2" x14ac:dyDescent="0.2">
      <c r="B35" s="53" t="s">
        <v>167</v>
      </c>
    </row>
    <row r="37" spans="1:2" x14ac:dyDescent="0.2">
      <c r="A37" s="53" t="s">
        <v>158</v>
      </c>
    </row>
    <row r="38" spans="1:2" x14ac:dyDescent="0.2">
      <c r="B38" s="53" t="s">
        <v>141</v>
      </c>
    </row>
    <row r="40" spans="1:2" x14ac:dyDescent="0.2">
      <c r="A40" s="53" t="s">
        <v>171</v>
      </c>
    </row>
    <row r="41" spans="1:2" x14ac:dyDescent="0.2">
      <c r="B41" s="53" t="s">
        <v>159</v>
      </c>
    </row>
    <row r="42" spans="1:2" x14ac:dyDescent="0.2">
      <c r="B42" s="53" t="s">
        <v>165</v>
      </c>
    </row>
    <row r="43" spans="1:2" x14ac:dyDescent="0.2">
      <c r="B43" s="53" t="s">
        <v>160</v>
      </c>
    </row>
    <row r="44" spans="1:2" x14ac:dyDescent="0.2">
      <c r="B44" s="53" t="s">
        <v>161</v>
      </c>
    </row>
    <row r="46" spans="1:2" x14ac:dyDescent="0.2">
      <c r="A46" s="53" t="s">
        <v>172</v>
      </c>
    </row>
  </sheetData>
  <customSheetViews>
    <customSheetView guid="{7616AFB9-3DAD-45EA-BAD3-1A4EF1124EEE}">
      <selection activeCell="C26" sqref="C26"/>
      <pageMargins left="0.7" right="0.7" top="0.75" bottom="0.75" header="0.3" footer="0.3"/>
      <pageSetup orientation="portrait" r:id="rId1"/>
    </customSheetView>
    <customSheetView guid="{187E4F87-D02E-4E96-857A-1064DDCF8EA8}" topLeftCell="A10">
      <selection activeCell="C26" sqref="C26"/>
      <pageMargins left="0.7" right="0.7" top="0.75" bottom="0.75" header="0.3" footer="0.3"/>
      <pageSetup orientation="portrait" r:id="rId2"/>
    </customSheetView>
  </customSheetViews>
  <mergeCells count="4">
    <mergeCell ref="B6:P6"/>
    <mergeCell ref="B9:R9"/>
    <mergeCell ref="B10:Q10"/>
    <mergeCell ref="B12:R12"/>
  </mergeCell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2:AE40"/>
  <sheetViews>
    <sheetView topLeftCell="B7" workbookViewId="0">
      <selection activeCell="C30" sqref="C30"/>
    </sheetView>
  </sheetViews>
  <sheetFormatPr defaultColWidth="9.140625" defaultRowHeight="15" x14ac:dyDescent="0.2"/>
  <cols>
    <col min="1" max="1" width="2.7109375" style="53" customWidth="1"/>
    <col min="2" max="2" width="5" style="53" customWidth="1"/>
    <col min="3" max="3" width="46.7109375" style="53" customWidth="1"/>
    <col min="4" max="4" width="2.7109375" style="53" customWidth="1"/>
    <col min="5" max="22" width="12.7109375" style="53" customWidth="1"/>
    <col min="23" max="23" width="2.7109375" style="53" customWidth="1"/>
    <col min="24" max="25" width="12.7109375" style="53" customWidth="1"/>
    <col min="26" max="30" width="12.28515625" style="53" customWidth="1"/>
    <col min="31" max="16384" width="9.140625" style="53"/>
  </cols>
  <sheetData>
    <row r="2" spans="2:31" ht="19.5" customHeight="1" x14ac:dyDescent="0.25">
      <c r="C2" s="209" t="s">
        <v>84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31" ht="15.75" x14ac:dyDescent="0.25">
      <c r="C3" s="42" t="s">
        <v>44</v>
      </c>
    </row>
    <row r="4" spans="2:31" s="111" customFormat="1" ht="45" x14ac:dyDescent="0.2">
      <c r="B4" s="110"/>
      <c r="C4" s="145" t="s">
        <v>0</v>
      </c>
      <c r="D4" s="145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5</v>
      </c>
      <c r="J4" s="145" t="s">
        <v>6</v>
      </c>
      <c r="K4" s="145" t="s">
        <v>7</v>
      </c>
      <c r="L4" s="146" t="s">
        <v>14</v>
      </c>
      <c r="M4" s="146"/>
    </row>
    <row r="5" spans="2:31" x14ac:dyDescent="0.2">
      <c r="C5" s="148"/>
      <c r="D5" s="149"/>
      <c r="E5" s="150">
        <v>15</v>
      </c>
      <c r="F5" s="266">
        <f>+'Capacity Delivered'!$I$5</f>
        <v>0.04</v>
      </c>
      <c r="G5" s="151" t="s">
        <v>8</v>
      </c>
      <c r="H5" s="152">
        <f>'Electric EES CE Std Energy'!D23</f>
        <v>2.2949093496230016E-2</v>
      </c>
      <c r="I5" s="153">
        <f>'Solar Avoided Capacity Calcs'!Y21</f>
        <v>1.7927034879344859E-3</v>
      </c>
      <c r="J5" s="153">
        <f>H5+I5</f>
        <v>2.4741796984164503E-2</v>
      </c>
      <c r="K5" s="154">
        <f>J5</f>
        <v>2.4741796984164503E-2</v>
      </c>
      <c r="L5" s="155">
        <f>K5*1000</f>
        <v>24.741796984164502</v>
      </c>
      <c r="M5" s="139"/>
    </row>
    <row r="6" spans="2:31" x14ac:dyDescent="0.2">
      <c r="C6" s="147"/>
      <c r="D6" s="147"/>
      <c r="E6" s="114"/>
      <c r="F6" s="114"/>
      <c r="G6" s="114"/>
      <c r="H6" s="32">
        <f>H5*1000</f>
        <v>22.949093496230017</v>
      </c>
      <c r="I6" s="32">
        <f t="shared" ref="I6:K6" si="0">I5*1000</f>
        <v>1.7927034879344859</v>
      </c>
      <c r="J6" s="32">
        <f t="shared" si="0"/>
        <v>24.741796984164502</v>
      </c>
      <c r="K6" s="32">
        <f t="shared" si="0"/>
        <v>24.741796984164502</v>
      </c>
      <c r="L6" s="116">
        <f>L5*(1-M6)</f>
        <v>23.999543074639565</v>
      </c>
      <c r="M6" s="221">
        <v>0.03</v>
      </c>
      <c r="N6" s="117" t="s">
        <v>37</v>
      </c>
    </row>
    <row r="7" spans="2:31" x14ac:dyDescent="0.2">
      <c r="C7" s="118"/>
      <c r="D7" s="115"/>
      <c r="H7" s="40"/>
      <c r="I7" s="113"/>
      <c r="J7" s="40"/>
      <c r="K7" s="113"/>
      <c r="L7" s="113"/>
      <c r="M7" s="114"/>
    </row>
    <row r="8" spans="2:31" x14ac:dyDescent="0.2">
      <c r="C8" s="114"/>
      <c r="D8" s="114"/>
      <c r="E8" s="114"/>
      <c r="F8" s="114"/>
      <c r="G8" s="114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/>
      <c r="V8" s="120"/>
      <c r="W8" s="120"/>
      <c r="X8" s="199" t="s">
        <v>74</v>
      </c>
      <c r="Y8" s="120"/>
      <c r="Z8" s="120"/>
      <c r="AA8" s="120"/>
    </row>
    <row r="9" spans="2:31" x14ac:dyDescent="0.2">
      <c r="C9" s="121" t="s">
        <v>9</v>
      </c>
      <c r="D9" s="121"/>
      <c r="E9" s="121"/>
      <c r="F9" s="122">
        <f>+L6</f>
        <v>23.999543074639565</v>
      </c>
      <c r="G9" s="122">
        <f t="shared" ref="G9:T9" si="1">F9</f>
        <v>23.999543074639565</v>
      </c>
      <c r="H9" s="122">
        <f t="shared" si="1"/>
        <v>23.999543074639565</v>
      </c>
      <c r="I9" s="122">
        <f t="shared" si="1"/>
        <v>23.999543074639565</v>
      </c>
      <c r="J9" s="122">
        <f t="shared" si="1"/>
        <v>23.999543074639565</v>
      </c>
      <c r="K9" s="122">
        <f t="shared" si="1"/>
        <v>23.999543074639565</v>
      </c>
      <c r="L9" s="122">
        <f t="shared" si="1"/>
        <v>23.999543074639565</v>
      </c>
      <c r="M9" s="122">
        <f t="shared" si="1"/>
        <v>23.999543074639565</v>
      </c>
      <c r="N9" s="122">
        <f t="shared" si="1"/>
        <v>23.999543074639565</v>
      </c>
      <c r="O9" s="122">
        <f t="shared" si="1"/>
        <v>23.999543074639565</v>
      </c>
      <c r="P9" s="122">
        <f t="shared" si="1"/>
        <v>23.999543074639565</v>
      </c>
      <c r="Q9" s="122">
        <f t="shared" si="1"/>
        <v>23.999543074639565</v>
      </c>
      <c r="R9" s="122">
        <f t="shared" si="1"/>
        <v>23.999543074639565</v>
      </c>
      <c r="S9" s="122">
        <f t="shared" si="1"/>
        <v>23.999543074639565</v>
      </c>
      <c r="T9" s="122">
        <f t="shared" si="1"/>
        <v>23.999543074639565</v>
      </c>
      <c r="U9" s="40"/>
      <c r="V9" s="40"/>
      <c r="W9" s="40"/>
      <c r="X9" s="198">
        <f>NPV(Rate_of_Return,F9:T9)</f>
        <v>213.30166581666475</v>
      </c>
      <c r="Y9" s="198">
        <f>-PMT(Rate_of_Return,15,X9)</f>
        <v>23.999543074639554</v>
      </c>
      <c r="Z9" s="40"/>
      <c r="AA9" s="40"/>
    </row>
    <row r="10" spans="2:31" x14ac:dyDescent="0.2">
      <c r="C10" s="114"/>
      <c r="D10" s="114"/>
      <c r="E10" s="114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40"/>
      <c r="V10" s="40"/>
      <c r="W10" s="40"/>
      <c r="X10" s="32"/>
      <c r="Y10" s="32"/>
      <c r="Z10" s="40"/>
      <c r="AA10" s="40"/>
    </row>
    <row r="11" spans="2:31" x14ac:dyDescent="0.2">
      <c r="C11" s="53" t="s">
        <v>56</v>
      </c>
      <c r="F11" s="204">
        <v>1</v>
      </c>
      <c r="G11" s="204">
        <v>2</v>
      </c>
      <c r="H11" s="204">
        <v>3</v>
      </c>
      <c r="I11" s="204">
        <v>4</v>
      </c>
      <c r="J11" s="204">
        <v>5</v>
      </c>
      <c r="K11" s="204">
        <v>6</v>
      </c>
      <c r="L11" s="204">
        <v>7</v>
      </c>
      <c r="M11" s="204">
        <v>8</v>
      </c>
      <c r="N11" s="204">
        <v>9</v>
      </c>
      <c r="O11" s="204">
        <v>10</v>
      </c>
      <c r="P11" s="204">
        <v>11</v>
      </c>
      <c r="Q11" s="204">
        <v>12</v>
      </c>
      <c r="R11" s="204">
        <v>13</v>
      </c>
      <c r="S11" s="204">
        <v>14</v>
      </c>
      <c r="T11" s="204">
        <v>15</v>
      </c>
      <c r="U11" s="204">
        <v>16</v>
      </c>
      <c r="V11" s="204">
        <v>17</v>
      </c>
      <c r="W11" s="40"/>
      <c r="X11" s="40"/>
      <c r="Y11" s="40"/>
      <c r="Z11" s="40"/>
      <c r="AA11" s="40"/>
    </row>
    <row r="12" spans="2:31" x14ac:dyDescent="0.2">
      <c r="C12" s="114"/>
      <c r="D12" s="112"/>
      <c r="E12" s="114"/>
      <c r="F12" s="124">
        <f>'Energy Prices'!$C$6</f>
        <v>2021</v>
      </c>
      <c r="G12" s="124">
        <f>F12+1</f>
        <v>2022</v>
      </c>
      <c r="H12" s="124">
        <f>G12+1</f>
        <v>2023</v>
      </c>
      <c r="I12" s="124">
        <f t="shared" ref="I12:T12" si="2">H12+1</f>
        <v>2024</v>
      </c>
      <c r="J12" s="124">
        <f t="shared" si="2"/>
        <v>2025</v>
      </c>
      <c r="K12" s="124">
        <f t="shared" si="2"/>
        <v>2026</v>
      </c>
      <c r="L12" s="124">
        <f t="shared" si="2"/>
        <v>2027</v>
      </c>
      <c r="M12" s="124">
        <f t="shared" si="2"/>
        <v>2028</v>
      </c>
      <c r="N12" s="124">
        <f t="shared" si="2"/>
        <v>2029</v>
      </c>
      <c r="O12" s="124">
        <f t="shared" si="2"/>
        <v>2030</v>
      </c>
      <c r="P12" s="124">
        <f t="shared" si="2"/>
        <v>2031</v>
      </c>
      <c r="Q12" s="124">
        <f t="shared" si="2"/>
        <v>2032</v>
      </c>
      <c r="R12" s="124">
        <f t="shared" si="2"/>
        <v>2033</v>
      </c>
      <c r="S12" s="124">
        <f t="shared" si="2"/>
        <v>2034</v>
      </c>
      <c r="T12" s="124">
        <f t="shared" si="2"/>
        <v>2035</v>
      </c>
      <c r="U12" s="124">
        <f>T12+1</f>
        <v>2036</v>
      </c>
      <c r="V12" s="124">
        <f>U12+1</f>
        <v>2037</v>
      </c>
      <c r="W12" s="202"/>
      <c r="X12" s="199" t="s">
        <v>74</v>
      </c>
      <c r="Y12" s="32"/>
      <c r="Z12" s="120"/>
      <c r="AA12" s="120"/>
    </row>
    <row r="13" spans="2:31" ht="52.9" customHeight="1" x14ac:dyDescent="0.2">
      <c r="B13" s="114"/>
      <c r="C13" s="205" t="s">
        <v>78</v>
      </c>
      <c r="D13" s="114"/>
      <c r="F13" s="156">
        <f t="shared" ref="F13:T13" si="3">F$9*F$20</f>
        <v>20.738558101984992</v>
      </c>
      <c r="G13" s="157">
        <f>G$9*G$20</f>
        <v>21.257022054534612</v>
      </c>
      <c r="H13" s="158">
        <f t="shared" si="3"/>
        <v>21.788447605897975</v>
      </c>
      <c r="I13" s="158">
        <f t="shared" si="3"/>
        <v>22.333158796045424</v>
      </c>
      <c r="J13" s="158">
        <f t="shared" si="3"/>
        <v>22.891487765946557</v>
      </c>
      <c r="K13" s="158">
        <f t="shared" si="3"/>
        <v>23.463774960095218</v>
      </c>
      <c r="L13" s="158">
        <f t="shared" si="3"/>
        <v>24.050369334097596</v>
      </c>
      <c r="M13" s="158">
        <f t="shared" si="3"/>
        <v>24.651628567450036</v>
      </c>
      <c r="N13" s="158">
        <f t="shared" si="3"/>
        <v>25.267919281636285</v>
      </c>
      <c r="O13" s="158">
        <f t="shared" si="3"/>
        <v>25.89961726367719</v>
      </c>
      <c r="P13" s="158">
        <f t="shared" si="3"/>
        <v>26.547107695269116</v>
      </c>
      <c r="Q13" s="158">
        <f t="shared" si="3"/>
        <v>27.210785387650837</v>
      </c>
      <c r="R13" s="158">
        <f t="shared" si="3"/>
        <v>27.891055022342108</v>
      </c>
      <c r="S13" s="158">
        <f t="shared" si="3"/>
        <v>28.588331397900657</v>
      </c>
      <c r="T13" s="158">
        <f t="shared" si="3"/>
        <v>29.303039682848169</v>
      </c>
      <c r="U13" s="201">
        <f>T13*1.025</f>
        <v>30.03561567491937</v>
      </c>
      <c r="V13" s="201">
        <f>U13*1.025</f>
        <v>30.786506066792352</v>
      </c>
      <c r="W13" s="126"/>
      <c r="X13" s="198">
        <f>NPV(Rate_of_Return,F13:T13)</f>
        <v>213.30166581666487</v>
      </c>
      <c r="Y13" s="198">
        <f>-PMT(Rate_of_Return,15,X13)</f>
        <v>23.999543074639565</v>
      </c>
      <c r="Z13" s="126"/>
      <c r="AA13" s="126"/>
      <c r="AE13" s="127"/>
    </row>
    <row r="14" spans="2:31" x14ac:dyDescent="0.2">
      <c r="C14" s="125"/>
      <c r="E14" s="12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0"/>
      <c r="Y14" s="120"/>
      <c r="Z14" s="120"/>
      <c r="AA14" s="120"/>
    </row>
    <row r="15" spans="2:31" x14ac:dyDescent="0.2">
      <c r="C15" s="129"/>
      <c r="E15" s="128"/>
      <c r="F15" s="126"/>
      <c r="G15" s="208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0"/>
      <c r="Y15" s="120"/>
      <c r="Z15" s="120"/>
      <c r="AA15" s="120"/>
    </row>
    <row r="16" spans="2:31" x14ac:dyDescent="0.2">
      <c r="C16" s="53" t="s">
        <v>10</v>
      </c>
      <c r="Q16" s="120"/>
      <c r="R16" s="120"/>
    </row>
    <row r="17" spans="2:27" x14ac:dyDescent="0.2">
      <c r="Q17" s="120"/>
      <c r="R17" s="120"/>
    </row>
    <row r="18" spans="2:27" x14ac:dyDescent="0.2"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9"/>
      <c r="R18" s="119"/>
      <c r="S18" s="114"/>
      <c r="T18" s="114"/>
      <c r="X18" s="199" t="s">
        <v>74</v>
      </c>
      <c r="Y18" s="114"/>
    </row>
    <row r="19" spans="2:27" x14ac:dyDescent="0.2">
      <c r="C19" s="121" t="s">
        <v>11</v>
      </c>
      <c r="D19" s="121"/>
      <c r="E19" s="121"/>
      <c r="F19" s="140">
        <v>100</v>
      </c>
      <c r="G19" s="140">
        <f t="shared" ref="G19:T19" si="4">F19*1.025</f>
        <v>102.49999999999999</v>
      </c>
      <c r="H19" s="140">
        <f t="shared" si="4"/>
        <v>105.06249999999997</v>
      </c>
      <c r="I19" s="140">
        <f t="shared" si="4"/>
        <v>107.68906249999996</v>
      </c>
      <c r="J19" s="140">
        <f t="shared" si="4"/>
        <v>110.38128906249996</v>
      </c>
      <c r="K19" s="140">
        <f t="shared" si="4"/>
        <v>113.14082128906244</v>
      </c>
      <c r="L19" s="140">
        <f t="shared" si="4"/>
        <v>115.96934182128899</v>
      </c>
      <c r="M19" s="140">
        <f t="shared" si="4"/>
        <v>118.8685753668212</v>
      </c>
      <c r="N19" s="140">
        <f t="shared" si="4"/>
        <v>121.84028975099173</v>
      </c>
      <c r="O19" s="140">
        <f t="shared" si="4"/>
        <v>124.88629699476651</v>
      </c>
      <c r="P19" s="140">
        <f t="shared" si="4"/>
        <v>128.00845441963565</v>
      </c>
      <c r="Q19" s="140">
        <f t="shared" si="4"/>
        <v>131.20866578012652</v>
      </c>
      <c r="R19" s="140">
        <f t="shared" si="4"/>
        <v>134.48888242462968</v>
      </c>
      <c r="S19" s="140">
        <f t="shared" si="4"/>
        <v>137.8511044852454</v>
      </c>
      <c r="T19" s="140">
        <f t="shared" si="4"/>
        <v>141.29738209737653</v>
      </c>
      <c r="U19" s="130"/>
      <c r="V19" s="130"/>
      <c r="W19" s="130"/>
      <c r="X19" s="160">
        <f>NPV(Rate_of_Return,F19:T19)</f>
        <v>1028.5269822893265</v>
      </c>
      <c r="Y19" s="160">
        <f>-PMT(Rate_of_Return,15,X19)</f>
        <v>115.72426085081801</v>
      </c>
      <c r="Z19" s="120"/>
      <c r="AA19" s="120"/>
    </row>
    <row r="20" spans="2:27" x14ac:dyDescent="0.2">
      <c r="C20" s="143" t="s">
        <v>12</v>
      </c>
      <c r="D20" s="143"/>
      <c r="E20" s="143"/>
      <c r="F20" s="144">
        <f>F19/$Y$19</f>
        <v>0.86412303923817313</v>
      </c>
      <c r="G20" s="144">
        <f t="shared" ref="G20:T20" si="5">G19/$Y$19</f>
        <v>0.88572611521912736</v>
      </c>
      <c r="H20" s="144">
        <f t="shared" si="5"/>
        <v>0.90786926809960544</v>
      </c>
      <c r="I20" s="144">
        <f t="shared" si="5"/>
        <v>0.93056599980209553</v>
      </c>
      <c r="J20" s="144">
        <f t="shared" si="5"/>
        <v>0.95383014979714786</v>
      </c>
      <c r="K20" s="144">
        <f t="shared" si="5"/>
        <v>0.97767590354207645</v>
      </c>
      <c r="L20" s="144">
        <f t="shared" si="5"/>
        <v>1.0021178011306282</v>
      </c>
      <c r="M20" s="144">
        <f t="shared" si="5"/>
        <v>1.0271707461588939</v>
      </c>
      <c r="N20" s="144">
        <f t="shared" si="5"/>
        <v>1.0528500148128661</v>
      </c>
      <c r="O20" s="144">
        <f t="shared" si="5"/>
        <v>1.0791712651831877</v>
      </c>
      <c r="P20" s="144">
        <f t="shared" si="5"/>
        <v>1.1061505468127673</v>
      </c>
      <c r="Q20" s="144">
        <f t="shared" si="5"/>
        <v>1.1338043104830862</v>
      </c>
      <c r="R20" s="144">
        <f t="shared" si="5"/>
        <v>1.1621494182451633</v>
      </c>
      <c r="S20" s="144">
        <f t="shared" si="5"/>
        <v>1.1912031537012922</v>
      </c>
      <c r="T20" s="144">
        <f t="shared" si="5"/>
        <v>1.2209832325438243</v>
      </c>
      <c r="U20" s="131"/>
      <c r="V20" s="131"/>
      <c r="W20" s="131"/>
      <c r="X20" s="159">
        <f>NPV(Rate_of_Return,F20:T20)</f>
        <v>8.8877386187431942</v>
      </c>
      <c r="Y20" s="159">
        <f>-PMT(Rate_of_Return,15,X20)</f>
        <v>1</v>
      </c>
      <c r="Z20" s="120"/>
      <c r="AA20" s="120"/>
    </row>
    <row r="21" spans="2:27" x14ac:dyDescent="0.2">
      <c r="C21" s="114"/>
      <c r="D21" s="114"/>
      <c r="E21" s="141"/>
      <c r="F21" s="141"/>
      <c r="G21" s="141"/>
      <c r="H21" s="141"/>
      <c r="I21" s="141"/>
      <c r="J21" s="141"/>
      <c r="K21" s="141"/>
      <c r="L21" s="141"/>
      <c r="M21" s="142"/>
      <c r="N21" s="142"/>
      <c r="O21" s="142"/>
      <c r="P21" s="142"/>
      <c r="Q21" s="142"/>
      <c r="R21" s="142"/>
      <c r="S21" s="142"/>
      <c r="T21" s="142"/>
      <c r="X21" s="114"/>
      <c r="Y21" s="114"/>
    </row>
    <row r="22" spans="2:27" x14ac:dyDescent="0.2">
      <c r="B22" s="132" t="s">
        <v>13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Z22" s="129"/>
    </row>
    <row r="23" spans="2:27" x14ac:dyDescent="0.2">
      <c r="B23" s="135">
        <v>1</v>
      </c>
      <c r="C23" s="263" t="s">
        <v>113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Z23" s="125"/>
    </row>
    <row r="24" spans="2:27" x14ac:dyDescent="0.2">
      <c r="B24" s="135">
        <v>2</v>
      </c>
      <c r="C24" s="134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Z24" s="126"/>
    </row>
    <row r="25" spans="2:27" x14ac:dyDescent="0.2">
      <c r="B25" s="135">
        <v>3</v>
      </c>
      <c r="C25" s="134" t="s">
        <v>45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Z25" s="136"/>
    </row>
    <row r="26" spans="2:27" x14ac:dyDescent="0.2">
      <c r="B26" s="135">
        <v>4</v>
      </c>
      <c r="C26" s="134" t="s">
        <v>119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Z26" s="136"/>
    </row>
    <row r="27" spans="2:27" x14ac:dyDescent="0.2">
      <c r="B27" s="135">
        <v>5</v>
      </c>
      <c r="C27" s="134" t="s">
        <v>79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Z27" s="125"/>
    </row>
    <row r="28" spans="2:27" x14ac:dyDescent="0.2">
      <c r="B28" s="135">
        <v>6</v>
      </c>
      <c r="C28" s="134" t="s">
        <v>80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Z28" s="126"/>
    </row>
    <row r="29" spans="2:27" x14ac:dyDescent="0.2">
      <c r="B29" s="135">
        <v>7</v>
      </c>
      <c r="C29" s="134" t="s">
        <v>81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2:27" x14ac:dyDescent="0.2">
      <c r="B30" s="135">
        <v>8</v>
      </c>
      <c r="C30" s="134" t="s">
        <v>51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27" x14ac:dyDescent="0.2">
      <c r="B31" s="135">
        <v>9</v>
      </c>
      <c r="C31" s="134" t="s">
        <v>82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27" x14ac:dyDescent="0.2">
      <c r="B32" s="135">
        <v>10</v>
      </c>
      <c r="C32" s="53" t="s">
        <v>83</v>
      </c>
    </row>
    <row r="33" spans="2:20" x14ac:dyDescent="0.2">
      <c r="B33" s="135">
        <v>11</v>
      </c>
      <c r="C33" s="53" t="s">
        <v>102</v>
      </c>
    </row>
    <row r="34" spans="2:20" ht="15.75" x14ac:dyDescent="0.25">
      <c r="B34" s="137"/>
      <c r="C34" s="5"/>
      <c r="D34" s="5"/>
      <c r="E34" s="5"/>
      <c r="F34" s="5"/>
    </row>
    <row r="35" spans="2:20" ht="15.75" x14ac:dyDescent="0.25">
      <c r="B35" s="137"/>
      <c r="C35" s="5"/>
      <c r="D35" s="5"/>
      <c r="E35" s="5"/>
      <c r="F35" s="5"/>
    </row>
    <row r="37" spans="2:20" x14ac:dyDescent="0.2">
      <c r="F37" s="120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</row>
    <row r="38" spans="2:20" x14ac:dyDescent="0.2"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</row>
    <row r="39" spans="2:20" x14ac:dyDescent="0.2"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</row>
    <row r="40" spans="2:20" x14ac:dyDescent="0.2">
      <c r="D40" s="130"/>
    </row>
  </sheetData>
  <customSheetViews>
    <customSheetView guid="{7616AFB9-3DAD-45EA-BAD3-1A4EF1124EEE}" fitToPage="1" topLeftCell="B7">
      <selection activeCell="C30" sqref="C30"/>
      <pageMargins left="0.75" right="0.5" top="0.76" bottom="0.79" header="0.5" footer="0.26"/>
      <pageSetup scale="34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 topLeftCell="B7">
      <selection activeCell="C30" sqref="C30"/>
      <pageMargins left="0.75" right="0.5" top="0.76" bottom="0.79" header="0.5" footer="0.26"/>
      <pageSetup scale="34" orientation="landscape" r:id="rId2"/>
      <headerFooter alignWithMargins="0">
        <oddFooter>&amp;L&amp;F&amp;C&amp;A&amp;RPSE Advice No. 2018-48 &amp;D
Page &amp;P of &amp;N</oddFooter>
      </headerFooter>
    </customSheetView>
  </customSheetViews>
  <dataValidations disablePrompts="1" count="3">
    <dataValidation type="list" allowBlank="1" showInputMessage="1" showErrorMessage="1" sqref="E5">
      <formula1>"1,2,3,4,5,6,7,8,9,10,11,12,13,14,15,16,17,18,19,20,21,22,23,24,25,26,27,28,29,30"</formula1>
    </dataValidation>
    <dataValidation type="list" allowBlank="1" showInputMessage="1" showErrorMessage="1" sqref="G5">
      <formula1>MeasureList</formula1>
    </dataValidation>
    <dataValidation type="decimal" operator="greaterThan" allowBlank="1" showInputMessage="1" showErrorMessage="1" sqref="C5:D5">
      <formula1>0</formula1>
    </dataValidation>
  </dataValidations>
  <pageMargins left="0.75" right="0.5" top="0.76" bottom="0.79" header="0.5" footer="0.26"/>
  <pageSetup scale="34"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39997558519241921"/>
    <pageSetUpPr fitToPage="1"/>
  </sheetPr>
  <dimension ref="B2:F41"/>
  <sheetViews>
    <sheetView workbookViewId="0">
      <selection activeCell="D3" sqref="D3"/>
    </sheetView>
  </sheetViews>
  <sheetFormatPr defaultRowHeight="12.75" x14ac:dyDescent="0.2"/>
  <cols>
    <col min="1" max="1" width="2.7109375" customWidth="1"/>
    <col min="2" max="2" width="12.42578125" customWidth="1"/>
    <col min="3" max="4" width="14.7109375" customWidth="1"/>
    <col min="5" max="5" width="12.42578125" customWidth="1"/>
  </cols>
  <sheetData>
    <row r="2" spans="2:6" ht="15.75" x14ac:dyDescent="0.25">
      <c r="B2" s="5" t="str">
        <f>+FlatLoadShapeEnergy_perMWh!P4</f>
        <v>Levelized Cost Effectiveness Standard-Energy</v>
      </c>
    </row>
    <row r="3" spans="2:6" ht="15" x14ac:dyDescent="0.25">
      <c r="B3" s="357" t="s">
        <v>52</v>
      </c>
      <c r="C3" s="357"/>
      <c r="D3" s="35"/>
    </row>
    <row r="4" spans="2:6" x14ac:dyDescent="0.2">
      <c r="B4" s="358" t="str">
        <f>+FlatLoadShapeEnergy_perMWh!C6</f>
        <v>Line Loss Reduction</v>
      </c>
      <c r="C4" s="359"/>
      <c r="D4" s="351">
        <v>0</v>
      </c>
      <c r="E4" s="35"/>
    </row>
    <row r="5" spans="2:6" x14ac:dyDescent="0.2">
      <c r="B5" s="360" t="s">
        <v>46</v>
      </c>
      <c r="C5" s="360"/>
      <c r="D5" s="162">
        <f>Rate_of_Return</f>
        <v>7.3899999999999993E-2</v>
      </c>
      <c r="E5" s="43"/>
    </row>
    <row r="6" spans="2:6" x14ac:dyDescent="0.2">
      <c r="B6" s="7"/>
      <c r="C6" s="29"/>
      <c r="D6" s="43"/>
      <c r="E6" s="1"/>
    </row>
    <row r="7" spans="2:6" x14ac:dyDescent="0.2">
      <c r="C7" s="2"/>
      <c r="D7" s="2"/>
    </row>
    <row r="8" spans="2:6" s="7" customFormat="1" ht="45.75" customHeight="1" x14ac:dyDescent="0.2">
      <c r="B8" s="6" t="s">
        <v>1</v>
      </c>
      <c r="C8" s="6" t="s">
        <v>75</v>
      </c>
      <c r="D8" s="30" t="s">
        <v>76</v>
      </c>
      <c r="E8"/>
      <c r="F8"/>
    </row>
    <row r="9" spans="2:6" x14ac:dyDescent="0.2">
      <c r="B9" s="8">
        <v>1</v>
      </c>
      <c r="C9" s="36">
        <f>+FlatLoadShapeEnergy_perMWh!P7</f>
        <v>22.849999999999994</v>
      </c>
      <c r="D9" s="161">
        <f t="shared" ref="D9:D27" si="0">C9/1000</f>
        <v>2.2849999999999995E-2</v>
      </c>
    </row>
    <row r="10" spans="2:6" x14ac:dyDescent="0.2">
      <c r="B10" s="8">
        <v>2</v>
      </c>
      <c r="C10" s="36">
        <f>+FlatLoadShapeEnergy_perMWh!P8</f>
        <v>22.04957567867303</v>
      </c>
      <c r="D10" s="161">
        <f t="shared" si="0"/>
        <v>2.2049575678673029E-2</v>
      </c>
    </row>
    <row r="11" spans="2:6" x14ac:dyDescent="0.2">
      <c r="B11" s="8">
        <v>3</v>
      </c>
      <c r="C11" s="36">
        <f>+FlatLoadShapeEnergy_perMWh!P9</f>
        <v>21.578704972256403</v>
      </c>
      <c r="D11" s="161">
        <f t="shared" si="0"/>
        <v>2.1578704972256404E-2</v>
      </c>
    </row>
    <row r="12" spans="2:6" x14ac:dyDescent="0.2">
      <c r="B12" s="8">
        <v>4</v>
      </c>
      <c r="C12" s="36">
        <f>+FlatLoadShapeEnergy_perMWh!P10</f>
        <v>21.178157324377096</v>
      </c>
      <c r="D12" s="161">
        <f t="shared" si="0"/>
        <v>2.1178157324377098E-2</v>
      </c>
    </row>
    <row r="13" spans="2:6" x14ac:dyDescent="0.2">
      <c r="B13" s="8">
        <v>5</v>
      </c>
      <c r="C13" s="36">
        <f>+FlatLoadShapeEnergy_perMWh!P11</f>
        <v>20.931738907262655</v>
      </c>
      <c r="D13" s="161">
        <f t="shared" si="0"/>
        <v>2.0931738907262656E-2</v>
      </c>
    </row>
    <row r="14" spans="2:6" x14ac:dyDescent="0.2">
      <c r="B14" s="8">
        <v>6</v>
      </c>
      <c r="C14" s="36">
        <f>+FlatLoadShapeEnergy_perMWh!P12</f>
        <v>20.798607075619266</v>
      </c>
      <c r="D14" s="161">
        <f t="shared" si="0"/>
        <v>2.0798607075619265E-2</v>
      </c>
    </row>
    <row r="15" spans="2:6" x14ac:dyDescent="0.2">
      <c r="B15" s="8">
        <v>7</v>
      </c>
      <c r="C15" s="36">
        <f>+FlatLoadShapeEnergy_perMWh!P13</f>
        <v>21.07166540997515</v>
      </c>
      <c r="D15" s="161">
        <f t="shared" si="0"/>
        <v>2.1071665409975151E-2</v>
      </c>
    </row>
    <row r="16" spans="2:6" x14ac:dyDescent="0.2">
      <c r="B16" s="8">
        <v>8</v>
      </c>
      <c r="C16" s="36">
        <f>+FlatLoadShapeEnergy_perMWh!P14</f>
        <v>21.393465581733086</v>
      </c>
      <c r="D16" s="161">
        <f t="shared" si="0"/>
        <v>2.1393465581733086E-2</v>
      </c>
    </row>
    <row r="17" spans="2:4" x14ac:dyDescent="0.2">
      <c r="B17" s="8">
        <v>9</v>
      </c>
      <c r="C17" s="36">
        <f>+FlatLoadShapeEnergy_perMWh!P15</f>
        <v>21.725858684544882</v>
      </c>
      <c r="D17" s="161">
        <f t="shared" si="0"/>
        <v>2.1725858684544883E-2</v>
      </c>
    </row>
    <row r="18" spans="2:4" x14ac:dyDescent="0.2">
      <c r="B18" s="8">
        <v>10</v>
      </c>
      <c r="C18" s="36">
        <f>+FlatLoadShapeEnergy_perMWh!P16</f>
        <v>21.962055687281627</v>
      </c>
      <c r="D18" s="161">
        <f t="shared" si="0"/>
        <v>2.1962055687281625E-2</v>
      </c>
    </row>
    <row r="19" spans="2:4" x14ac:dyDescent="0.2">
      <c r="B19" s="8">
        <v>11</v>
      </c>
      <c r="C19" s="36">
        <f>+FlatLoadShapeEnergy_perMWh!P17</f>
        <v>22.136935176608191</v>
      </c>
      <c r="D19" s="161">
        <f t="shared" si="0"/>
        <v>2.213693517660819E-2</v>
      </c>
    </row>
    <row r="20" spans="2:4" x14ac:dyDescent="0.2">
      <c r="B20" s="8">
        <v>12</v>
      </c>
      <c r="C20" s="36">
        <f>+FlatLoadShapeEnergy_perMWh!P18</f>
        <v>22.314108915461688</v>
      </c>
      <c r="D20" s="161">
        <f t="shared" si="0"/>
        <v>2.2314108915461688E-2</v>
      </c>
    </row>
    <row r="21" spans="2:4" x14ac:dyDescent="0.2">
      <c r="B21" s="8">
        <v>13</v>
      </c>
      <c r="C21" s="36">
        <f>+FlatLoadShapeEnergy_perMWh!P19</f>
        <v>22.525943326584002</v>
      </c>
      <c r="D21" s="161">
        <f t="shared" si="0"/>
        <v>2.2525943326584003E-2</v>
      </c>
    </row>
    <row r="22" spans="2:4" x14ac:dyDescent="0.2">
      <c r="B22" s="8">
        <v>14</v>
      </c>
      <c r="C22" s="36">
        <f>+FlatLoadShapeEnergy_perMWh!P20</f>
        <v>22.736179753545514</v>
      </c>
      <c r="D22" s="161">
        <f t="shared" si="0"/>
        <v>2.2736179753545513E-2</v>
      </c>
    </row>
    <row r="23" spans="2:4" x14ac:dyDescent="0.2">
      <c r="B23" s="264">
        <v>15</v>
      </c>
      <c r="C23" s="265">
        <f>+FlatLoadShapeEnergy_perMWh!P21</f>
        <v>22.949093496230017</v>
      </c>
      <c r="D23" s="161">
        <f>C23/1000</f>
        <v>2.2949093496230016E-2</v>
      </c>
    </row>
    <row r="24" spans="2:4" x14ac:dyDescent="0.2">
      <c r="B24" s="8">
        <v>16</v>
      </c>
      <c r="C24" s="36">
        <f>+FlatLoadShapeEnergy_perMWh!P22</f>
        <v>23.183759575371795</v>
      </c>
      <c r="D24" s="161">
        <f t="shared" si="0"/>
        <v>2.3183759575371794E-2</v>
      </c>
    </row>
    <row r="25" spans="2:4" x14ac:dyDescent="0.2">
      <c r="B25" s="8">
        <v>17</v>
      </c>
      <c r="C25" s="36">
        <f>+FlatLoadShapeEnergy_perMWh!P23</f>
        <v>23.379322075501729</v>
      </c>
      <c r="D25" s="161">
        <f t="shared" si="0"/>
        <v>2.3379322075501731E-2</v>
      </c>
    </row>
    <row r="26" spans="2:4" x14ac:dyDescent="0.2">
      <c r="B26" s="8">
        <v>18</v>
      </c>
      <c r="C26" s="36">
        <f>+FlatLoadShapeEnergy_perMWh!P24</f>
        <v>23.54789545048375</v>
      </c>
      <c r="D26" s="161">
        <f t="shared" si="0"/>
        <v>2.354789545048375E-2</v>
      </c>
    </row>
    <row r="27" spans="2:4" x14ac:dyDescent="0.2">
      <c r="B27" s="8">
        <v>19</v>
      </c>
      <c r="C27" s="36">
        <f>+FlatLoadShapeEnergy_perMWh!P25</f>
        <v>23.691104408160111</v>
      </c>
      <c r="D27" s="161">
        <f t="shared" si="0"/>
        <v>2.3691104408160111E-2</v>
      </c>
    </row>
    <row r="28" spans="2:4" x14ac:dyDescent="0.2">
      <c r="B28" s="8">
        <v>20</v>
      </c>
      <c r="C28" s="36">
        <f>+FlatLoadShapeEnergy_perMWh!P26</f>
        <v>23.824071369256131</v>
      </c>
      <c r="D28" s="161">
        <f t="shared" ref="D28:D29" si="1">C28/1000</f>
        <v>2.3824071369256131E-2</v>
      </c>
    </row>
    <row r="29" spans="2:4" x14ac:dyDescent="0.2">
      <c r="B29" s="8">
        <v>21</v>
      </c>
      <c r="C29" s="36">
        <f>+FlatLoadShapeEnergy_perMWh!P27</f>
        <v>23.964036319179893</v>
      </c>
      <c r="D29" s="161">
        <f t="shared" si="1"/>
        <v>2.3964036319179892E-2</v>
      </c>
    </row>
    <row r="39" spans="2:3" x14ac:dyDescent="0.2">
      <c r="C39" s="9"/>
    </row>
    <row r="40" spans="2:3" x14ac:dyDescent="0.2">
      <c r="C40" s="10"/>
    </row>
    <row r="41" spans="2:3" s="13" customFormat="1" x14ac:dyDescent="0.2">
      <c r="B41" s="11"/>
      <c r="C41" s="12"/>
    </row>
  </sheetData>
  <customSheetViews>
    <customSheetView guid="{7616AFB9-3DAD-45EA-BAD3-1A4EF1124EEE}" fitToPage="1">
      <selection activeCell="D3" sqref="D3"/>
      <pageMargins left="0.75" right="0.5" top="0.76" bottom="0.79" header="0.5" footer="0.26"/>
      <pageSetup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>
      <selection activeCell="D3" sqref="D3"/>
      <pageMargins left="0.75" right="0.5" top="0.76" bottom="0.79" header="0.5" footer="0.26"/>
      <pageSetup orientation="landscape" r:id="rId2"/>
      <headerFooter alignWithMargins="0">
        <oddFooter>&amp;L&amp;F&amp;C&amp;A&amp;RPSE Advice No. 2018-48 &amp;D
Page &amp;P of &amp;N</oddFooter>
      </headerFooter>
    </customSheetView>
  </customSheetViews>
  <mergeCells count="3">
    <mergeCell ref="B3:C3"/>
    <mergeCell ref="B4:C4"/>
    <mergeCell ref="B5:C5"/>
  </mergeCells>
  <phoneticPr fontId="0" type="noConversion"/>
  <pageMargins left="0.75" right="0.5" top="0.76" bottom="0.79" header="0.5" footer="0.26"/>
  <pageSetup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39997558519241921"/>
    <pageSetUpPr fitToPage="1"/>
  </sheetPr>
  <dimension ref="B1:U33"/>
  <sheetViews>
    <sheetView workbookViewId="0">
      <selection activeCell="E8" sqref="E8"/>
    </sheetView>
  </sheetViews>
  <sheetFormatPr defaultColWidth="14.42578125" defaultRowHeight="15" x14ac:dyDescent="0.2"/>
  <cols>
    <col min="1" max="1" width="2.7109375" style="196" customWidth="1"/>
    <col min="2" max="2" width="4" style="196" bestFit="1" customWidth="1"/>
    <col min="3" max="3" width="30.85546875" style="196" customWidth="1"/>
    <col min="4" max="4" width="2.7109375" style="196" customWidth="1"/>
    <col min="5" max="5" width="10.42578125" style="196" customWidth="1"/>
    <col min="6" max="6" width="2.7109375" style="196" customWidth="1"/>
    <col min="7" max="7" width="9.42578125" style="196" customWidth="1"/>
    <col min="8" max="8" width="12.5703125" style="196" customWidth="1"/>
    <col min="9" max="9" width="17.7109375" style="196" customWidth="1"/>
    <col min="10" max="10" width="14.42578125" style="196" customWidth="1"/>
    <col min="11" max="11" width="17" style="196" customWidth="1"/>
    <col min="12" max="12" width="14.42578125" style="196" customWidth="1"/>
    <col min="13" max="13" width="16.28515625" style="196" bestFit="1" customWidth="1"/>
    <col min="14" max="14" width="15.7109375" style="196" customWidth="1"/>
    <col min="15" max="16" width="16.140625" style="196" customWidth="1"/>
    <col min="17" max="16384" width="14.42578125" style="196"/>
  </cols>
  <sheetData>
    <row r="1" spans="2:21" s="190" customFormat="1" x14ac:dyDescent="0.2"/>
    <row r="2" spans="2:21" s="190" customFormat="1" ht="15.75" x14ac:dyDescent="0.25">
      <c r="B2" s="191"/>
      <c r="C2" s="191"/>
      <c r="D2" s="191"/>
      <c r="E2" s="191"/>
      <c r="F2" s="191"/>
      <c r="G2" s="191"/>
      <c r="H2" s="191"/>
      <c r="I2" s="191"/>
      <c r="J2" s="192"/>
      <c r="K2" s="191"/>
      <c r="L2" s="191"/>
      <c r="M2" s="193"/>
      <c r="N2" s="191"/>
      <c r="O2" s="191"/>
      <c r="P2" s="191"/>
      <c r="Q2" s="191"/>
      <c r="R2" s="191"/>
      <c r="S2" s="191"/>
      <c r="T2" s="191"/>
      <c r="U2" s="191"/>
    </row>
    <row r="3" spans="2:21" ht="15.75" x14ac:dyDescent="0.25">
      <c r="B3" s="194"/>
      <c r="C3" s="194"/>
      <c r="D3" s="194"/>
      <c r="E3" s="194"/>
      <c r="F3" s="194"/>
      <c r="G3" s="194"/>
      <c r="H3" s="194"/>
      <c r="I3" s="194"/>
      <c r="J3" s="22"/>
      <c r="K3" s="191"/>
      <c r="L3" s="191"/>
      <c r="M3" s="195"/>
      <c r="N3" s="194"/>
      <c r="O3" s="194"/>
      <c r="P3" s="194"/>
      <c r="Q3" s="194"/>
      <c r="R3" s="194"/>
      <c r="S3" s="194"/>
      <c r="T3" s="194"/>
      <c r="U3" s="194"/>
    </row>
    <row r="4" spans="2:21" ht="66" customHeight="1" x14ac:dyDescent="0.25">
      <c r="B4" s="194"/>
      <c r="C4" s="194"/>
      <c r="D4" s="194"/>
      <c r="E4" s="194"/>
      <c r="F4" s="194"/>
      <c r="G4" s="23" t="s">
        <v>15</v>
      </c>
      <c r="H4" s="24" t="s">
        <v>1</v>
      </c>
      <c r="I4" s="25" t="s">
        <v>28</v>
      </c>
      <c r="J4" s="24" t="s">
        <v>130</v>
      </c>
      <c r="K4" s="25" t="s">
        <v>48</v>
      </c>
      <c r="L4" s="25" t="s">
        <v>49</v>
      </c>
      <c r="M4" s="24" t="s">
        <v>50</v>
      </c>
      <c r="N4" s="24" t="s">
        <v>32</v>
      </c>
      <c r="O4" s="24" t="s">
        <v>33</v>
      </c>
      <c r="P4" s="24" t="s">
        <v>29</v>
      </c>
      <c r="Q4" s="24"/>
      <c r="R4" s="23"/>
      <c r="S4" s="24"/>
      <c r="T4" s="24"/>
      <c r="U4" s="24"/>
    </row>
    <row r="5" spans="2:21" ht="15.75" x14ac:dyDescent="0.25">
      <c r="B5" s="178"/>
      <c r="C5" s="178"/>
      <c r="D5" s="178"/>
      <c r="E5" s="178"/>
      <c r="F5" s="178"/>
      <c r="G5" s="26"/>
      <c r="H5" s="26" t="s">
        <v>20</v>
      </c>
      <c r="I5" s="26" t="s">
        <v>53</v>
      </c>
      <c r="J5" s="26" t="s">
        <v>53</v>
      </c>
      <c r="K5" s="26" t="s">
        <v>53</v>
      </c>
      <c r="L5" s="26" t="s">
        <v>53</v>
      </c>
      <c r="M5" s="26" t="s">
        <v>53</v>
      </c>
      <c r="N5" s="26" t="s">
        <v>53</v>
      </c>
      <c r="O5" s="26" t="s">
        <v>53</v>
      </c>
      <c r="P5" s="26" t="s">
        <v>53</v>
      </c>
      <c r="Q5" s="23"/>
      <c r="R5" s="23"/>
      <c r="S5" s="23"/>
      <c r="T5" s="23"/>
      <c r="U5" s="23"/>
    </row>
    <row r="6" spans="2:21" ht="15.75" x14ac:dyDescent="0.25">
      <c r="B6" s="178"/>
      <c r="C6" s="28" t="s">
        <v>130</v>
      </c>
      <c r="D6" s="28"/>
      <c r="E6" s="352">
        <v>0</v>
      </c>
      <c r="F6" s="51"/>
      <c r="G6" s="163" t="s">
        <v>21</v>
      </c>
      <c r="H6" s="163" t="s">
        <v>22</v>
      </c>
      <c r="I6" s="163" t="s">
        <v>23</v>
      </c>
      <c r="J6" s="163" t="s">
        <v>24</v>
      </c>
      <c r="K6" s="163" t="s">
        <v>25</v>
      </c>
      <c r="L6" s="163" t="s">
        <v>30</v>
      </c>
      <c r="M6" s="163" t="s">
        <v>26</v>
      </c>
      <c r="N6" s="163" t="s">
        <v>27</v>
      </c>
      <c r="O6" s="163" t="s">
        <v>36</v>
      </c>
      <c r="P6" s="163" t="s">
        <v>72</v>
      </c>
      <c r="Q6" s="27"/>
      <c r="R6" s="23"/>
      <c r="S6" s="194"/>
      <c r="T6" s="27"/>
      <c r="U6" s="23"/>
    </row>
    <row r="7" spans="2:21" ht="15.75" x14ac:dyDescent="0.25">
      <c r="B7" s="34"/>
      <c r="C7" s="28" t="s">
        <v>46</v>
      </c>
      <c r="D7" s="28"/>
      <c r="E7" s="179">
        <f>Rate_of_Return</f>
        <v>7.3899999999999993E-2</v>
      </c>
      <c r="F7" s="180"/>
      <c r="G7" s="171">
        <f>'Energy Prices'!C6</f>
        <v>2021</v>
      </c>
      <c r="H7" s="166">
        <v>1</v>
      </c>
      <c r="I7" s="181">
        <f>'Energy Prices'!P6</f>
        <v>22.85</v>
      </c>
      <c r="J7" s="181">
        <f>I7*$E$6</f>
        <v>0</v>
      </c>
      <c r="K7" s="181">
        <v>0</v>
      </c>
      <c r="L7" s="181">
        <v>0</v>
      </c>
      <c r="M7" s="181">
        <v>0</v>
      </c>
      <c r="N7" s="181">
        <f>(I7+J7+K7+L7+M7)/((1+$E$7)^H7)</f>
        <v>21.277586367445757</v>
      </c>
      <c r="O7" s="181">
        <f>N7</f>
        <v>21.277586367445757</v>
      </c>
      <c r="P7" s="181">
        <f>(-PMT($E$7,H7,(O7)))</f>
        <v>22.849999999999994</v>
      </c>
      <c r="Q7" s="182"/>
      <c r="R7" s="183"/>
      <c r="S7" s="184"/>
      <c r="T7" s="185"/>
      <c r="U7" s="185"/>
    </row>
    <row r="8" spans="2:21" ht="15.75" x14ac:dyDescent="0.25">
      <c r="B8" s="178"/>
      <c r="C8" s="28" t="s">
        <v>47</v>
      </c>
      <c r="D8" s="28"/>
      <c r="E8" s="327">
        <v>2.5000000000000001E-2</v>
      </c>
      <c r="F8" s="180"/>
      <c r="G8" s="38">
        <f>G7+1</f>
        <v>2022</v>
      </c>
      <c r="H8" s="39">
        <v>2</v>
      </c>
      <c r="I8" s="186">
        <f>'Energy Prices'!P7</f>
        <v>21.19</v>
      </c>
      <c r="J8" s="186">
        <f t="shared" ref="J8:J25" si="0">I8*$E$6</f>
        <v>0</v>
      </c>
      <c r="K8" s="186">
        <f>+$K$7</f>
        <v>0</v>
      </c>
      <c r="L8" s="186">
        <v>0</v>
      </c>
      <c r="M8" s="186">
        <v>0</v>
      </c>
      <c r="N8" s="186">
        <f t="shared" ref="N8:N25" si="1">(I8+J8+K8+L8+M8)/((1+$E$7)^H8)</f>
        <v>18.373981381026418</v>
      </c>
      <c r="O8" s="186">
        <f t="shared" ref="O8:O25" si="2">N8+O7</f>
        <v>39.651567748472175</v>
      </c>
      <c r="P8" s="181">
        <f t="shared" ref="P8:P27" si="3">(-PMT($E$7,H8,(O8)))</f>
        <v>22.04957567867303</v>
      </c>
      <c r="Q8" s="182"/>
      <c r="R8" s="183"/>
      <c r="S8" s="184"/>
      <c r="T8" s="185"/>
      <c r="U8" s="185"/>
    </row>
    <row r="9" spans="2:21" ht="15.75" x14ac:dyDescent="0.25">
      <c r="B9" s="178"/>
      <c r="C9" s="28"/>
      <c r="D9" s="28"/>
      <c r="E9" s="180"/>
      <c r="F9" s="187"/>
      <c r="G9" s="38">
        <f t="shared" ref="G9:G27" si="4">G8+1</f>
        <v>2023</v>
      </c>
      <c r="H9" s="39">
        <v>3</v>
      </c>
      <c r="I9" s="186">
        <f>'Energy Prices'!P8</f>
        <v>20.53</v>
      </c>
      <c r="J9" s="186">
        <f t="shared" si="0"/>
        <v>0</v>
      </c>
      <c r="K9" s="186">
        <f t="shared" ref="K9:K27" si="5">+$K$7</f>
        <v>0</v>
      </c>
      <c r="L9" s="186">
        <v>0</v>
      </c>
      <c r="M9" s="186">
        <v>0</v>
      </c>
      <c r="N9" s="186">
        <f t="shared" si="1"/>
        <v>16.576674976986116</v>
      </c>
      <c r="O9" s="186">
        <f t="shared" si="2"/>
        <v>56.228242725458287</v>
      </c>
      <c r="P9" s="181">
        <f t="shared" si="3"/>
        <v>21.578704972256403</v>
      </c>
      <c r="Q9" s="182"/>
      <c r="R9" s="183"/>
      <c r="S9" s="184"/>
      <c r="T9" s="185"/>
      <c r="U9" s="185"/>
    </row>
    <row r="10" spans="2:21" x14ac:dyDescent="0.2">
      <c r="B10" s="178"/>
      <c r="C10" s="178"/>
      <c r="D10" s="178"/>
      <c r="E10" s="178"/>
      <c r="F10" s="180"/>
      <c r="G10" s="38">
        <f t="shared" si="4"/>
        <v>2024</v>
      </c>
      <c r="H10" s="39">
        <v>4</v>
      </c>
      <c r="I10" s="186">
        <f>'Energy Prices'!P9</f>
        <v>19.79</v>
      </c>
      <c r="J10" s="186">
        <f t="shared" si="0"/>
        <v>0</v>
      </c>
      <c r="K10" s="186">
        <f t="shared" si="5"/>
        <v>0</v>
      </c>
      <c r="L10" s="186">
        <v>0</v>
      </c>
      <c r="M10" s="186">
        <v>0</v>
      </c>
      <c r="N10" s="186">
        <f t="shared" si="1"/>
        <v>14.879571502068957</v>
      </c>
      <c r="O10" s="186">
        <f t="shared" si="2"/>
        <v>71.107814227527243</v>
      </c>
      <c r="P10" s="181">
        <f t="shared" si="3"/>
        <v>21.178157324377096</v>
      </c>
      <c r="Q10" s="182"/>
      <c r="R10" s="183"/>
      <c r="S10" s="184"/>
      <c r="T10" s="185"/>
      <c r="U10" s="185"/>
    </row>
    <row r="11" spans="2:21" x14ac:dyDescent="0.2">
      <c r="B11" s="178"/>
      <c r="C11" s="178"/>
      <c r="D11" s="178"/>
      <c r="E11" s="178"/>
      <c r="F11" s="180"/>
      <c r="G11" s="38">
        <f t="shared" si="4"/>
        <v>2025</v>
      </c>
      <c r="H11" s="39">
        <v>5</v>
      </c>
      <c r="I11" s="186">
        <f>'Energy Prices'!P10</f>
        <v>19.75</v>
      </c>
      <c r="J11" s="186">
        <f t="shared" si="0"/>
        <v>0</v>
      </c>
      <c r="K11" s="186">
        <f t="shared" si="5"/>
        <v>0</v>
      </c>
      <c r="L11" s="186">
        <v>0</v>
      </c>
      <c r="M11" s="186">
        <v>0</v>
      </c>
      <c r="N11" s="186">
        <f t="shared" si="1"/>
        <v>13.827634390820624</v>
      </c>
      <c r="O11" s="186">
        <f t="shared" si="2"/>
        <v>84.935448618347863</v>
      </c>
      <c r="P11" s="181">
        <f t="shared" si="3"/>
        <v>20.931738907262655</v>
      </c>
      <c r="Q11" s="182"/>
      <c r="R11" s="183"/>
      <c r="S11" s="184"/>
      <c r="T11" s="185"/>
      <c r="U11" s="185"/>
    </row>
    <row r="12" spans="2:21" x14ac:dyDescent="0.2">
      <c r="B12" s="194"/>
      <c r="C12" s="194"/>
      <c r="D12" s="194"/>
      <c r="E12" s="194"/>
      <c r="F12" s="178"/>
      <c r="G12" s="38">
        <f t="shared" si="4"/>
        <v>2026</v>
      </c>
      <c r="H12" s="39">
        <v>6</v>
      </c>
      <c r="I12" s="186">
        <f>'Energy Prices'!P11</f>
        <v>19.97</v>
      </c>
      <c r="J12" s="186">
        <f t="shared" si="0"/>
        <v>0</v>
      </c>
      <c r="K12" s="186">
        <f t="shared" si="5"/>
        <v>0</v>
      </c>
      <c r="L12" s="186">
        <v>0</v>
      </c>
      <c r="M12" s="186">
        <v>0</v>
      </c>
      <c r="N12" s="186">
        <f>(I12+J12+K12+L12+M12)/((1+$E$7)^H12)</f>
        <v>13.019521124810096</v>
      </c>
      <c r="O12" s="186">
        <f t="shared" si="2"/>
        <v>97.95496974315796</v>
      </c>
      <c r="P12" s="181">
        <f t="shared" si="3"/>
        <v>20.798607075619266</v>
      </c>
      <c r="Q12" s="182"/>
      <c r="R12" s="183"/>
      <c r="S12" s="184"/>
      <c r="T12" s="185"/>
      <c r="U12" s="185"/>
    </row>
    <row r="13" spans="2:21" x14ac:dyDescent="0.2">
      <c r="B13" s="194"/>
      <c r="C13" s="194"/>
      <c r="D13" s="194"/>
      <c r="E13" s="194"/>
      <c r="F13" s="178"/>
      <c r="G13" s="38">
        <f t="shared" si="4"/>
        <v>2027</v>
      </c>
      <c r="H13" s="39">
        <v>7</v>
      </c>
      <c r="I13" s="186">
        <f>'Energy Prices'!P12</f>
        <v>23.19</v>
      </c>
      <c r="J13" s="186">
        <f t="shared" si="0"/>
        <v>0</v>
      </c>
      <c r="K13" s="186">
        <f t="shared" si="5"/>
        <v>0</v>
      </c>
      <c r="L13" s="186">
        <v>0</v>
      </c>
      <c r="M13" s="186">
        <v>0</v>
      </c>
      <c r="N13" s="186">
        <f t="shared" si="1"/>
        <v>14.078417882170408</v>
      </c>
      <c r="O13" s="186">
        <f t="shared" si="2"/>
        <v>112.03338762532837</v>
      </c>
      <c r="P13" s="181">
        <f t="shared" si="3"/>
        <v>21.07166540997515</v>
      </c>
      <c r="Q13" s="182"/>
      <c r="R13" s="183"/>
      <c r="S13" s="184"/>
      <c r="T13" s="185"/>
      <c r="U13" s="185"/>
    </row>
    <row r="14" spans="2:21" x14ac:dyDescent="0.2">
      <c r="B14" s="194"/>
      <c r="C14" s="194"/>
      <c r="D14" s="194"/>
      <c r="E14" s="194"/>
      <c r="F14" s="180"/>
      <c r="G14" s="38">
        <f t="shared" si="4"/>
        <v>2028</v>
      </c>
      <c r="H14" s="39">
        <v>8</v>
      </c>
      <c r="I14" s="186">
        <f>'Energy Prices'!P13</f>
        <v>24.42</v>
      </c>
      <c r="J14" s="186">
        <f t="shared" si="0"/>
        <v>0</v>
      </c>
      <c r="K14" s="186">
        <f t="shared" si="5"/>
        <v>0</v>
      </c>
      <c r="L14" s="186">
        <v>0</v>
      </c>
      <c r="M14" s="186">
        <v>0</v>
      </c>
      <c r="N14" s="186">
        <f>(I14+J14+K14+L14+M14)/((1+$E$7)^H14)</f>
        <v>13.804952624692062</v>
      </c>
      <c r="O14" s="186">
        <f t="shared" si="2"/>
        <v>125.83834025002044</v>
      </c>
      <c r="P14" s="181">
        <f t="shared" si="3"/>
        <v>21.393465581733086</v>
      </c>
      <c r="Q14" s="182"/>
      <c r="R14" s="183"/>
      <c r="S14" s="184"/>
      <c r="T14" s="185"/>
      <c r="U14" s="185"/>
    </row>
    <row r="15" spans="2:21" x14ac:dyDescent="0.2">
      <c r="B15" s="194"/>
      <c r="C15" s="194"/>
      <c r="D15" s="194"/>
      <c r="E15" s="194"/>
      <c r="F15" s="178"/>
      <c r="G15" s="38">
        <f t="shared" si="4"/>
        <v>2029</v>
      </c>
      <c r="H15" s="39">
        <v>9</v>
      </c>
      <c r="I15" s="186">
        <f>'Energy Prices'!P14</f>
        <v>25.44</v>
      </c>
      <c r="J15" s="186">
        <f t="shared" si="0"/>
        <v>0</v>
      </c>
      <c r="K15" s="186">
        <f t="shared" si="5"/>
        <v>0</v>
      </c>
      <c r="L15" s="186">
        <v>0</v>
      </c>
      <c r="M15" s="186">
        <v>0</v>
      </c>
      <c r="N15" s="186">
        <f t="shared" si="1"/>
        <v>13.391910110338454</v>
      </c>
      <c r="O15" s="186">
        <f t="shared" si="2"/>
        <v>139.23025036035889</v>
      </c>
      <c r="P15" s="181">
        <f t="shared" si="3"/>
        <v>21.725858684544882</v>
      </c>
      <c r="Q15" s="182"/>
      <c r="R15" s="183"/>
      <c r="S15" s="184"/>
      <c r="T15" s="185"/>
      <c r="U15" s="185"/>
    </row>
    <row r="16" spans="2:21" x14ac:dyDescent="0.2">
      <c r="B16" s="194"/>
      <c r="C16" s="194"/>
      <c r="D16" s="194"/>
      <c r="E16" s="194"/>
      <c r="F16" s="188"/>
      <c r="G16" s="38">
        <f t="shared" si="4"/>
        <v>2030</v>
      </c>
      <c r="H16" s="39">
        <v>10</v>
      </c>
      <c r="I16" s="186">
        <f>'Energy Prices'!P15</f>
        <v>25.05</v>
      </c>
      <c r="J16" s="186">
        <f t="shared" si="0"/>
        <v>0</v>
      </c>
      <c r="K16" s="186">
        <f t="shared" si="5"/>
        <v>0</v>
      </c>
      <c r="L16" s="186">
        <v>0</v>
      </c>
      <c r="M16" s="186">
        <v>0</v>
      </c>
      <c r="N16" s="186">
        <f t="shared" si="1"/>
        <v>12.279178323467244</v>
      </c>
      <c r="O16" s="186">
        <f t="shared" si="2"/>
        <v>151.50942868382614</v>
      </c>
      <c r="P16" s="181">
        <f t="shared" si="3"/>
        <v>21.962055687281627</v>
      </c>
      <c r="Q16" s="182"/>
      <c r="R16" s="183"/>
      <c r="S16" s="184"/>
      <c r="T16" s="185"/>
      <c r="U16" s="185"/>
    </row>
    <row r="17" spans="2:21" x14ac:dyDescent="0.2">
      <c r="B17" s="194"/>
      <c r="C17" s="194"/>
      <c r="D17" s="194"/>
      <c r="E17" s="194"/>
      <c r="F17" s="189"/>
      <c r="G17" s="38">
        <f t="shared" si="4"/>
        <v>2031</v>
      </c>
      <c r="H17" s="39">
        <v>11</v>
      </c>
      <c r="I17" s="186">
        <f>'Energy Prices'!P16</f>
        <v>24.78</v>
      </c>
      <c r="J17" s="186">
        <f t="shared" si="0"/>
        <v>0</v>
      </c>
      <c r="K17" s="186">
        <f t="shared" si="5"/>
        <v>0</v>
      </c>
      <c r="L17" s="186">
        <v>0</v>
      </c>
      <c r="M17" s="186">
        <v>0</v>
      </c>
      <c r="N17" s="186">
        <f t="shared" si="1"/>
        <v>11.310948783335398</v>
      </c>
      <c r="O17" s="186">
        <f t="shared" si="2"/>
        <v>162.82037746716153</v>
      </c>
      <c r="P17" s="181">
        <f t="shared" si="3"/>
        <v>22.136935176608191</v>
      </c>
      <c r="Q17" s="182"/>
      <c r="R17" s="183"/>
      <c r="S17" s="184"/>
      <c r="T17" s="185"/>
      <c r="U17" s="185"/>
    </row>
    <row r="18" spans="2:21" x14ac:dyDescent="0.2">
      <c r="B18" s="194"/>
      <c r="C18" s="194"/>
      <c r="D18" s="194"/>
      <c r="E18" s="194"/>
      <c r="F18" s="189"/>
      <c r="G18" s="38">
        <f t="shared" si="4"/>
        <v>2032</v>
      </c>
      <c r="H18" s="39">
        <v>12</v>
      </c>
      <c r="I18" s="186">
        <f>'Energy Prices'!P17</f>
        <v>25.38</v>
      </c>
      <c r="J18" s="186">
        <f t="shared" si="0"/>
        <v>0</v>
      </c>
      <c r="K18" s="186">
        <f t="shared" si="5"/>
        <v>0</v>
      </c>
      <c r="L18" s="186">
        <v>0</v>
      </c>
      <c r="M18" s="186">
        <v>0</v>
      </c>
      <c r="N18" s="186">
        <f t="shared" si="1"/>
        <v>10.787616756897419</v>
      </c>
      <c r="O18" s="186">
        <f t="shared" si="2"/>
        <v>173.60799422405896</v>
      </c>
      <c r="P18" s="181">
        <f t="shared" si="3"/>
        <v>22.314108915461688</v>
      </c>
      <c r="Q18" s="182"/>
      <c r="R18" s="183"/>
      <c r="S18" s="184"/>
      <c r="T18" s="185"/>
      <c r="U18" s="185"/>
    </row>
    <row r="19" spans="2:21" x14ac:dyDescent="0.2">
      <c r="B19" s="194"/>
      <c r="C19" s="194"/>
      <c r="D19" s="194"/>
      <c r="E19" s="194"/>
      <c r="F19" s="189"/>
      <c r="G19" s="38">
        <f t="shared" si="4"/>
        <v>2033</v>
      </c>
      <c r="H19" s="39">
        <v>13</v>
      </c>
      <c r="I19" s="186">
        <f>'Energy Prices'!P18</f>
        <v>26.69</v>
      </c>
      <c r="J19" s="186">
        <f>I19*$E$6</f>
        <v>0</v>
      </c>
      <c r="K19" s="186">
        <f t="shared" si="5"/>
        <v>0</v>
      </c>
      <c r="L19" s="186">
        <v>0</v>
      </c>
      <c r="M19" s="186">
        <v>0</v>
      </c>
      <c r="N19" s="186">
        <f t="shared" si="1"/>
        <v>10.563762360370513</v>
      </c>
      <c r="O19" s="186">
        <f t="shared" si="2"/>
        <v>184.17175658442946</v>
      </c>
      <c r="P19" s="181">
        <f t="shared" si="3"/>
        <v>22.525943326584002</v>
      </c>
      <c r="Q19" s="182"/>
      <c r="R19" s="183"/>
      <c r="S19" s="184"/>
      <c r="T19" s="185"/>
      <c r="U19" s="185"/>
    </row>
    <row r="20" spans="2:21" x14ac:dyDescent="0.2">
      <c r="B20" s="194"/>
      <c r="C20" s="194"/>
      <c r="D20" s="194"/>
      <c r="E20" s="194"/>
      <c r="F20" s="189"/>
      <c r="G20" s="38">
        <f t="shared" si="4"/>
        <v>2034</v>
      </c>
      <c r="H20" s="39">
        <v>14</v>
      </c>
      <c r="I20" s="186">
        <f>'Energy Prices'!P19</f>
        <v>27.4</v>
      </c>
      <c r="J20" s="186">
        <f t="shared" si="0"/>
        <v>0</v>
      </c>
      <c r="K20" s="186">
        <f t="shared" si="5"/>
        <v>0</v>
      </c>
      <c r="L20" s="186">
        <v>0</v>
      </c>
      <c r="M20" s="186">
        <v>0</v>
      </c>
      <c r="N20" s="186">
        <f t="shared" si="1"/>
        <v>10.098497668047026</v>
      </c>
      <c r="O20" s="186">
        <f t="shared" si="2"/>
        <v>194.27025425247649</v>
      </c>
      <c r="P20" s="181">
        <f t="shared" si="3"/>
        <v>22.736179753545514</v>
      </c>
      <c r="Q20" s="182"/>
      <c r="R20" s="183"/>
      <c r="S20" s="184"/>
      <c r="T20" s="185"/>
      <c r="U20" s="185"/>
    </row>
    <row r="21" spans="2:21" x14ac:dyDescent="0.2">
      <c r="B21" s="194"/>
      <c r="C21" s="194"/>
      <c r="D21" s="194"/>
      <c r="E21" s="194"/>
      <c r="F21" s="189"/>
      <c r="G21" s="37">
        <f t="shared" si="4"/>
        <v>2035</v>
      </c>
      <c r="H21" s="37">
        <v>15</v>
      </c>
      <c r="I21" s="186">
        <f>'Energy Prices'!P20</f>
        <v>28.25</v>
      </c>
      <c r="J21" s="186">
        <f t="shared" si="0"/>
        <v>0</v>
      </c>
      <c r="K21" s="186">
        <f t="shared" si="5"/>
        <v>0</v>
      </c>
      <c r="L21" s="186">
        <v>0</v>
      </c>
      <c r="M21" s="186">
        <v>0</v>
      </c>
      <c r="N21" s="186">
        <f>(I21+J21+K21+L21+M21)/((1+$E$7)^H21)</f>
        <v>9.6952902791152944</v>
      </c>
      <c r="O21" s="186">
        <f>N21+O20</f>
        <v>203.96554453159177</v>
      </c>
      <c r="P21" s="181">
        <f t="shared" si="3"/>
        <v>22.949093496230017</v>
      </c>
      <c r="Q21" s="182"/>
      <c r="R21" s="183"/>
      <c r="S21" s="184"/>
      <c r="T21" s="185"/>
      <c r="U21" s="185"/>
    </row>
    <row r="22" spans="2:21" x14ac:dyDescent="0.2">
      <c r="B22" s="194"/>
      <c r="C22" s="194"/>
      <c r="D22" s="194"/>
      <c r="E22" s="194"/>
      <c r="F22" s="189"/>
      <c r="G22" s="38">
        <f t="shared" si="4"/>
        <v>2036</v>
      </c>
      <c r="H22" s="39">
        <v>16</v>
      </c>
      <c r="I22" s="186">
        <f>'Energy Prices'!P21</f>
        <v>29.71</v>
      </c>
      <c r="J22" s="186">
        <f t="shared" si="0"/>
        <v>0</v>
      </c>
      <c r="K22" s="186">
        <f t="shared" si="5"/>
        <v>0</v>
      </c>
      <c r="L22" s="186">
        <v>0</v>
      </c>
      <c r="M22" s="186">
        <v>0</v>
      </c>
      <c r="N22" s="186">
        <f t="shared" si="1"/>
        <v>9.4946983970431287</v>
      </c>
      <c r="O22" s="186">
        <f t="shared" si="2"/>
        <v>213.4602429286349</v>
      </c>
      <c r="P22" s="181">
        <f t="shared" si="3"/>
        <v>23.183759575371795</v>
      </c>
      <c r="Q22" s="182"/>
      <c r="R22" s="183"/>
      <c r="S22" s="184"/>
      <c r="T22" s="185"/>
      <c r="U22" s="185"/>
    </row>
    <row r="23" spans="2:21" x14ac:dyDescent="0.2">
      <c r="B23" s="194"/>
      <c r="C23" s="194"/>
      <c r="D23" s="194"/>
      <c r="E23" s="194"/>
      <c r="F23" s="189"/>
      <c r="G23" s="38">
        <f t="shared" si="4"/>
        <v>2037</v>
      </c>
      <c r="H23" s="39">
        <v>17</v>
      </c>
      <c r="I23" s="186">
        <f>'Energy Prices'!P22</f>
        <v>29.43</v>
      </c>
      <c r="J23" s="186">
        <f t="shared" si="0"/>
        <v>0</v>
      </c>
      <c r="K23" s="186">
        <f t="shared" si="5"/>
        <v>0</v>
      </c>
      <c r="L23" s="186">
        <v>0</v>
      </c>
      <c r="M23" s="186">
        <v>0</v>
      </c>
      <c r="N23" s="186">
        <f t="shared" si="1"/>
        <v>8.7580000163914704</v>
      </c>
      <c r="O23" s="186">
        <f t="shared" si="2"/>
        <v>222.21824294502636</v>
      </c>
      <c r="P23" s="181">
        <f t="shared" si="3"/>
        <v>23.379322075501729</v>
      </c>
      <c r="Q23" s="182"/>
      <c r="R23" s="183"/>
      <c r="S23" s="184"/>
      <c r="T23" s="185"/>
      <c r="U23" s="185"/>
    </row>
    <row r="24" spans="2:21" x14ac:dyDescent="0.2">
      <c r="B24" s="194"/>
      <c r="C24" s="194"/>
      <c r="D24" s="194"/>
      <c r="E24" s="194"/>
      <c r="F24" s="189"/>
      <c r="G24" s="38">
        <f t="shared" si="4"/>
        <v>2038</v>
      </c>
      <c r="H24" s="39">
        <v>18</v>
      </c>
      <c r="I24" s="186">
        <f>'Energy Prices'!P23</f>
        <v>29.33</v>
      </c>
      <c r="J24" s="186">
        <f t="shared" si="0"/>
        <v>0</v>
      </c>
      <c r="K24" s="186">
        <f t="shared" si="5"/>
        <v>0</v>
      </c>
      <c r="L24" s="186">
        <v>0</v>
      </c>
      <c r="M24" s="186">
        <v>0</v>
      </c>
      <c r="N24" s="186">
        <f t="shared" si="1"/>
        <v>8.1276108266696259</v>
      </c>
      <c r="O24" s="186">
        <f t="shared" si="2"/>
        <v>230.345853771696</v>
      </c>
      <c r="P24" s="181">
        <f t="shared" si="3"/>
        <v>23.54789545048375</v>
      </c>
      <c r="Q24" s="182"/>
      <c r="R24" s="183"/>
      <c r="S24" s="184"/>
      <c r="T24" s="185"/>
      <c r="U24" s="185"/>
    </row>
    <row r="25" spans="2:21" x14ac:dyDescent="0.2">
      <c r="B25" s="194"/>
      <c r="C25" s="194"/>
      <c r="D25" s="194"/>
      <c r="E25" s="194"/>
      <c r="F25" s="189"/>
      <c r="G25" s="38">
        <f t="shared" si="4"/>
        <v>2039</v>
      </c>
      <c r="H25" s="39">
        <v>19</v>
      </c>
      <c r="I25" s="186">
        <f>'Energy Prices'!P24</f>
        <v>29.12</v>
      </c>
      <c r="J25" s="186">
        <f t="shared" si="0"/>
        <v>0</v>
      </c>
      <c r="K25" s="186">
        <f t="shared" si="5"/>
        <v>0</v>
      </c>
      <c r="L25" s="186">
        <v>0</v>
      </c>
      <c r="M25" s="186">
        <v>0</v>
      </c>
      <c r="N25" s="186">
        <f t="shared" si="1"/>
        <v>7.5141241354467274</v>
      </c>
      <c r="O25" s="186">
        <f t="shared" si="2"/>
        <v>237.85997790714273</v>
      </c>
      <c r="P25" s="181">
        <f t="shared" si="3"/>
        <v>23.691104408160111</v>
      </c>
      <c r="Q25" s="182"/>
      <c r="R25" s="183"/>
      <c r="S25" s="184"/>
      <c r="T25" s="185"/>
      <c r="U25" s="185"/>
    </row>
    <row r="26" spans="2:21" x14ac:dyDescent="0.2">
      <c r="B26" s="194"/>
      <c r="C26" s="194"/>
      <c r="D26" s="194"/>
      <c r="E26" s="194"/>
      <c r="F26" s="189"/>
      <c r="G26" s="38">
        <f t="shared" si="4"/>
        <v>2040</v>
      </c>
      <c r="H26" s="39">
        <v>20</v>
      </c>
      <c r="I26" s="186">
        <f>'Energy Prices'!P25</f>
        <v>29.38</v>
      </c>
      <c r="J26" s="186">
        <f t="shared" ref="J26" si="6">I26*$E$6</f>
        <v>0</v>
      </c>
      <c r="K26" s="186">
        <f t="shared" si="5"/>
        <v>0</v>
      </c>
      <c r="L26" s="186">
        <v>0</v>
      </c>
      <c r="M26" s="186">
        <v>0</v>
      </c>
      <c r="N26" s="186">
        <f t="shared" ref="N26" si="7">(I26+J26+K26+L26+M26)/((1+$E$7)^H26)</f>
        <v>7.0595162766674875</v>
      </c>
      <c r="O26" s="186">
        <f t="shared" ref="O26" si="8">N26+O25</f>
        <v>244.91949418381023</v>
      </c>
      <c r="P26" s="181">
        <f t="shared" si="3"/>
        <v>23.824071369256131</v>
      </c>
      <c r="Q26" s="182"/>
      <c r="R26" s="183"/>
      <c r="S26" s="184"/>
      <c r="T26" s="185"/>
      <c r="U26" s="185"/>
    </row>
    <row r="27" spans="2:21" x14ac:dyDescent="0.2">
      <c r="C27" s="194"/>
      <c r="D27" s="194"/>
      <c r="E27" s="197"/>
      <c r="F27" s="194"/>
      <c r="G27" s="38">
        <f t="shared" si="4"/>
        <v>2041</v>
      </c>
      <c r="H27" s="37">
        <v>21</v>
      </c>
      <c r="I27" s="186">
        <f>'Energy Prices'!P26</f>
        <v>30.39487115211346</v>
      </c>
      <c r="J27" s="186">
        <f>I27*$E$6</f>
        <v>0</v>
      </c>
      <c r="K27" s="186">
        <f t="shared" si="5"/>
        <v>0</v>
      </c>
      <c r="L27" s="186">
        <v>0</v>
      </c>
      <c r="M27" s="186">
        <v>0</v>
      </c>
      <c r="N27" s="186">
        <f>(I27+J27+K27+L27+M27)/((1+$E$7)^H27)</f>
        <v>6.8007939488782378</v>
      </c>
      <c r="O27" s="186">
        <f>N27+O26</f>
        <v>251.72028813268847</v>
      </c>
      <c r="P27" s="181">
        <f t="shared" si="3"/>
        <v>23.964036319179893</v>
      </c>
      <c r="Q27" s="182"/>
      <c r="R27" s="183"/>
      <c r="S27" s="184"/>
      <c r="T27" s="185"/>
      <c r="U27" s="185"/>
    </row>
    <row r="28" spans="2:21" x14ac:dyDescent="0.2">
      <c r="C28" s="194"/>
      <c r="D28" s="194"/>
      <c r="E28" s="197"/>
      <c r="F28" s="194"/>
      <c r="G28" s="38"/>
      <c r="H28" s="37"/>
      <c r="I28" s="194"/>
      <c r="J28" s="194"/>
      <c r="K28" s="194"/>
      <c r="L28" s="194"/>
      <c r="M28" s="194"/>
      <c r="N28" s="194"/>
      <c r="O28" s="194"/>
      <c r="P28" s="194"/>
      <c r="Q28" s="182"/>
      <c r="R28" s="183"/>
      <c r="S28" s="184"/>
      <c r="T28" s="185"/>
      <c r="U28" s="185"/>
    </row>
    <row r="29" spans="2:21" ht="15.75" x14ac:dyDescent="0.25">
      <c r="B29" s="28"/>
      <c r="C29" s="53"/>
      <c r="D29" s="194"/>
      <c r="E29" s="197"/>
      <c r="F29" s="194"/>
      <c r="H29" s="194"/>
      <c r="I29" s="194"/>
      <c r="J29" s="194"/>
      <c r="K29" s="194"/>
      <c r="L29" s="194"/>
      <c r="M29" s="194"/>
      <c r="N29" s="194"/>
      <c r="O29" s="194"/>
      <c r="P29" s="194"/>
      <c r="Q29" s="182"/>
      <c r="R29" s="183"/>
      <c r="S29" s="184"/>
      <c r="T29" s="185"/>
      <c r="U29" s="185"/>
    </row>
    <row r="30" spans="2:21" ht="15.75" x14ac:dyDescent="0.25">
      <c r="B30" s="28"/>
      <c r="C30" s="57"/>
      <c r="D30" s="194"/>
      <c r="E30" s="197"/>
      <c r="F30" s="194"/>
      <c r="H30" s="194"/>
      <c r="I30" s="194"/>
      <c r="J30" s="194"/>
      <c r="K30" s="194"/>
      <c r="L30" s="194"/>
      <c r="M30" s="194"/>
      <c r="N30" s="194"/>
      <c r="O30" s="194"/>
      <c r="P30" s="194"/>
      <c r="Q30" s="182"/>
      <c r="R30" s="183"/>
      <c r="S30" s="184"/>
      <c r="T30" s="185"/>
      <c r="U30" s="185"/>
    </row>
    <row r="31" spans="2:21" ht="15.75" x14ac:dyDescent="0.25">
      <c r="B31" s="28"/>
      <c r="C31" s="53"/>
      <c r="D31" s="53"/>
      <c r="F31" s="194"/>
      <c r="Q31" s="194"/>
      <c r="R31" s="194"/>
      <c r="S31" s="194"/>
      <c r="T31" s="194"/>
      <c r="U31" s="194"/>
    </row>
    <row r="32" spans="2:21" ht="15.75" x14ac:dyDescent="0.25">
      <c r="B32" s="22"/>
    </row>
    <row r="33" spans="2:2" ht="15.75" x14ac:dyDescent="0.25">
      <c r="B33" s="28"/>
    </row>
  </sheetData>
  <customSheetViews>
    <customSheetView guid="{7616AFB9-3DAD-45EA-BAD3-1A4EF1124EEE}" fitToPage="1">
      <selection activeCell="E8" sqref="E8"/>
      <pageMargins left="0.75" right="0.5" top="0.76" bottom="0.79" header="0.5" footer="0.26"/>
      <pageSetup scale="63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>
      <selection activeCell="E8" sqref="E8"/>
      <pageMargins left="0.75" right="0.5" top="0.76" bottom="0.79" header="0.5" footer="0.26"/>
      <pageSetup scale="63" orientation="landscape" r:id="rId2"/>
      <headerFooter alignWithMargins="0">
        <oddFooter>&amp;L&amp;F&amp;C&amp;A&amp;RPSE Advice No. 2018-48 &amp;D
Page &amp;P of &amp;N</oddFooter>
      </headerFooter>
    </customSheetView>
  </customSheetViews>
  <phoneticPr fontId="14" type="noConversion"/>
  <pageMargins left="0.75" right="0.5" top="0.76" bottom="0.79" header="0.5" footer="0.26"/>
  <pageSetup scale="63"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  <pageSetUpPr fitToPage="1"/>
  </sheetPr>
  <dimension ref="A1:Y29"/>
  <sheetViews>
    <sheetView workbookViewId="0">
      <selection activeCell="E9" sqref="E9"/>
    </sheetView>
  </sheetViews>
  <sheetFormatPr defaultColWidth="9.140625" defaultRowHeight="15" x14ac:dyDescent="0.2"/>
  <cols>
    <col min="1" max="1" width="2.7109375" style="33" customWidth="1"/>
    <col min="2" max="2" width="25.7109375" style="33" customWidth="1"/>
    <col min="3" max="3" width="17.42578125" style="33" customWidth="1"/>
    <col min="4" max="4" width="3.42578125" style="33" customWidth="1"/>
    <col min="5" max="5" width="15.5703125" style="33" customWidth="1"/>
    <col min="6" max="6" width="2.7109375" style="33" customWidth="1"/>
    <col min="7" max="7" width="9.7109375" style="33" customWidth="1"/>
    <col min="8" max="8" width="16.7109375" style="33" customWidth="1"/>
    <col min="9" max="9" width="16.42578125" style="44" customWidth="1"/>
    <col min="10" max="10" width="18.5703125" style="33" customWidth="1"/>
    <col min="11" max="11" width="19" style="33" customWidth="1"/>
    <col min="12" max="14" width="22.28515625" style="33" customWidth="1"/>
    <col min="15" max="15" width="2.7109375" style="33" customWidth="1"/>
    <col min="16" max="16" width="16.42578125" style="44" customWidth="1"/>
    <col min="17" max="17" width="16.7109375" style="169" customWidth="1"/>
    <col min="18" max="18" width="18.5703125" style="33" customWidth="1"/>
    <col min="19" max="19" width="19" style="33" customWidth="1"/>
    <col min="20" max="22" width="22.28515625" style="33" customWidth="1"/>
    <col min="23" max="23" width="2.7109375" style="33" customWidth="1"/>
    <col min="24" max="25" width="22.28515625" style="33" customWidth="1"/>
    <col min="26" max="16384" width="9.140625" style="33"/>
  </cols>
  <sheetData>
    <row r="1" spans="1:25" x14ac:dyDescent="0.2">
      <c r="B1" s="14"/>
    </row>
    <row r="3" spans="1:25" ht="15.75" thickBot="1" x14ac:dyDescent="0.25">
      <c r="I3" s="165"/>
    </row>
    <row r="4" spans="1:25" ht="63" x14ac:dyDescent="0.25">
      <c r="G4" s="15" t="s">
        <v>15</v>
      </c>
      <c r="H4" s="16" t="s">
        <v>1</v>
      </c>
      <c r="I4" s="17" t="s">
        <v>16</v>
      </c>
      <c r="J4" s="16" t="s">
        <v>17</v>
      </c>
      <c r="K4" s="16" t="s">
        <v>18</v>
      </c>
      <c r="L4" s="3" t="s">
        <v>19</v>
      </c>
      <c r="M4" s="3" t="s">
        <v>19</v>
      </c>
      <c r="N4" s="3" t="s">
        <v>19</v>
      </c>
      <c r="P4" s="17" t="s">
        <v>73</v>
      </c>
      <c r="Q4" s="17" t="s">
        <v>50</v>
      </c>
      <c r="R4" s="16" t="s">
        <v>17</v>
      </c>
      <c r="S4" s="16" t="s">
        <v>18</v>
      </c>
      <c r="T4" s="3" t="s">
        <v>19</v>
      </c>
      <c r="U4" s="3" t="s">
        <v>19</v>
      </c>
      <c r="V4" s="3" t="s">
        <v>19</v>
      </c>
      <c r="X4" s="224" t="s">
        <v>19</v>
      </c>
      <c r="Y4" s="225" t="s">
        <v>19</v>
      </c>
    </row>
    <row r="5" spans="1:25" ht="15.75" x14ac:dyDescent="0.25">
      <c r="B5" s="50"/>
      <c r="C5" s="50"/>
      <c r="D5" s="50"/>
      <c r="G5" s="18"/>
      <c r="H5" s="18" t="s">
        <v>20</v>
      </c>
      <c r="I5" s="19" t="s">
        <v>128</v>
      </c>
      <c r="J5" s="19" t="s">
        <v>128</v>
      </c>
      <c r="K5" s="19" t="s">
        <v>128</v>
      </c>
      <c r="L5" s="19" t="s">
        <v>128</v>
      </c>
      <c r="M5" s="4" t="s">
        <v>34</v>
      </c>
      <c r="N5" s="4" t="s">
        <v>35</v>
      </c>
      <c r="P5" s="19" t="s">
        <v>128</v>
      </c>
      <c r="Q5" s="19" t="s">
        <v>128</v>
      </c>
      <c r="R5" s="19" t="s">
        <v>128</v>
      </c>
      <c r="S5" s="19" t="s">
        <v>128</v>
      </c>
      <c r="T5" s="19" t="s">
        <v>128</v>
      </c>
      <c r="U5" s="4" t="s">
        <v>34</v>
      </c>
      <c r="V5" s="4" t="s">
        <v>35</v>
      </c>
      <c r="X5" s="226" t="s">
        <v>34</v>
      </c>
      <c r="Y5" s="227" t="s">
        <v>35</v>
      </c>
    </row>
    <row r="6" spans="1:25" ht="15.75" x14ac:dyDescent="0.25">
      <c r="A6" s="170"/>
      <c r="B6" s="170"/>
      <c r="C6" s="164" t="s">
        <v>129</v>
      </c>
      <c r="D6" s="164" t="str">
        <f>+P6</f>
        <v>[4]</v>
      </c>
      <c r="E6" s="200">
        <v>0</v>
      </c>
      <c r="F6" s="45"/>
      <c r="G6" s="168" t="s">
        <v>21</v>
      </c>
      <c r="H6" s="168" t="s">
        <v>22</v>
      </c>
      <c r="I6" s="168" t="s">
        <v>23</v>
      </c>
      <c r="J6" s="168" t="s">
        <v>30</v>
      </c>
      <c r="K6" s="168" t="s">
        <v>26</v>
      </c>
      <c r="L6" s="168" t="s">
        <v>27</v>
      </c>
      <c r="M6" s="168" t="s">
        <v>36</v>
      </c>
      <c r="N6" s="168" t="s">
        <v>72</v>
      </c>
      <c r="P6" s="168" t="s">
        <v>24</v>
      </c>
      <c r="Q6" s="168" t="s">
        <v>25</v>
      </c>
      <c r="R6" s="168" t="s">
        <v>30</v>
      </c>
      <c r="S6" s="168" t="s">
        <v>26</v>
      </c>
      <c r="T6" s="168" t="s">
        <v>27</v>
      </c>
      <c r="U6" s="168" t="s">
        <v>36</v>
      </c>
      <c r="V6" s="168" t="s">
        <v>72</v>
      </c>
      <c r="X6" s="228" t="s">
        <v>36</v>
      </c>
      <c r="Y6" s="229" t="s">
        <v>72</v>
      </c>
    </row>
    <row r="7" spans="1:25" ht="15.75" x14ac:dyDescent="0.25">
      <c r="A7" s="170"/>
      <c r="B7" s="50"/>
      <c r="C7" s="20" t="s">
        <v>127</v>
      </c>
      <c r="D7" s="20" t="str">
        <f>+Q6</f>
        <v>[5]</v>
      </c>
      <c r="E7" s="46">
        <v>0</v>
      </c>
      <c r="F7" s="47"/>
      <c r="G7" s="171">
        <f>'Capacity Delivered'!C7</f>
        <v>2021</v>
      </c>
      <c r="H7" s="166">
        <v>1</v>
      </c>
      <c r="I7" s="172">
        <f>'Capacity Delivered'!G7</f>
        <v>95.27</v>
      </c>
      <c r="J7" s="32">
        <f>SUM(I7)/((1+$E$8)^H7)</f>
        <v>88.71403296396312</v>
      </c>
      <c r="K7" s="167">
        <f>J7</f>
        <v>88.71403296396312</v>
      </c>
      <c r="L7" s="41">
        <f>(-PMT($E$8,H7,(K7)))</f>
        <v>95.27</v>
      </c>
      <c r="M7" s="167">
        <f>+L7/'Capacity Delivered'!N8*1000</f>
        <v>10.875570776255707</v>
      </c>
      <c r="N7" s="222">
        <f t="shared" ref="N7:N27" si="0">M7/1000</f>
        <v>1.0875570776255707E-2</v>
      </c>
      <c r="P7" s="177">
        <f>E13</f>
        <v>0</v>
      </c>
      <c r="Q7" s="177">
        <f t="shared" ref="Q7:Q27" si="1">(I7+P7)*$E$7</f>
        <v>0</v>
      </c>
      <c r="R7" s="177">
        <f t="shared" ref="R7:R27" si="2">SUM(P7:Q7)/((1+$E$8)^H7)</f>
        <v>0</v>
      </c>
      <c r="S7" s="177">
        <f>R7</f>
        <v>0</v>
      </c>
      <c r="T7" s="287">
        <f>(-PMT($E$8,H7,(S7)))</f>
        <v>0</v>
      </c>
      <c r="U7" s="167">
        <f>+T7/'Capacity Delivered'!L7*1000</f>
        <v>0</v>
      </c>
      <c r="V7" s="222">
        <f t="shared" ref="V7:V20" si="3">U7/1000</f>
        <v>0</v>
      </c>
      <c r="X7" s="230">
        <f>M7+U7</f>
        <v>10.875570776255707</v>
      </c>
      <c r="Y7" s="231">
        <f t="shared" ref="Y7:Y20" si="4">X7/1000</f>
        <v>1.0875570776255707E-2</v>
      </c>
    </row>
    <row r="8" spans="1:25" ht="15.75" x14ac:dyDescent="0.25">
      <c r="A8" s="170"/>
      <c r="B8" s="50"/>
      <c r="C8" s="20" t="s">
        <v>46</v>
      </c>
      <c r="D8" s="20"/>
      <c r="E8" s="46">
        <f>Rate_of_Return</f>
        <v>7.3899999999999993E-2</v>
      </c>
      <c r="F8" s="47"/>
      <c r="G8" s="38">
        <f>G7+1</f>
        <v>2022</v>
      </c>
      <c r="H8" s="39">
        <v>2</v>
      </c>
      <c r="I8" s="172">
        <f>'Capacity Delivered'!G8</f>
        <v>95.27</v>
      </c>
      <c r="J8" s="40">
        <f t="shared" ref="J8:J27" si="5">SUM(I8)/((1+$E$8)^H8)</f>
        <v>82.609212183595403</v>
      </c>
      <c r="K8" s="41">
        <f t="shared" ref="K8:K26" si="6">K7+J8</f>
        <v>171.32324514755851</v>
      </c>
      <c r="L8" s="41">
        <f t="shared" ref="L8:L27" si="7">(-PMT($E$8,H8,(K8)))</f>
        <v>95.269999999999953</v>
      </c>
      <c r="M8" s="41">
        <f>+L8/'Capacity Delivered'!N9*1000</f>
        <v>10.875570776255703</v>
      </c>
      <c r="N8" s="223">
        <f t="shared" si="0"/>
        <v>1.0875570776255703E-2</v>
      </c>
      <c r="P8" s="172">
        <f t="shared" ref="P8:P27" si="8">P7+(P7*$E$9)</f>
        <v>0</v>
      </c>
      <c r="Q8" s="172">
        <f t="shared" si="1"/>
        <v>0</v>
      </c>
      <c r="R8" s="172">
        <f t="shared" si="2"/>
        <v>0</v>
      </c>
      <c r="S8" s="172">
        <f t="shared" ref="S8:S12" si="9">S7+R8</f>
        <v>0</v>
      </c>
      <c r="T8" s="287">
        <f t="shared" ref="T8:T27" si="10">(-PMT($E$8,H8,(S8)))</f>
        <v>0</v>
      </c>
      <c r="U8" s="41">
        <f>+T8/'Capacity Delivered'!L8*1000</f>
        <v>0</v>
      </c>
      <c r="V8" s="223">
        <f t="shared" si="3"/>
        <v>0</v>
      </c>
      <c r="X8" s="230">
        <f t="shared" ref="X8:X27" si="11">M8+U8</f>
        <v>10.875570776255703</v>
      </c>
      <c r="Y8" s="231">
        <f t="shared" si="4"/>
        <v>1.0875570776255703E-2</v>
      </c>
    </row>
    <row r="9" spans="1:25" ht="15.75" x14ac:dyDescent="0.25">
      <c r="A9" s="170"/>
      <c r="B9" s="50"/>
      <c r="C9" s="20" t="s">
        <v>47</v>
      </c>
      <c r="D9" s="20"/>
      <c r="E9" s="46">
        <f>+FlatLoadShapeEnergy_perMWh!E8</f>
        <v>2.5000000000000001E-2</v>
      </c>
      <c r="F9" s="49"/>
      <c r="G9" s="38">
        <f t="shared" ref="G9:G27" si="12">G8+1</f>
        <v>2023</v>
      </c>
      <c r="H9" s="39">
        <v>3</v>
      </c>
      <c r="I9" s="172">
        <f>'Capacity Delivered'!G9</f>
        <v>95.27</v>
      </c>
      <c r="J9" s="40">
        <f t="shared" si="5"/>
        <v>76.924492209326203</v>
      </c>
      <c r="K9" s="41">
        <f t="shared" si="6"/>
        <v>248.24773735688473</v>
      </c>
      <c r="L9" s="41">
        <f t="shared" si="7"/>
        <v>95.269999999999968</v>
      </c>
      <c r="M9" s="41">
        <f>+L9/'Capacity Delivered'!N10*1000</f>
        <v>10.845856102003639</v>
      </c>
      <c r="N9" s="223">
        <f t="shared" si="0"/>
        <v>1.0845856102003639E-2</v>
      </c>
      <c r="P9" s="172">
        <f t="shared" si="8"/>
        <v>0</v>
      </c>
      <c r="Q9" s="172">
        <f t="shared" si="1"/>
        <v>0</v>
      </c>
      <c r="R9" s="172">
        <f t="shared" si="2"/>
        <v>0</v>
      </c>
      <c r="S9" s="172">
        <f t="shared" si="9"/>
        <v>0</v>
      </c>
      <c r="T9" s="287">
        <f t="shared" si="10"/>
        <v>0</v>
      </c>
      <c r="U9" s="41">
        <f>+T9/'Capacity Delivered'!L9*1000</f>
        <v>0</v>
      </c>
      <c r="V9" s="223">
        <f t="shared" si="3"/>
        <v>0</v>
      </c>
      <c r="X9" s="230">
        <f t="shared" si="11"/>
        <v>10.845856102003639</v>
      </c>
      <c r="Y9" s="231">
        <f t="shared" si="4"/>
        <v>1.0845856102003639E-2</v>
      </c>
    </row>
    <row r="10" spans="1:25" ht="15.75" x14ac:dyDescent="0.25">
      <c r="B10" s="50"/>
      <c r="C10" s="20"/>
      <c r="D10" s="20"/>
      <c r="E10" s="51"/>
      <c r="F10" s="47"/>
      <c r="G10" s="38">
        <f t="shared" si="12"/>
        <v>2024</v>
      </c>
      <c r="H10" s="39">
        <v>4</v>
      </c>
      <c r="I10" s="172">
        <f>'Capacity Delivered'!G10</f>
        <v>95.27</v>
      </c>
      <c r="J10" s="40">
        <f t="shared" si="5"/>
        <v>71.630963971809479</v>
      </c>
      <c r="K10" s="41">
        <f t="shared" si="6"/>
        <v>319.87870132869421</v>
      </c>
      <c r="L10" s="41">
        <f t="shared" si="7"/>
        <v>95.269999999999968</v>
      </c>
      <c r="M10" s="41">
        <f>+L10/'Capacity Delivered'!N11*1000</f>
        <v>10.875570776255705</v>
      </c>
      <c r="N10" s="223">
        <f t="shared" si="0"/>
        <v>1.0875570776255705E-2</v>
      </c>
      <c r="P10" s="172">
        <f t="shared" si="8"/>
        <v>0</v>
      </c>
      <c r="Q10" s="172">
        <f t="shared" si="1"/>
        <v>0</v>
      </c>
      <c r="R10" s="172">
        <f t="shared" si="2"/>
        <v>0</v>
      </c>
      <c r="S10" s="172">
        <f t="shared" si="9"/>
        <v>0</v>
      </c>
      <c r="T10" s="287">
        <f t="shared" si="10"/>
        <v>0</v>
      </c>
      <c r="U10" s="41">
        <f>+T10/'Capacity Delivered'!L10*1000</f>
        <v>0</v>
      </c>
      <c r="V10" s="223">
        <f t="shared" si="3"/>
        <v>0</v>
      </c>
      <c r="X10" s="230">
        <f t="shared" si="11"/>
        <v>10.875570776255705</v>
      </c>
      <c r="Y10" s="231">
        <f t="shared" si="4"/>
        <v>1.0875570776255705E-2</v>
      </c>
    </row>
    <row r="11" spans="1:25" s="44" customFormat="1" ht="15.75" x14ac:dyDescent="0.25">
      <c r="B11" s="50"/>
      <c r="C11" s="20"/>
      <c r="D11" s="20"/>
      <c r="E11" s="51"/>
      <c r="F11" s="239"/>
      <c r="G11" s="37">
        <f t="shared" si="12"/>
        <v>2025</v>
      </c>
      <c r="H11" s="37">
        <v>5</v>
      </c>
      <c r="I11" s="172">
        <f>'Capacity Delivered'!G11</f>
        <v>95.27</v>
      </c>
      <c r="J11" s="240">
        <f t="shared" si="5"/>
        <v>66.701707767771182</v>
      </c>
      <c r="K11" s="241">
        <f t="shared" si="6"/>
        <v>386.58040909646536</v>
      </c>
      <c r="L11" s="241">
        <f t="shared" si="7"/>
        <v>95.269999999999968</v>
      </c>
      <c r="M11" s="241">
        <f>+L11/'Capacity Delivered'!N12*1000</f>
        <v>10.875570776255705</v>
      </c>
      <c r="N11" s="242">
        <f t="shared" si="0"/>
        <v>1.0875570776255705E-2</v>
      </c>
      <c r="O11" s="249"/>
      <c r="P11" s="172">
        <f t="shared" si="8"/>
        <v>0</v>
      </c>
      <c r="Q11" s="172">
        <f t="shared" si="1"/>
        <v>0</v>
      </c>
      <c r="R11" s="172">
        <f t="shared" si="2"/>
        <v>0</v>
      </c>
      <c r="S11" s="172">
        <f t="shared" si="9"/>
        <v>0</v>
      </c>
      <c r="T11" s="287">
        <f t="shared" si="10"/>
        <v>0</v>
      </c>
      <c r="U11" s="241">
        <f>+T11/'Capacity Delivered'!L11*1000</f>
        <v>0</v>
      </c>
      <c r="V11" s="242">
        <f t="shared" si="3"/>
        <v>0</v>
      </c>
      <c r="W11" s="249"/>
      <c r="X11" s="243">
        <f>M11+U11</f>
        <v>10.875570776255705</v>
      </c>
      <c r="Y11" s="244">
        <f t="shared" si="4"/>
        <v>1.0875570776255705E-2</v>
      </c>
    </row>
    <row r="12" spans="1:25" s="44" customFormat="1" ht="15.75" x14ac:dyDescent="0.25">
      <c r="B12" s="50"/>
      <c r="C12" s="20"/>
      <c r="D12" s="20"/>
      <c r="E12" s="51"/>
      <c r="F12" s="239"/>
      <c r="G12" s="38">
        <f t="shared" si="12"/>
        <v>2026</v>
      </c>
      <c r="H12" s="37">
        <v>6</v>
      </c>
      <c r="I12" s="172">
        <f>'Capacity Delivered'!G12</f>
        <v>95.27</v>
      </c>
      <c r="J12" s="240">
        <f t="shared" si="5"/>
        <v>62.11165636257676</v>
      </c>
      <c r="K12" s="241">
        <f t="shared" si="6"/>
        <v>448.69206545904211</v>
      </c>
      <c r="L12" s="241">
        <f t="shared" si="7"/>
        <v>95.269999999999953</v>
      </c>
      <c r="M12" s="241">
        <f>+L12/'Capacity Delivered'!N13*1000</f>
        <v>10.875570776255703</v>
      </c>
      <c r="N12" s="242">
        <f t="shared" si="0"/>
        <v>1.0875570776255703E-2</v>
      </c>
      <c r="P12" s="172">
        <f t="shared" si="8"/>
        <v>0</v>
      </c>
      <c r="Q12" s="172">
        <f t="shared" si="1"/>
        <v>0</v>
      </c>
      <c r="R12" s="172">
        <f t="shared" si="2"/>
        <v>0</v>
      </c>
      <c r="S12" s="172">
        <f t="shared" si="9"/>
        <v>0</v>
      </c>
      <c r="T12" s="287">
        <f t="shared" si="10"/>
        <v>0</v>
      </c>
      <c r="U12" s="241">
        <f>+T12/'Capacity Delivered'!L12*1000</f>
        <v>0</v>
      </c>
      <c r="V12" s="242">
        <f t="shared" si="3"/>
        <v>0</v>
      </c>
      <c r="X12" s="243">
        <f t="shared" si="11"/>
        <v>10.875570776255703</v>
      </c>
      <c r="Y12" s="244">
        <f t="shared" si="4"/>
        <v>1.0875570776255703E-2</v>
      </c>
    </row>
    <row r="13" spans="1:25" s="44" customFormat="1" ht="15.75" x14ac:dyDescent="0.25">
      <c r="B13" s="50"/>
      <c r="C13" s="20"/>
      <c r="D13" s="20"/>
      <c r="E13" s="51"/>
      <c r="F13" s="239"/>
      <c r="G13" s="38">
        <f t="shared" si="12"/>
        <v>2027</v>
      </c>
      <c r="H13" s="37">
        <v>7</v>
      </c>
      <c r="I13" s="172">
        <f>'Capacity Delivered'!G13</f>
        <v>95.27</v>
      </c>
      <c r="J13" s="240">
        <f t="shared" si="5"/>
        <v>57.837467513340862</v>
      </c>
      <c r="K13" s="241">
        <f>K12+J13</f>
        <v>506.52953297238298</v>
      </c>
      <c r="L13" s="241">
        <f t="shared" si="7"/>
        <v>95.269999999999968</v>
      </c>
      <c r="M13" s="241">
        <f>+L13/'Capacity Delivered'!N14*1000</f>
        <v>10.845856102003639</v>
      </c>
      <c r="N13" s="242">
        <f t="shared" si="0"/>
        <v>1.0845856102003639E-2</v>
      </c>
      <c r="P13" s="172">
        <f>P12+(P12*$E$9)</f>
        <v>0</v>
      </c>
      <c r="Q13" s="172">
        <f t="shared" si="1"/>
        <v>0</v>
      </c>
      <c r="R13" s="172">
        <f t="shared" si="2"/>
        <v>0</v>
      </c>
      <c r="S13" s="172">
        <f>S12+R13</f>
        <v>0</v>
      </c>
      <c r="T13" s="287">
        <f t="shared" si="10"/>
        <v>0</v>
      </c>
      <c r="U13" s="241">
        <f>+T13/'Capacity Delivered'!L13*1000</f>
        <v>0</v>
      </c>
      <c r="V13" s="242">
        <f t="shared" si="3"/>
        <v>0</v>
      </c>
      <c r="X13" s="243">
        <f t="shared" si="11"/>
        <v>10.845856102003639</v>
      </c>
      <c r="Y13" s="244">
        <f t="shared" si="4"/>
        <v>1.0845856102003639E-2</v>
      </c>
    </row>
    <row r="14" spans="1:25" s="44" customFormat="1" ht="15.75" x14ac:dyDescent="0.25">
      <c r="B14" s="50"/>
      <c r="C14" s="20"/>
      <c r="D14" s="20"/>
      <c r="E14" s="51"/>
      <c r="F14" s="239"/>
      <c r="G14" s="38">
        <f t="shared" si="12"/>
        <v>2028</v>
      </c>
      <c r="H14" s="37">
        <v>8</v>
      </c>
      <c r="I14" s="172">
        <f>'Capacity Delivered'!G14</f>
        <v>95.27</v>
      </c>
      <c r="J14" s="240">
        <f t="shared" si="5"/>
        <v>53.857405264308461</v>
      </c>
      <c r="K14" s="241">
        <f t="shared" si="6"/>
        <v>560.38693823669144</v>
      </c>
      <c r="L14" s="241">
        <f t="shared" si="7"/>
        <v>95.269999999999953</v>
      </c>
      <c r="M14" s="241">
        <f>+L14/'Capacity Delivered'!N15*1000</f>
        <v>10.875570776255703</v>
      </c>
      <c r="N14" s="242">
        <f t="shared" si="0"/>
        <v>1.0875570776255703E-2</v>
      </c>
      <c r="P14" s="172">
        <f t="shared" si="8"/>
        <v>0</v>
      </c>
      <c r="Q14" s="172">
        <f t="shared" si="1"/>
        <v>0</v>
      </c>
      <c r="R14" s="172">
        <f t="shared" si="2"/>
        <v>0</v>
      </c>
      <c r="S14" s="172">
        <f t="shared" ref="S14:S20" si="13">S13+R14</f>
        <v>0</v>
      </c>
      <c r="T14" s="287">
        <f t="shared" si="10"/>
        <v>0</v>
      </c>
      <c r="U14" s="241">
        <f>+T14/'Capacity Delivered'!L14*1000</f>
        <v>0</v>
      </c>
      <c r="V14" s="242">
        <f t="shared" si="3"/>
        <v>0</v>
      </c>
      <c r="X14" s="243">
        <f t="shared" si="11"/>
        <v>10.875570776255703</v>
      </c>
      <c r="Y14" s="244">
        <f t="shared" si="4"/>
        <v>1.0875570776255703E-2</v>
      </c>
    </row>
    <row r="15" spans="1:25" s="44" customFormat="1" ht="15.75" x14ac:dyDescent="0.25">
      <c r="B15" s="50"/>
      <c r="C15" s="20"/>
      <c r="D15" s="20"/>
      <c r="E15" s="51"/>
      <c r="F15" s="239"/>
      <c r="G15" s="38">
        <f t="shared" si="12"/>
        <v>2029</v>
      </c>
      <c r="H15" s="37">
        <v>9</v>
      </c>
      <c r="I15" s="172">
        <f>'Capacity Delivered'!G15</f>
        <v>95.27</v>
      </c>
      <c r="J15" s="240">
        <f t="shared" si="5"/>
        <v>50.151229410846874</v>
      </c>
      <c r="K15" s="241">
        <f t="shared" si="6"/>
        <v>610.53816764753833</v>
      </c>
      <c r="L15" s="241">
        <f t="shared" si="7"/>
        <v>95.269999999999968</v>
      </c>
      <c r="M15" s="241">
        <f>+L15/'Capacity Delivered'!N16*1000</f>
        <v>10.875570776255705</v>
      </c>
      <c r="N15" s="242">
        <f t="shared" si="0"/>
        <v>1.0875570776255705E-2</v>
      </c>
      <c r="P15" s="172">
        <f t="shared" si="8"/>
        <v>0</v>
      </c>
      <c r="Q15" s="172">
        <f t="shared" si="1"/>
        <v>0</v>
      </c>
      <c r="R15" s="172">
        <f t="shared" si="2"/>
        <v>0</v>
      </c>
      <c r="S15" s="172">
        <f t="shared" si="13"/>
        <v>0</v>
      </c>
      <c r="T15" s="287">
        <f t="shared" si="10"/>
        <v>0</v>
      </c>
      <c r="U15" s="241">
        <f>+T15/'Capacity Delivered'!L15*1000</f>
        <v>0</v>
      </c>
      <c r="V15" s="242">
        <f t="shared" si="3"/>
        <v>0</v>
      </c>
      <c r="X15" s="243">
        <f t="shared" si="11"/>
        <v>10.875570776255705</v>
      </c>
      <c r="Y15" s="244">
        <f t="shared" si="4"/>
        <v>1.0875570776255705E-2</v>
      </c>
    </row>
    <row r="16" spans="1:25" s="44" customFormat="1" ht="15.75" x14ac:dyDescent="0.25">
      <c r="B16" s="50"/>
      <c r="C16" s="20"/>
      <c r="D16" s="20"/>
      <c r="E16" s="51"/>
      <c r="F16" s="239"/>
      <c r="G16" s="37">
        <f t="shared" si="12"/>
        <v>2030</v>
      </c>
      <c r="H16" s="37">
        <v>10</v>
      </c>
      <c r="I16" s="172">
        <f>'Capacity Delivered'!G16</f>
        <v>95.27</v>
      </c>
      <c r="J16" s="240">
        <f t="shared" si="5"/>
        <v>46.700092569929119</v>
      </c>
      <c r="K16" s="241">
        <f t="shared" si="6"/>
        <v>657.23826021746743</v>
      </c>
      <c r="L16" s="241">
        <f t="shared" si="7"/>
        <v>95.269999999999953</v>
      </c>
      <c r="M16" s="241">
        <f>+L16/'Capacity Delivered'!N17*1000</f>
        <v>10.875570776255703</v>
      </c>
      <c r="N16" s="242">
        <f t="shared" si="0"/>
        <v>1.0875570776255703E-2</v>
      </c>
      <c r="O16" s="249"/>
      <c r="P16" s="172">
        <f t="shared" si="8"/>
        <v>0</v>
      </c>
      <c r="Q16" s="172">
        <f t="shared" si="1"/>
        <v>0</v>
      </c>
      <c r="R16" s="172">
        <f t="shared" si="2"/>
        <v>0</v>
      </c>
      <c r="S16" s="172">
        <f t="shared" si="13"/>
        <v>0</v>
      </c>
      <c r="T16" s="287">
        <f t="shared" si="10"/>
        <v>0</v>
      </c>
      <c r="U16" s="241">
        <f>+T16/'Capacity Delivered'!L16*1000</f>
        <v>0</v>
      </c>
      <c r="V16" s="242">
        <f t="shared" si="3"/>
        <v>0</v>
      </c>
      <c r="W16" s="249"/>
      <c r="X16" s="243">
        <f t="shared" si="11"/>
        <v>10.875570776255703</v>
      </c>
      <c r="Y16" s="244">
        <f t="shared" si="4"/>
        <v>1.0875570776255703E-2</v>
      </c>
    </row>
    <row r="17" spans="2:25" s="44" customFormat="1" ht="15.75" x14ac:dyDescent="0.25">
      <c r="B17" s="50"/>
      <c r="C17" s="20"/>
      <c r="D17" s="20"/>
      <c r="E17" s="51"/>
      <c r="F17" s="239"/>
      <c r="G17" s="38">
        <f t="shared" si="12"/>
        <v>2031</v>
      </c>
      <c r="H17" s="37">
        <v>11</v>
      </c>
      <c r="I17" s="172">
        <f>'Capacity Delivered'!G17</f>
        <v>95.27</v>
      </c>
      <c r="J17" s="240">
        <f t="shared" si="5"/>
        <v>43.486444333670839</v>
      </c>
      <c r="K17" s="241">
        <f t="shared" si="6"/>
        <v>700.7247045511383</v>
      </c>
      <c r="L17" s="241">
        <f t="shared" si="7"/>
        <v>95.269999999999968</v>
      </c>
      <c r="M17" s="241">
        <f>+L17/'Capacity Delivered'!N18*1000</f>
        <v>10.845856102003639</v>
      </c>
      <c r="N17" s="242">
        <f t="shared" si="0"/>
        <v>1.0845856102003639E-2</v>
      </c>
      <c r="P17" s="172">
        <f t="shared" si="8"/>
        <v>0</v>
      </c>
      <c r="Q17" s="172">
        <f t="shared" si="1"/>
        <v>0</v>
      </c>
      <c r="R17" s="172">
        <f t="shared" si="2"/>
        <v>0</v>
      </c>
      <c r="S17" s="172">
        <f t="shared" si="13"/>
        <v>0</v>
      </c>
      <c r="T17" s="287">
        <f t="shared" si="10"/>
        <v>0</v>
      </c>
      <c r="U17" s="241">
        <f>+T17/'Capacity Delivered'!L17*1000</f>
        <v>0</v>
      </c>
      <c r="V17" s="242">
        <f t="shared" si="3"/>
        <v>0</v>
      </c>
      <c r="X17" s="243">
        <f t="shared" si="11"/>
        <v>10.845856102003639</v>
      </c>
      <c r="Y17" s="244">
        <f t="shared" si="4"/>
        <v>1.0845856102003639E-2</v>
      </c>
    </row>
    <row r="18" spans="2:25" s="44" customFormat="1" x14ac:dyDescent="0.2">
      <c r="B18" s="248"/>
      <c r="C18" s="248"/>
      <c r="D18" s="248"/>
      <c r="E18" s="248"/>
      <c r="F18" s="239"/>
      <c r="G18" s="38">
        <f t="shared" si="12"/>
        <v>2032</v>
      </c>
      <c r="H18" s="37">
        <v>12</v>
      </c>
      <c r="I18" s="172">
        <f>'Capacity Delivered'!G18</f>
        <v>95.27</v>
      </c>
      <c r="J18" s="240">
        <f t="shared" si="5"/>
        <v>40.493942018503432</v>
      </c>
      <c r="K18" s="241">
        <f t="shared" si="6"/>
        <v>741.21864656964169</v>
      </c>
      <c r="L18" s="241">
        <f t="shared" si="7"/>
        <v>95.269999999999953</v>
      </c>
      <c r="M18" s="241">
        <f>+L18/'Capacity Delivered'!N19*1000</f>
        <v>10.875570776255703</v>
      </c>
      <c r="N18" s="242">
        <f t="shared" si="0"/>
        <v>1.0875570776255703E-2</v>
      </c>
      <c r="P18" s="172">
        <f t="shared" si="8"/>
        <v>0</v>
      </c>
      <c r="Q18" s="172">
        <f t="shared" si="1"/>
        <v>0</v>
      </c>
      <c r="R18" s="172">
        <f t="shared" si="2"/>
        <v>0</v>
      </c>
      <c r="S18" s="172">
        <f t="shared" si="13"/>
        <v>0</v>
      </c>
      <c r="T18" s="287">
        <f t="shared" si="10"/>
        <v>0</v>
      </c>
      <c r="U18" s="241">
        <f>+T18/'Capacity Delivered'!L18*1000</f>
        <v>0</v>
      </c>
      <c r="V18" s="242">
        <f t="shared" si="3"/>
        <v>0</v>
      </c>
      <c r="X18" s="243">
        <f t="shared" si="11"/>
        <v>10.875570776255703</v>
      </c>
      <c r="Y18" s="244">
        <f t="shared" si="4"/>
        <v>1.0875570776255703E-2</v>
      </c>
    </row>
    <row r="19" spans="2:25" s="44" customFormat="1" x14ac:dyDescent="0.2">
      <c r="B19" s="248"/>
      <c r="C19" s="248"/>
      <c r="D19" s="248"/>
      <c r="E19" s="248"/>
      <c r="F19" s="189"/>
      <c r="G19" s="38">
        <f t="shared" si="12"/>
        <v>2033</v>
      </c>
      <c r="H19" s="37">
        <v>13</v>
      </c>
      <c r="I19" s="172">
        <f>'Capacity Delivered'!G19</f>
        <v>95.27</v>
      </c>
      <c r="J19" s="240">
        <f t="shared" si="5"/>
        <v>37.707367556107108</v>
      </c>
      <c r="K19" s="241">
        <f t="shared" si="6"/>
        <v>778.92601412574879</v>
      </c>
      <c r="L19" s="241">
        <f t="shared" si="7"/>
        <v>95.269999999999953</v>
      </c>
      <c r="M19" s="241">
        <f>+L19/'Capacity Delivered'!N20*1000</f>
        <v>10.875570776255703</v>
      </c>
      <c r="N19" s="242">
        <f t="shared" si="0"/>
        <v>1.0875570776255703E-2</v>
      </c>
      <c r="P19" s="172">
        <f t="shared" si="8"/>
        <v>0</v>
      </c>
      <c r="Q19" s="172">
        <f t="shared" si="1"/>
        <v>0</v>
      </c>
      <c r="R19" s="172">
        <f t="shared" si="2"/>
        <v>0</v>
      </c>
      <c r="S19" s="172">
        <f t="shared" si="13"/>
        <v>0</v>
      </c>
      <c r="T19" s="287">
        <f t="shared" si="10"/>
        <v>0</v>
      </c>
      <c r="U19" s="241">
        <f>+T19/'Capacity Delivered'!L19*1000</f>
        <v>0</v>
      </c>
      <c r="V19" s="242">
        <f t="shared" si="3"/>
        <v>0</v>
      </c>
      <c r="X19" s="243">
        <f t="shared" si="11"/>
        <v>10.875570776255703</v>
      </c>
      <c r="Y19" s="244">
        <f t="shared" si="4"/>
        <v>1.0875570776255703E-2</v>
      </c>
    </row>
    <row r="20" spans="2:25" s="44" customFormat="1" x14ac:dyDescent="0.2">
      <c r="B20" s="248"/>
      <c r="C20" s="248"/>
      <c r="D20" s="248"/>
      <c r="E20" s="248"/>
      <c r="F20" s="189"/>
      <c r="G20" s="38">
        <f t="shared" si="12"/>
        <v>2034</v>
      </c>
      <c r="H20" s="37">
        <v>14</v>
      </c>
      <c r="I20" s="172">
        <f>'Capacity Delivered'!G20</f>
        <v>95.27</v>
      </c>
      <c r="J20" s="240">
        <f t="shared" si="5"/>
        <v>35.112550103461317</v>
      </c>
      <c r="K20" s="241">
        <f t="shared" si="6"/>
        <v>814.03856422921012</v>
      </c>
      <c r="L20" s="241">
        <f t="shared" si="7"/>
        <v>95.269999999999953</v>
      </c>
      <c r="M20" s="241">
        <f>+L20/'Capacity Delivered'!N21*1000</f>
        <v>10.875570776255703</v>
      </c>
      <c r="N20" s="242">
        <f t="shared" si="0"/>
        <v>1.0875570776255703E-2</v>
      </c>
      <c r="P20" s="172">
        <f t="shared" si="8"/>
        <v>0</v>
      </c>
      <c r="Q20" s="172">
        <f t="shared" si="1"/>
        <v>0</v>
      </c>
      <c r="R20" s="172">
        <f t="shared" si="2"/>
        <v>0</v>
      </c>
      <c r="S20" s="172">
        <f t="shared" si="13"/>
        <v>0</v>
      </c>
      <c r="T20" s="287">
        <f t="shared" si="10"/>
        <v>0</v>
      </c>
      <c r="U20" s="241">
        <f>+T20/'Capacity Delivered'!L20*1000</f>
        <v>0</v>
      </c>
      <c r="V20" s="242">
        <f t="shared" si="3"/>
        <v>0</v>
      </c>
      <c r="X20" s="243">
        <f t="shared" si="11"/>
        <v>10.875570776255703</v>
      </c>
      <c r="Y20" s="244">
        <f t="shared" si="4"/>
        <v>1.0875570776255703E-2</v>
      </c>
    </row>
    <row r="21" spans="2:25" s="249" customFormat="1" x14ac:dyDescent="0.2">
      <c r="B21" s="248"/>
      <c r="C21" s="248"/>
      <c r="D21" s="248"/>
      <c r="E21" s="248"/>
      <c r="F21" s="189"/>
      <c r="G21" s="37">
        <f t="shared" si="12"/>
        <v>2035</v>
      </c>
      <c r="H21" s="37">
        <v>15</v>
      </c>
      <c r="I21" s="172">
        <f>'Capacity Delivered'!G21</f>
        <v>95.27</v>
      </c>
      <c r="J21" s="240">
        <f t="shared" si="5"/>
        <v>32.696293978453596</v>
      </c>
      <c r="K21" s="241">
        <f>K20+J21</f>
        <v>846.73485820766371</v>
      </c>
      <c r="L21" s="241">
        <f t="shared" si="7"/>
        <v>95.269999999999953</v>
      </c>
      <c r="M21" s="241">
        <f>+L21/'Capacity Delivered'!N22*1000</f>
        <v>10.845856102003637</v>
      </c>
      <c r="N21" s="242">
        <f>M21/1000</f>
        <v>1.0845856102003637E-2</v>
      </c>
      <c r="P21" s="172">
        <f t="shared" si="8"/>
        <v>0</v>
      </c>
      <c r="Q21" s="172">
        <f t="shared" si="1"/>
        <v>0</v>
      </c>
      <c r="R21" s="172">
        <f t="shared" si="2"/>
        <v>0</v>
      </c>
      <c r="S21" s="172">
        <f>S20+R21</f>
        <v>0</v>
      </c>
      <c r="T21" s="287">
        <f t="shared" si="10"/>
        <v>0</v>
      </c>
      <c r="U21" s="241">
        <f>+T21/'Capacity Delivered'!L21*1000</f>
        <v>0</v>
      </c>
      <c r="V21" s="242">
        <f>U21/1000</f>
        <v>0</v>
      </c>
      <c r="X21" s="243">
        <f t="shared" si="11"/>
        <v>10.845856102003637</v>
      </c>
      <c r="Y21" s="244">
        <f>X21/1000</f>
        <v>1.0845856102003637E-2</v>
      </c>
    </row>
    <row r="22" spans="2:25" s="44" customFormat="1" x14ac:dyDescent="0.2">
      <c r="B22" s="248"/>
      <c r="C22" s="248"/>
      <c r="D22" s="248"/>
      <c r="E22" s="248"/>
      <c r="F22" s="189"/>
      <c r="G22" s="38">
        <f t="shared" si="12"/>
        <v>2036</v>
      </c>
      <c r="H22" s="37">
        <v>16</v>
      </c>
      <c r="I22" s="172">
        <f>'Capacity Delivered'!G22</f>
        <v>95.27</v>
      </c>
      <c r="J22" s="240">
        <f t="shared" si="5"/>
        <v>30.446311554570809</v>
      </c>
      <c r="K22" s="241">
        <f t="shared" si="6"/>
        <v>877.1811697622345</v>
      </c>
      <c r="L22" s="241">
        <f t="shared" si="7"/>
        <v>95.269999999999939</v>
      </c>
      <c r="M22" s="241">
        <f>+L22/'Capacity Delivered'!N23*1000</f>
        <v>10.875570776255701</v>
      </c>
      <c r="N22" s="242">
        <f t="shared" si="0"/>
        <v>1.0875570776255701E-2</v>
      </c>
      <c r="P22" s="172">
        <f t="shared" si="8"/>
        <v>0</v>
      </c>
      <c r="Q22" s="172">
        <f t="shared" si="1"/>
        <v>0</v>
      </c>
      <c r="R22" s="172">
        <f t="shared" si="2"/>
        <v>0</v>
      </c>
      <c r="S22" s="172">
        <f t="shared" ref="S22:S27" si="14">S21+R22</f>
        <v>0</v>
      </c>
      <c r="T22" s="287">
        <f t="shared" si="10"/>
        <v>0</v>
      </c>
      <c r="U22" s="241">
        <f>+T22/'Capacity Delivered'!L22*1000</f>
        <v>0</v>
      </c>
      <c r="V22" s="242">
        <f t="shared" ref="V22:V27" si="15">U22/1000</f>
        <v>0</v>
      </c>
      <c r="X22" s="243">
        <f t="shared" si="11"/>
        <v>10.875570776255701</v>
      </c>
      <c r="Y22" s="244">
        <f t="shared" ref="Y22:Y27" si="16">X22/1000</f>
        <v>1.0875570776255701E-2</v>
      </c>
    </row>
    <row r="23" spans="2:25" s="44" customFormat="1" x14ac:dyDescent="0.2">
      <c r="B23" s="248"/>
      <c r="C23" s="248"/>
      <c r="D23" s="248"/>
      <c r="E23" s="248"/>
      <c r="F23" s="189"/>
      <c r="G23" s="38">
        <f t="shared" si="12"/>
        <v>2037</v>
      </c>
      <c r="H23" s="37">
        <v>17</v>
      </c>
      <c r="I23" s="172">
        <f>'Capacity Delivered'!G23</f>
        <v>95.27</v>
      </c>
      <c r="J23" s="240">
        <f t="shared" si="5"/>
        <v>28.351160773415408</v>
      </c>
      <c r="K23" s="241">
        <f t="shared" si="6"/>
        <v>905.53233053564986</v>
      </c>
      <c r="L23" s="241">
        <f t="shared" si="7"/>
        <v>95.269999999999939</v>
      </c>
      <c r="M23" s="241">
        <f>+L23/'Capacity Delivered'!N24*1000</f>
        <v>10.875570776255701</v>
      </c>
      <c r="N23" s="242">
        <f t="shared" si="0"/>
        <v>1.0875570776255701E-2</v>
      </c>
      <c r="P23" s="172">
        <f t="shared" si="8"/>
        <v>0</v>
      </c>
      <c r="Q23" s="172">
        <f t="shared" si="1"/>
        <v>0</v>
      </c>
      <c r="R23" s="172">
        <f t="shared" si="2"/>
        <v>0</v>
      </c>
      <c r="S23" s="172">
        <f t="shared" si="14"/>
        <v>0</v>
      </c>
      <c r="T23" s="287">
        <f t="shared" si="10"/>
        <v>0</v>
      </c>
      <c r="U23" s="241">
        <f>+T23/'Capacity Delivered'!L23*1000</f>
        <v>0</v>
      </c>
      <c r="V23" s="242">
        <f t="shared" si="15"/>
        <v>0</v>
      </c>
      <c r="X23" s="243">
        <f t="shared" si="11"/>
        <v>10.875570776255701</v>
      </c>
      <c r="Y23" s="244">
        <f t="shared" si="16"/>
        <v>1.0875570776255701E-2</v>
      </c>
    </row>
    <row r="24" spans="2:25" s="44" customFormat="1" x14ac:dyDescent="0.2">
      <c r="B24" s="248"/>
      <c r="C24" s="248"/>
      <c r="D24" s="248"/>
      <c r="E24" s="248"/>
      <c r="F24" s="189"/>
      <c r="G24" s="38">
        <f t="shared" si="12"/>
        <v>2038</v>
      </c>
      <c r="H24" s="37">
        <v>18</v>
      </c>
      <c r="I24" s="172">
        <f>'Capacity Delivered'!G24</f>
        <v>95.27</v>
      </c>
      <c r="J24" s="240">
        <f t="shared" si="5"/>
        <v>26.400186957272936</v>
      </c>
      <c r="K24" s="241">
        <f t="shared" si="6"/>
        <v>931.93251749292278</v>
      </c>
      <c r="L24" s="241">
        <f t="shared" si="7"/>
        <v>95.269999999999939</v>
      </c>
      <c r="M24" s="241">
        <f>+L24/'Capacity Delivered'!N25*1000</f>
        <v>10.875570776255701</v>
      </c>
      <c r="N24" s="242">
        <f t="shared" si="0"/>
        <v>1.0875570776255701E-2</v>
      </c>
      <c r="P24" s="172">
        <f t="shared" si="8"/>
        <v>0</v>
      </c>
      <c r="Q24" s="172">
        <f t="shared" si="1"/>
        <v>0</v>
      </c>
      <c r="R24" s="172">
        <f t="shared" si="2"/>
        <v>0</v>
      </c>
      <c r="S24" s="172">
        <f t="shared" si="14"/>
        <v>0</v>
      </c>
      <c r="T24" s="287">
        <f t="shared" si="10"/>
        <v>0</v>
      </c>
      <c r="U24" s="241">
        <f>+T24/'Capacity Delivered'!L24*1000</f>
        <v>0</v>
      </c>
      <c r="V24" s="242">
        <f t="shared" si="15"/>
        <v>0</v>
      </c>
      <c r="X24" s="243">
        <f t="shared" si="11"/>
        <v>10.875570776255701</v>
      </c>
      <c r="Y24" s="244">
        <f t="shared" si="16"/>
        <v>1.0875570776255701E-2</v>
      </c>
    </row>
    <row r="25" spans="2:25" s="44" customFormat="1" x14ac:dyDescent="0.2">
      <c r="B25" s="248"/>
      <c r="C25" s="248"/>
      <c r="D25" s="248"/>
      <c r="E25" s="248"/>
      <c r="F25" s="189"/>
      <c r="G25" s="38">
        <f t="shared" si="12"/>
        <v>2039</v>
      </c>
      <c r="H25" s="37">
        <v>19</v>
      </c>
      <c r="I25" s="172">
        <f>'Capacity Delivered'!G25</f>
        <v>95.27</v>
      </c>
      <c r="J25" s="240">
        <f t="shared" si="5"/>
        <v>24.583468625824509</v>
      </c>
      <c r="K25" s="241">
        <f t="shared" si="6"/>
        <v>956.51598611874726</v>
      </c>
      <c r="L25" s="241">
        <f t="shared" si="7"/>
        <v>95.269999999999925</v>
      </c>
      <c r="M25" s="241">
        <f>+L25/'Capacity Delivered'!N26*1000</f>
        <v>10.845856102003633</v>
      </c>
      <c r="N25" s="242">
        <f t="shared" si="0"/>
        <v>1.0845856102003634E-2</v>
      </c>
      <c r="P25" s="172">
        <f t="shared" si="8"/>
        <v>0</v>
      </c>
      <c r="Q25" s="172">
        <f t="shared" si="1"/>
        <v>0</v>
      </c>
      <c r="R25" s="172">
        <f t="shared" si="2"/>
        <v>0</v>
      </c>
      <c r="S25" s="172">
        <f t="shared" si="14"/>
        <v>0</v>
      </c>
      <c r="T25" s="287">
        <f t="shared" si="10"/>
        <v>0</v>
      </c>
      <c r="U25" s="241">
        <f>+T25/'Capacity Delivered'!L25*1000</f>
        <v>0</v>
      </c>
      <c r="V25" s="242">
        <f t="shared" si="15"/>
        <v>0</v>
      </c>
      <c r="X25" s="243">
        <f t="shared" si="11"/>
        <v>10.845856102003633</v>
      </c>
      <c r="Y25" s="244">
        <f t="shared" si="16"/>
        <v>1.0845856102003634E-2</v>
      </c>
    </row>
    <row r="26" spans="2:25" x14ac:dyDescent="0.2">
      <c r="B26" s="173"/>
      <c r="C26" s="173"/>
      <c r="D26" s="173"/>
      <c r="E26" s="173"/>
      <c r="F26" s="52"/>
      <c r="G26" s="38">
        <f t="shared" si="12"/>
        <v>2040</v>
      </c>
      <c r="H26" s="39">
        <v>20</v>
      </c>
      <c r="I26" s="172">
        <f>'Capacity Delivered'!G26</f>
        <v>95.27</v>
      </c>
      <c r="J26" s="40">
        <f t="shared" si="5"/>
        <v>22.891767041460568</v>
      </c>
      <c r="K26" s="41">
        <f t="shared" si="6"/>
        <v>979.40775316020779</v>
      </c>
      <c r="L26" s="41">
        <f t="shared" si="7"/>
        <v>95.269999999999939</v>
      </c>
      <c r="M26" s="41">
        <f>+L26/'Capacity Delivered'!N27*1000</f>
        <v>10.875570776255701</v>
      </c>
      <c r="N26" s="223">
        <f t="shared" si="0"/>
        <v>1.0875570776255701E-2</v>
      </c>
      <c r="P26" s="172">
        <f t="shared" si="8"/>
        <v>0</v>
      </c>
      <c r="Q26" s="172">
        <f t="shared" si="1"/>
        <v>0</v>
      </c>
      <c r="R26" s="172">
        <f t="shared" si="2"/>
        <v>0</v>
      </c>
      <c r="S26" s="172">
        <f t="shared" si="14"/>
        <v>0</v>
      </c>
      <c r="T26" s="287">
        <f t="shared" si="10"/>
        <v>0</v>
      </c>
      <c r="U26" s="41">
        <f>+T26/'Capacity Delivered'!L26*1000</f>
        <v>0</v>
      </c>
      <c r="V26" s="223">
        <f t="shared" si="15"/>
        <v>0</v>
      </c>
      <c r="X26" s="230">
        <f t="shared" si="11"/>
        <v>10.875570776255701</v>
      </c>
      <c r="Y26" s="231">
        <f t="shared" si="16"/>
        <v>1.0875570776255701E-2</v>
      </c>
    </row>
    <row r="27" spans="2:25" s="44" customFormat="1" ht="15.75" thickBot="1" x14ac:dyDescent="0.25">
      <c r="G27" s="38">
        <f t="shared" si="12"/>
        <v>2041</v>
      </c>
      <c r="H27" s="37">
        <v>21</v>
      </c>
      <c r="I27" s="172">
        <f>'Capacity Delivered'!G27</f>
        <v>95.27</v>
      </c>
      <c r="J27" s="40">
        <f t="shared" si="5"/>
        <v>21.316479226613804</v>
      </c>
      <c r="K27" s="41">
        <f t="shared" ref="K27" si="17">K26+J27</f>
        <v>1000.7242323868215</v>
      </c>
      <c r="L27" s="41">
        <f t="shared" si="7"/>
        <v>95.269999999999925</v>
      </c>
      <c r="M27" s="41">
        <f>+L27/'Capacity Delivered'!N28*1000</f>
        <v>10.875570776255699</v>
      </c>
      <c r="N27" s="223">
        <f t="shared" si="0"/>
        <v>1.08755707762557E-2</v>
      </c>
      <c r="P27" s="172">
        <f t="shared" si="8"/>
        <v>0</v>
      </c>
      <c r="Q27" s="172">
        <f t="shared" si="1"/>
        <v>0</v>
      </c>
      <c r="R27" s="172">
        <f t="shared" si="2"/>
        <v>0</v>
      </c>
      <c r="S27" s="172">
        <f t="shared" si="14"/>
        <v>0</v>
      </c>
      <c r="T27" s="287">
        <f t="shared" si="10"/>
        <v>0</v>
      </c>
      <c r="U27" s="41">
        <f>+T27/'Capacity Delivered'!L27*1000</f>
        <v>0</v>
      </c>
      <c r="V27" s="223">
        <f t="shared" si="15"/>
        <v>0</v>
      </c>
      <c r="X27" s="232">
        <f t="shared" si="11"/>
        <v>10.875570776255699</v>
      </c>
      <c r="Y27" s="233">
        <f t="shared" si="16"/>
        <v>1.08755707762557E-2</v>
      </c>
    </row>
    <row r="28" spans="2:25" s="44" customFormat="1" x14ac:dyDescent="0.2">
      <c r="C28" s="21"/>
      <c r="D28" s="21"/>
      <c r="G28" s="38"/>
      <c r="H28" s="37"/>
      <c r="I28" s="175"/>
      <c r="J28" s="55"/>
      <c r="K28" s="56"/>
      <c r="L28" s="48"/>
      <c r="M28" s="48"/>
      <c r="N28" s="48"/>
      <c r="P28" s="176"/>
      <c r="Q28" s="54"/>
      <c r="R28" s="55"/>
      <c r="S28" s="56"/>
      <c r="T28" s="48"/>
      <c r="U28" s="48"/>
      <c r="V28" s="48"/>
      <c r="X28" s="48"/>
      <c r="Y28" s="48"/>
    </row>
    <row r="29" spans="2:25" x14ac:dyDescent="0.2">
      <c r="B29" s="31"/>
      <c r="C29" s="21"/>
      <c r="D29" s="21"/>
      <c r="E29" s="44"/>
      <c r="F29" s="44"/>
      <c r="G29" s="31"/>
      <c r="H29" s="37"/>
      <c r="I29" s="175"/>
      <c r="J29" s="31"/>
      <c r="K29" s="31"/>
      <c r="L29" s="31"/>
      <c r="M29" s="31"/>
      <c r="N29" s="31"/>
      <c r="P29" s="176"/>
      <c r="Q29" s="54"/>
      <c r="R29" s="31"/>
      <c r="S29" s="31"/>
      <c r="T29" s="31"/>
      <c r="U29" s="31"/>
      <c r="V29" s="31"/>
      <c r="X29" s="31"/>
      <c r="Y29" s="31"/>
    </row>
  </sheetData>
  <customSheetViews>
    <customSheetView guid="{7616AFB9-3DAD-45EA-BAD3-1A4EF1124EEE}" fitToPage="1">
      <selection activeCell="E9" sqref="E9"/>
      <pageMargins left="0.75" right="0.5" top="0.76" bottom="0.79" header="0.5" footer="0.26"/>
      <pageSetup scale="64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>
      <selection activeCell="E9" sqref="E9"/>
      <pageMargins left="0.75" right="0.5" top="0.76" bottom="0.79" header="0.5" footer="0.26"/>
      <pageSetup scale="64" orientation="landscape" r:id="rId2"/>
      <headerFooter alignWithMargins="0">
        <oddFooter>&amp;L&amp;F&amp;C&amp;A&amp;RPSE Advice No. 2018-48 &amp;D
Page &amp;P of &amp;N</oddFooter>
      </headerFooter>
    </customSheetView>
  </customSheetViews>
  <phoneticPr fontId="14" type="noConversion"/>
  <pageMargins left="0.75" right="0.5" top="0.76" bottom="0.79" header="0.5" footer="0.26"/>
  <pageSetup scale="64"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  <pageSetUpPr fitToPage="1"/>
  </sheetPr>
  <dimension ref="A1:Y29"/>
  <sheetViews>
    <sheetView workbookViewId="0">
      <selection activeCell="E9" sqref="E9"/>
    </sheetView>
  </sheetViews>
  <sheetFormatPr defaultColWidth="9.140625" defaultRowHeight="15" x14ac:dyDescent="0.2"/>
  <cols>
    <col min="1" max="1" width="2.7109375" style="33" customWidth="1"/>
    <col min="2" max="2" width="25.7109375" style="33" customWidth="1"/>
    <col min="3" max="3" width="17.42578125" style="33" customWidth="1"/>
    <col min="4" max="4" width="3.42578125" style="33" customWidth="1"/>
    <col min="5" max="5" width="15.5703125" style="33" customWidth="1"/>
    <col min="6" max="6" width="2.7109375" style="33" customWidth="1"/>
    <col min="7" max="7" width="9.7109375" style="33" customWidth="1"/>
    <col min="8" max="8" width="16.7109375" style="33" customWidth="1"/>
    <col min="9" max="9" width="16.42578125" style="44" customWidth="1"/>
    <col min="10" max="10" width="18.5703125" style="33" customWidth="1"/>
    <col min="11" max="11" width="19" style="33" customWidth="1"/>
    <col min="12" max="14" width="22.28515625" style="33" customWidth="1"/>
    <col min="15" max="15" width="2.7109375" style="33" customWidth="1"/>
    <col min="16" max="16" width="16.42578125" style="44" customWidth="1"/>
    <col min="17" max="17" width="16.7109375" style="169" customWidth="1"/>
    <col min="18" max="18" width="18.5703125" style="33" customWidth="1"/>
    <col min="19" max="19" width="19" style="33" customWidth="1"/>
    <col min="20" max="22" width="22.28515625" style="33" customWidth="1"/>
    <col min="23" max="23" width="2.7109375" style="33" customWidth="1"/>
    <col min="24" max="25" width="22.28515625" style="33" customWidth="1"/>
    <col min="26" max="16384" width="9.140625" style="33"/>
  </cols>
  <sheetData>
    <row r="1" spans="1:25" x14ac:dyDescent="0.2">
      <c r="B1" s="14"/>
    </row>
    <row r="3" spans="1:25" ht="15.75" thickBot="1" x14ac:dyDescent="0.25">
      <c r="I3" s="165"/>
    </row>
    <row r="4" spans="1:25" ht="63" x14ac:dyDescent="0.25">
      <c r="G4" s="15" t="s">
        <v>15</v>
      </c>
      <c r="H4" s="16" t="s">
        <v>1</v>
      </c>
      <c r="I4" s="17" t="s">
        <v>16</v>
      </c>
      <c r="J4" s="16" t="s">
        <v>17</v>
      </c>
      <c r="K4" s="16" t="s">
        <v>18</v>
      </c>
      <c r="L4" s="3" t="s">
        <v>19</v>
      </c>
      <c r="M4" s="3" t="s">
        <v>19</v>
      </c>
      <c r="N4" s="3" t="s">
        <v>19</v>
      </c>
      <c r="P4" s="17" t="s">
        <v>73</v>
      </c>
      <c r="Q4" s="17" t="s">
        <v>50</v>
      </c>
      <c r="R4" s="16" t="s">
        <v>17</v>
      </c>
      <c r="S4" s="16" t="s">
        <v>18</v>
      </c>
      <c r="T4" s="3" t="s">
        <v>19</v>
      </c>
      <c r="U4" s="3" t="s">
        <v>19</v>
      </c>
      <c r="V4" s="3" t="s">
        <v>19</v>
      </c>
      <c r="X4" s="224" t="s">
        <v>19</v>
      </c>
      <c r="Y4" s="225" t="s">
        <v>19</v>
      </c>
    </row>
    <row r="5" spans="1:25" ht="15.75" x14ac:dyDescent="0.25">
      <c r="B5" s="50"/>
      <c r="C5" s="50"/>
      <c r="D5" s="50"/>
      <c r="G5" s="18"/>
      <c r="H5" s="18" t="s">
        <v>20</v>
      </c>
      <c r="I5" s="19" t="s">
        <v>31</v>
      </c>
      <c r="J5" s="19" t="s">
        <v>31</v>
      </c>
      <c r="K5" s="19" t="s">
        <v>31</v>
      </c>
      <c r="L5" s="19" t="s">
        <v>31</v>
      </c>
      <c r="M5" s="4" t="s">
        <v>34</v>
      </c>
      <c r="N5" s="4" t="s">
        <v>35</v>
      </c>
      <c r="P5" s="19" t="s">
        <v>31</v>
      </c>
      <c r="Q5" s="19" t="s">
        <v>31</v>
      </c>
      <c r="R5" s="19" t="s">
        <v>31</v>
      </c>
      <c r="S5" s="19" t="s">
        <v>31</v>
      </c>
      <c r="T5" s="19" t="s">
        <v>31</v>
      </c>
      <c r="U5" s="4" t="s">
        <v>34</v>
      </c>
      <c r="V5" s="4" t="s">
        <v>35</v>
      </c>
      <c r="X5" s="226" t="s">
        <v>34</v>
      </c>
      <c r="Y5" s="227" t="s">
        <v>35</v>
      </c>
    </row>
    <row r="6" spans="1:25" s="44" customFormat="1" ht="15.75" x14ac:dyDescent="0.25">
      <c r="A6" s="170"/>
      <c r="B6" s="170"/>
      <c r="C6" s="164" t="s">
        <v>129</v>
      </c>
      <c r="D6" s="164" t="str">
        <f>+P6</f>
        <v>[4]</v>
      </c>
      <c r="E6" s="200">
        <v>0</v>
      </c>
      <c r="F6" s="45"/>
      <c r="G6" s="168" t="s">
        <v>21</v>
      </c>
      <c r="H6" s="168" t="s">
        <v>22</v>
      </c>
      <c r="I6" s="168" t="s">
        <v>23</v>
      </c>
      <c r="J6" s="168" t="s">
        <v>30</v>
      </c>
      <c r="K6" s="168" t="s">
        <v>26</v>
      </c>
      <c r="L6" s="168" t="s">
        <v>27</v>
      </c>
      <c r="M6" s="168" t="s">
        <v>36</v>
      </c>
      <c r="N6" s="168" t="s">
        <v>72</v>
      </c>
      <c r="P6" s="168" t="s">
        <v>24</v>
      </c>
      <c r="Q6" s="168" t="s">
        <v>25</v>
      </c>
      <c r="R6" s="168" t="s">
        <v>30</v>
      </c>
      <c r="S6" s="168" t="s">
        <v>26</v>
      </c>
      <c r="T6" s="168" t="s">
        <v>27</v>
      </c>
      <c r="U6" s="168" t="s">
        <v>36</v>
      </c>
      <c r="V6" s="168" t="s">
        <v>72</v>
      </c>
      <c r="X6" s="228" t="s">
        <v>36</v>
      </c>
      <c r="Y6" s="229" t="s">
        <v>72</v>
      </c>
    </row>
    <row r="7" spans="1:25" s="44" customFormat="1" ht="15.75" x14ac:dyDescent="0.25">
      <c r="A7" s="170"/>
      <c r="B7" s="170"/>
      <c r="C7" s="164" t="s">
        <v>127</v>
      </c>
      <c r="D7" s="164" t="str">
        <f>+Q6</f>
        <v>[5]</v>
      </c>
      <c r="E7" s="46">
        <v>0</v>
      </c>
      <c r="F7" s="239"/>
      <c r="G7" s="171">
        <f>'Baseload Avoided Capacity Calcs'!G7</f>
        <v>2021</v>
      </c>
      <c r="H7" s="250">
        <v>1</v>
      </c>
      <c r="I7" s="172">
        <f>'Capacity Delivered'!H7</f>
        <v>16.95806</v>
      </c>
      <c r="J7" s="246">
        <f t="shared" ref="J7:J27" si="0">SUM(I7)/((1+$E$8)^H7)</f>
        <v>15.791097867585435</v>
      </c>
      <c r="K7" s="251">
        <f>J7</f>
        <v>15.791097867585435</v>
      </c>
      <c r="L7" s="251">
        <f>(-PMT($E$8,H7,(K7)))</f>
        <v>16.95806</v>
      </c>
      <c r="M7" s="251">
        <f>+L7/'Capacity Delivered'!P8*1000</f>
        <v>5.2747999950232041</v>
      </c>
      <c r="N7" s="252">
        <f t="shared" ref="N7:N27" si="1">M7/1000</f>
        <v>5.2747999950232037E-3</v>
      </c>
      <c r="P7" s="177">
        <f>E13</f>
        <v>0</v>
      </c>
      <c r="Q7" s="177">
        <f t="shared" ref="Q7:Q27" si="2">(I7+P7)*$E$7</f>
        <v>0</v>
      </c>
      <c r="R7" s="177">
        <f t="shared" ref="R7:R27" si="3">SUM(P7:Q7)/((1+$E$8)^H7)</f>
        <v>0</v>
      </c>
      <c r="S7" s="177">
        <f>R7</f>
        <v>0</v>
      </c>
      <c r="T7" s="287">
        <f>(-PMT($E$8,H7,(S7)))</f>
        <v>0</v>
      </c>
      <c r="U7" s="251">
        <f>+T7/'Capacity Delivered'!L7*1000</f>
        <v>0</v>
      </c>
      <c r="V7" s="252">
        <f t="shared" ref="V7:V20" si="4">U7/1000</f>
        <v>0</v>
      </c>
      <c r="X7" s="243">
        <f>M7+U7</f>
        <v>5.2747999950232041</v>
      </c>
      <c r="Y7" s="244">
        <f t="shared" ref="Y7:Y20" si="5">X7/1000</f>
        <v>5.2747999950232037E-3</v>
      </c>
    </row>
    <row r="8" spans="1:25" s="44" customFormat="1" ht="15.75" x14ac:dyDescent="0.25">
      <c r="A8" s="170"/>
      <c r="B8" s="170"/>
      <c r="C8" s="164" t="s">
        <v>46</v>
      </c>
      <c r="D8" s="164"/>
      <c r="E8" s="46">
        <f>Rate_of_Return</f>
        <v>7.3899999999999993E-2</v>
      </c>
      <c r="F8" s="239"/>
      <c r="G8" s="171">
        <f>'Baseload Avoided Capacity Calcs'!G8</f>
        <v>2022</v>
      </c>
      <c r="H8" s="37">
        <v>2</v>
      </c>
      <c r="I8" s="172">
        <f>'Capacity Delivered'!H8</f>
        <v>16.95806</v>
      </c>
      <c r="J8" s="240">
        <f t="shared" si="0"/>
        <v>14.704439768679983</v>
      </c>
      <c r="K8" s="241">
        <f t="shared" ref="K8:K27" si="6">K7+J8</f>
        <v>30.495537636265418</v>
      </c>
      <c r="L8" s="241">
        <f>(-PMT($E$8,H8,(K8)))</f>
        <v>16.958059999999996</v>
      </c>
      <c r="M8" s="241">
        <f>+L8/'Capacity Delivered'!P9*1000</f>
        <v>5.2747999950232032</v>
      </c>
      <c r="N8" s="242">
        <f t="shared" si="1"/>
        <v>5.2747999950232029E-3</v>
      </c>
      <c r="P8" s="172">
        <f t="shared" ref="P8:P27" si="7">P7+(P7*$E$9)</f>
        <v>0</v>
      </c>
      <c r="Q8" s="172">
        <f t="shared" si="2"/>
        <v>0</v>
      </c>
      <c r="R8" s="172">
        <f t="shared" si="3"/>
        <v>0</v>
      </c>
      <c r="S8" s="172">
        <f t="shared" ref="S8:S12" si="8">S7+R8</f>
        <v>0</v>
      </c>
      <c r="T8" s="287">
        <f t="shared" ref="T8:T27" si="9">(-PMT($E$8,H8,(S8)))</f>
        <v>0</v>
      </c>
      <c r="U8" s="241">
        <f>+T8/'Capacity Delivered'!L8*1000</f>
        <v>0</v>
      </c>
      <c r="V8" s="242">
        <f t="shared" si="4"/>
        <v>0</v>
      </c>
      <c r="X8" s="243">
        <f t="shared" ref="X8:X27" si="10">M8+U8</f>
        <v>5.2747999950232032</v>
      </c>
      <c r="Y8" s="244">
        <f t="shared" si="5"/>
        <v>5.2747999950232029E-3</v>
      </c>
    </row>
    <row r="9" spans="1:25" s="44" customFormat="1" ht="15.75" x14ac:dyDescent="0.25">
      <c r="A9" s="170"/>
      <c r="B9" s="170"/>
      <c r="C9" s="164" t="s">
        <v>47</v>
      </c>
      <c r="D9" s="164"/>
      <c r="E9" s="46">
        <f>+'Baseload Avoided Capacity Calcs'!E9</f>
        <v>2.5000000000000001E-2</v>
      </c>
      <c r="F9" s="245"/>
      <c r="G9" s="171">
        <f>'Baseload Avoided Capacity Calcs'!G9</f>
        <v>2023</v>
      </c>
      <c r="H9" s="37">
        <v>3</v>
      </c>
      <c r="I9" s="172">
        <f>'Capacity Delivered'!H9</f>
        <v>16.95806</v>
      </c>
      <c r="J9" s="240">
        <f t="shared" si="0"/>
        <v>13.692559613260064</v>
      </c>
      <c r="K9" s="241">
        <f t="shared" si="6"/>
        <v>44.188097249525484</v>
      </c>
      <c r="L9" s="241">
        <f>(-PMT($E$8,H9,(K9)))</f>
        <v>16.958059999999996</v>
      </c>
      <c r="M9" s="241">
        <f>+L9/'Capacity Delivered'!P10*1000</f>
        <v>5.2603879731788767</v>
      </c>
      <c r="N9" s="242">
        <f t="shared" si="1"/>
        <v>5.2603879731788769E-3</v>
      </c>
      <c r="P9" s="172">
        <f t="shared" si="7"/>
        <v>0</v>
      </c>
      <c r="Q9" s="172">
        <f t="shared" si="2"/>
        <v>0</v>
      </c>
      <c r="R9" s="172">
        <f t="shared" si="3"/>
        <v>0</v>
      </c>
      <c r="S9" s="172">
        <f t="shared" si="8"/>
        <v>0</v>
      </c>
      <c r="T9" s="287">
        <f t="shared" si="9"/>
        <v>0</v>
      </c>
      <c r="U9" s="241">
        <f>+T9/'Capacity Delivered'!L9*1000</f>
        <v>0</v>
      </c>
      <c r="V9" s="242">
        <f t="shared" si="4"/>
        <v>0</v>
      </c>
      <c r="X9" s="243">
        <f t="shared" si="10"/>
        <v>5.2603879731788767</v>
      </c>
      <c r="Y9" s="244">
        <f t="shared" si="5"/>
        <v>5.2603879731788769E-3</v>
      </c>
    </row>
    <row r="10" spans="1:25" s="44" customFormat="1" ht="15.75" x14ac:dyDescent="0.25">
      <c r="B10" s="170"/>
      <c r="C10" s="164"/>
      <c r="D10" s="164"/>
      <c r="E10" s="51"/>
      <c r="F10" s="239"/>
      <c r="G10" s="171">
        <f>'Baseload Avoided Capacity Calcs'!G10</f>
        <v>2024</v>
      </c>
      <c r="H10" s="37">
        <v>4</v>
      </c>
      <c r="I10" s="172">
        <f>'Capacity Delivered'!H10</f>
        <v>16.95806</v>
      </c>
      <c r="J10" s="240">
        <f t="shared" si="0"/>
        <v>12.750311586982086</v>
      </c>
      <c r="K10" s="241">
        <f t="shared" si="6"/>
        <v>56.93840883650757</v>
      </c>
      <c r="L10" s="241">
        <f t="shared" ref="L10:L26" si="11">(-PMT($E$8,H10,(K10)))</f>
        <v>16.958059999999996</v>
      </c>
      <c r="M10" s="241">
        <f>+L10/'Capacity Delivered'!P11*1000</f>
        <v>5.2747999950232032</v>
      </c>
      <c r="N10" s="242">
        <f t="shared" si="1"/>
        <v>5.2747999950232029E-3</v>
      </c>
      <c r="P10" s="172">
        <f t="shared" si="7"/>
        <v>0</v>
      </c>
      <c r="Q10" s="172">
        <f t="shared" si="2"/>
        <v>0</v>
      </c>
      <c r="R10" s="172">
        <f t="shared" si="3"/>
        <v>0</v>
      </c>
      <c r="S10" s="172">
        <f t="shared" si="8"/>
        <v>0</v>
      </c>
      <c r="T10" s="287">
        <f t="shared" si="9"/>
        <v>0</v>
      </c>
      <c r="U10" s="241">
        <f>+T10/'Capacity Delivered'!L10*1000</f>
        <v>0</v>
      </c>
      <c r="V10" s="242">
        <f t="shared" si="4"/>
        <v>0</v>
      </c>
      <c r="X10" s="243">
        <f t="shared" si="10"/>
        <v>5.2747999950232032</v>
      </c>
      <c r="Y10" s="244">
        <f t="shared" si="5"/>
        <v>5.2747999950232029E-3</v>
      </c>
    </row>
    <row r="11" spans="1:25" s="44" customFormat="1" ht="15.75" x14ac:dyDescent="0.25">
      <c r="B11" s="170"/>
      <c r="C11" s="164"/>
      <c r="D11" s="164"/>
      <c r="E11" s="51"/>
      <c r="F11" s="239"/>
      <c r="G11" s="171">
        <f>'Baseload Avoided Capacity Calcs'!G11</f>
        <v>2025</v>
      </c>
      <c r="H11" s="37">
        <v>5</v>
      </c>
      <c r="I11" s="172">
        <f>'Capacity Delivered'!H11</f>
        <v>16.95806</v>
      </c>
      <c r="J11" s="240">
        <f t="shared" si="0"/>
        <v>11.872903982663269</v>
      </c>
      <c r="K11" s="241">
        <f t="shared" si="6"/>
        <v>68.811312819170837</v>
      </c>
      <c r="L11" s="241">
        <f t="shared" si="11"/>
        <v>16.958059999999993</v>
      </c>
      <c r="M11" s="241">
        <f>+L11/'Capacity Delivered'!P12*1000</f>
        <v>5.2747999950232023</v>
      </c>
      <c r="N11" s="242">
        <f t="shared" si="1"/>
        <v>5.274799995023202E-3</v>
      </c>
      <c r="P11" s="172">
        <f t="shared" si="7"/>
        <v>0</v>
      </c>
      <c r="Q11" s="172">
        <f t="shared" si="2"/>
        <v>0</v>
      </c>
      <c r="R11" s="172">
        <f t="shared" si="3"/>
        <v>0</v>
      </c>
      <c r="S11" s="172">
        <f t="shared" si="8"/>
        <v>0</v>
      </c>
      <c r="T11" s="287">
        <f t="shared" si="9"/>
        <v>0</v>
      </c>
      <c r="U11" s="241">
        <f>+T11/'Capacity Delivered'!L11*1000</f>
        <v>0</v>
      </c>
      <c r="V11" s="242">
        <f t="shared" si="4"/>
        <v>0</v>
      </c>
      <c r="X11" s="243">
        <f t="shared" si="10"/>
        <v>5.2747999950232023</v>
      </c>
      <c r="Y11" s="244">
        <f t="shared" si="5"/>
        <v>5.274799995023202E-3</v>
      </c>
    </row>
    <row r="12" spans="1:25" s="44" customFormat="1" ht="15.75" x14ac:dyDescent="0.25">
      <c r="B12" s="170"/>
      <c r="C12" s="164"/>
      <c r="D12" s="164"/>
      <c r="E12" s="51"/>
      <c r="F12" s="239"/>
      <c r="G12" s="171">
        <f>'Baseload Avoided Capacity Calcs'!G12</f>
        <v>2026</v>
      </c>
      <c r="H12" s="37">
        <v>6</v>
      </c>
      <c r="I12" s="172">
        <f>'Capacity Delivered'!H12</f>
        <v>16.95806</v>
      </c>
      <c r="J12" s="240">
        <f t="shared" si="0"/>
        <v>11.055874832538663</v>
      </c>
      <c r="K12" s="241">
        <f t="shared" si="6"/>
        <v>79.8671876517095</v>
      </c>
      <c r="L12" s="241">
        <f t="shared" si="11"/>
        <v>16.958059999999993</v>
      </c>
      <c r="M12" s="241">
        <f>+L12/'Capacity Delivered'!P13*1000</f>
        <v>5.2747999950232023</v>
      </c>
      <c r="N12" s="242">
        <f t="shared" si="1"/>
        <v>5.274799995023202E-3</v>
      </c>
      <c r="P12" s="172">
        <f t="shared" si="7"/>
        <v>0</v>
      </c>
      <c r="Q12" s="172">
        <f t="shared" si="2"/>
        <v>0</v>
      </c>
      <c r="R12" s="172">
        <f t="shared" si="3"/>
        <v>0</v>
      </c>
      <c r="S12" s="172">
        <f t="shared" si="8"/>
        <v>0</v>
      </c>
      <c r="T12" s="287">
        <f t="shared" si="9"/>
        <v>0</v>
      </c>
      <c r="U12" s="241">
        <f>+T12/'Capacity Delivered'!L12*1000</f>
        <v>0</v>
      </c>
      <c r="V12" s="242">
        <f t="shared" si="4"/>
        <v>0</v>
      </c>
      <c r="X12" s="243">
        <f t="shared" si="10"/>
        <v>5.2747999950232023</v>
      </c>
      <c r="Y12" s="244">
        <f t="shared" si="5"/>
        <v>5.274799995023202E-3</v>
      </c>
    </row>
    <row r="13" spans="1:25" s="44" customFormat="1" ht="15.75" x14ac:dyDescent="0.25">
      <c r="B13" s="170"/>
      <c r="C13" s="164"/>
      <c r="D13" s="164"/>
      <c r="E13" s="51"/>
      <c r="F13" s="239"/>
      <c r="G13" s="171">
        <f>'Baseload Avoided Capacity Calcs'!G13</f>
        <v>2027</v>
      </c>
      <c r="H13" s="37">
        <v>7</v>
      </c>
      <c r="I13" s="172">
        <f>'Capacity Delivered'!H13</f>
        <v>16.95806</v>
      </c>
      <c r="J13" s="240">
        <f t="shared" si="0"/>
        <v>10.295069217374675</v>
      </c>
      <c r="K13" s="241">
        <f>K12+J13</f>
        <v>90.162256869084175</v>
      </c>
      <c r="L13" s="241">
        <f t="shared" si="11"/>
        <v>16.958059999999993</v>
      </c>
      <c r="M13" s="241">
        <f>+L13/'Capacity Delivered'!P14*1000</f>
        <v>5.2603879731788759</v>
      </c>
      <c r="N13" s="242">
        <f t="shared" si="1"/>
        <v>5.2603879731788761E-3</v>
      </c>
      <c r="P13" s="172">
        <f>P12+(P12*$E$9)</f>
        <v>0</v>
      </c>
      <c r="Q13" s="172">
        <f t="shared" si="2"/>
        <v>0</v>
      </c>
      <c r="R13" s="172">
        <f t="shared" si="3"/>
        <v>0</v>
      </c>
      <c r="S13" s="172">
        <f>S12+R13</f>
        <v>0</v>
      </c>
      <c r="T13" s="287">
        <f t="shared" si="9"/>
        <v>0</v>
      </c>
      <c r="U13" s="241">
        <f>+T13/'Capacity Delivered'!L13*1000</f>
        <v>0</v>
      </c>
      <c r="V13" s="242">
        <f t="shared" si="4"/>
        <v>0</v>
      </c>
      <c r="X13" s="243">
        <f t="shared" si="10"/>
        <v>5.2603879731788759</v>
      </c>
      <c r="Y13" s="244">
        <f t="shared" si="5"/>
        <v>5.2603879731788761E-3</v>
      </c>
    </row>
    <row r="14" spans="1:25" s="44" customFormat="1" ht="15.75" x14ac:dyDescent="0.25">
      <c r="B14" s="170"/>
      <c r="C14" s="164"/>
      <c r="D14" s="164"/>
      <c r="E14" s="51"/>
      <c r="F14" s="239"/>
      <c r="G14" s="171">
        <f>'Baseload Avoided Capacity Calcs'!G14</f>
        <v>2028</v>
      </c>
      <c r="H14" s="37">
        <v>8</v>
      </c>
      <c r="I14" s="172">
        <f>'Capacity Delivered'!H14</f>
        <v>16.95806</v>
      </c>
      <c r="J14" s="240">
        <f t="shared" si="0"/>
        <v>9.5866181370469068</v>
      </c>
      <c r="K14" s="241">
        <f t="shared" si="6"/>
        <v>99.748875006131087</v>
      </c>
      <c r="L14" s="241">
        <f t="shared" si="11"/>
        <v>16.958059999999993</v>
      </c>
      <c r="M14" s="241">
        <f>+L14/'Capacity Delivered'!P15*1000</f>
        <v>5.2747999950232023</v>
      </c>
      <c r="N14" s="242">
        <f t="shared" si="1"/>
        <v>5.274799995023202E-3</v>
      </c>
      <c r="P14" s="172">
        <f t="shared" si="7"/>
        <v>0</v>
      </c>
      <c r="Q14" s="172">
        <f t="shared" si="2"/>
        <v>0</v>
      </c>
      <c r="R14" s="172">
        <f t="shared" si="3"/>
        <v>0</v>
      </c>
      <c r="S14" s="172">
        <f t="shared" ref="S14:S20" si="12">S13+R14</f>
        <v>0</v>
      </c>
      <c r="T14" s="287">
        <f t="shared" si="9"/>
        <v>0</v>
      </c>
      <c r="U14" s="241">
        <f>+T14/'Capacity Delivered'!L14*1000</f>
        <v>0</v>
      </c>
      <c r="V14" s="242">
        <f t="shared" si="4"/>
        <v>0</v>
      </c>
      <c r="X14" s="243">
        <f t="shared" si="10"/>
        <v>5.2747999950232023</v>
      </c>
      <c r="Y14" s="244">
        <f t="shared" si="5"/>
        <v>5.274799995023202E-3</v>
      </c>
    </row>
    <row r="15" spans="1:25" s="44" customFormat="1" ht="15.75" x14ac:dyDescent="0.25">
      <c r="B15" s="170"/>
      <c r="C15" s="164"/>
      <c r="D15" s="164"/>
      <c r="E15" s="51"/>
      <c r="F15" s="239"/>
      <c r="G15" s="171">
        <f>'Baseload Avoided Capacity Calcs'!G15</f>
        <v>2029</v>
      </c>
      <c r="H15" s="37">
        <v>9</v>
      </c>
      <c r="I15" s="172">
        <f>'Capacity Delivered'!H15</f>
        <v>16.95806</v>
      </c>
      <c r="J15" s="240">
        <f t="shared" si="0"/>
        <v>8.9269188351307438</v>
      </c>
      <c r="K15" s="241">
        <f t="shared" si="6"/>
        <v>108.67579384126184</v>
      </c>
      <c r="L15" s="241">
        <f t="shared" si="11"/>
        <v>16.958059999999996</v>
      </c>
      <c r="M15" s="241">
        <f>+L15/'Capacity Delivered'!P16*1000</f>
        <v>5.2747999950232032</v>
      </c>
      <c r="N15" s="242">
        <f t="shared" si="1"/>
        <v>5.2747999950232029E-3</v>
      </c>
      <c r="P15" s="172">
        <f t="shared" si="7"/>
        <v>0</v>
      </c>
      <c r="Q15" s="172">
        <f t="shared" si="2"/>
        <v>0</v>
      </c>
      <c r="R15" s="172">
        <f t="shared" si="3"/>
        <v>0</v>
      </c>
      <c r="S15" s="172">
        <f t="shared" si="12"/>
        <v>0</v>
      </c>
      <c r="T15" s="287">
        <f t="shared" si="9"/>
        <v>0</v>
      </c>
      <c r="U15" s="241">
        <f>+T15/'Capacity Delivered'!L15*1000</f>
        <v>0</v>
      </c>
      <c r="V15" s="242">
        <f t="shared" si="4"/>
        <v>0</v>
      </c>
      <c r="X15" s="243">
        <f t="shared" si="10"/>
        <v>5.2747999950232032</v>
      </c>
      <c r="Y15" s="244">
        <f t="shared" si="5"/>
        <v>5.2747999950232029E-3</v>
      </c>
    </row>
    <row r="16" spans="1:25" s="44" customFormat="1" ht="15.75" x14ac:dyDescent="0.25">
      <c r="B16" s="170"/>
      <c r="C16" s="164"/>
      <c r="D16" s="164"/>
      <c r="E16" s="51"/>
      <c r="F16" s="239"/>
      <c r="G16" s="171">
        <f>'Baseload Avoided Capacity Calcs'!G16</f>
        <v>2030</v>
      </c>
      <c r="H16" s="37">
        <v>10</v>
      </c>
      <c r="I16" s="172">
        <f>'Capacity Delivered'!H16</f>
        <v>16.95806</v>
      </c>
      <c r="J16" s="240">
        <f t="shared" si="0"/>
        <v>8.3126164774473832</v>
      </c>
      <c r="K16" s="241">
        <f t="shared" si="6"/>
        <v>116.98841031870921</v>
      </c>
      <c r="L16" s="241">
        <f t="shared" si="11"/>
        <v>16.958059999999996</v>
      </c>
      <c r="M16" s="241">
        <f>+L16/'Capacity Delivered'!P17*1000</f>
        <v>5.2747999950232032</v>
      </c>
      <c r="N16" s="242">
        <f t="shared" si="1"/>
        <v>5.2747999950232029E-3</v>
      </c>
      <c r="O16" s="249"/>
      <c r="P16" s="172">
        <f t="shared" si="7"/>
        <v>0</v>
      </c>
      <c r="Q16" s="172">
        <f t="shared" si="2"/>
        <v>0</v>
      </c>
      <c r="R16" s="172">
        <f t="shared" si="3"/>
        <v>0</v>
      </c>
      <c r="S16" s="172">
        <f t="shared" si="12"/>
        <v>0</v>
      </c>
      <c r="T16" s="287">
        <f t="shared" si="9"/>
        <v>0</v>
      </c>
      <c r="U16" s="241">
        <f>+T16/'Capacity Delivered'!L16*1000</f>
        <v>0</v>
      </c>
      <c r="V16" s="242">
        <f t="shared" si="4"/>
        <v>0</v>
      </c>
      <c r="W16" s="249"/>
      <c r="X16" s="243">
        <f t="shared" si="10"/>
        <v>5.2747999950232032</v>
      </c>
      <c r="Y16" s="244">
        <f t="shared" si="5"/>
        <v>5.2747999950232029E-3</v>
      </c>
    </row>
    <row r="17" spans="2:25" s="44" customFormat="1" ht="15.75" x14ac:dyDescent="0.25">
      <c r="B17" s="170"/>
      <c r="C17" s="164"/>
      <c r="D17" s="164"/>
      <c r="E17" s="51"/>
      <c r="F17" s="239"/>
      <c r="G17" s="171">
        <f>'Baseload Avoided Capacity Calcs'!G17</f>
        <v>2031</v>
      </c>
      <c r="H17" s="37">
        <v>11</v>
      </c>
      <c r="I17" s="172">
        <f>'Capacity Delivered'!H17</f>
        <v>16.95806</v>
      </c>
      <c r="J17" s="240">
        <f t="shared" si="0"/>
        <v>7.7405870913934089</v>
      </c>
      <c r="K17" s="241">
        <f t="shared" si="6"/>
        <v>124.72899741010262</v>
      </c>
      <c r="L17" s="241">
        <f t="shared" si="11"/>
        <v>16.958059999999993</v>
      </c>
      <c r="M17" s="241">
        <f>+L17/'Capacity Delivered'!P18*1000</f>
        <v>5.2603879731788759</v>
      </c>
      <c r="N17" s="242">
        <f t="shared" si="1"/>
        <v>5.2603879731788761E-3</v>
      </c>
      <c r="P17" s="172">
        <f t="shared" si="7"/>
        <v>0</v>
      </c>
      <c r="Q17" s="172">
        <f t="shared" si="2"/>
        <v>0</v>
      </c>
      <c r="R17" s="172">
        <f t="shared" si="3"/>
        <v>0</v>
      </c>
      <c r="S17" s="172">
        <f t="shared" si="12"/>
        <v>0</v>
      </c>
      <c r="T17" s="287">
        <f t="shared" si="9"/>
        <v>0</v>
      </c>
      <c r="U17" s="241">
        <f>+T17/'Capacity Delivered'!L17*1000</f>
        <v>0</v>
      </c>
      <c r="V17" s="242">
        <f t="shared" si="4"/>
        <v>0</v>
      </c>
      <c r="X17" s="243">
        <f t="shared" si="10"/>
        <v>5.2603879731788759</v>
      </c>
      <c r="Y17" s="244">
        <f t="shared" si="5"/>
        <v>5.2603879731788761E-3</v>
      </c>
    </row>
    <row r="18" spans="2:25" s="44" customFormat="1" x14ac:dyDescent="0.2">
      <c r="B18" s="248"/>
      <c r="C18" s="248"/>
      <c r="D18" s="248"/>
      <c r="E18" s="248"/>
      <c r="F18" s="239"/>
      <c r="G18" s="171">
        <f>'Baseload Avoided Capacity Calcs'!G18</f>
        <v>2032</v>
      </c>
      <c r="H18" s="37">
        <v>12</v>
      </c>
      <c r="I18" s="172">
        <f>'Capacity Delivered'!H18</f>
        <v>16.95806</v>
      </c>
      <c r="J18" s="240">
        <f t="shared" si="0"/>
        <v>7.2079216792936105</v>
      </c>
      <c r="K18" s="241">
        <f t="shared" si="6"/>
        <v>131.93691908939624</v>
      </c>
      <c r="L18" s="241">
        <f t="shared" si="11"/>
        <v>16.958059999999993</v>
      </c>
      <c r="M18" s="241">
        <f>+L18/'Capacity Delivered'!P19*1000</f>
        <v>5.2747999950232023</v>
      </c>
      <c r="N18" s="242">
        <f t="shared" si="1"/>
        <v>5.274799995023202E-3</v>
      </c>
      <c r="P18" s="172">
        <f t="shared" si="7"/>
        <v>0</v>
      </c>
      <c r="Q18" s="172">
        <f t="shared" si="2"/>
        <v>0</v>
      </c>
      <c r="R18" s="172">
        <f t="shared" si="3"/>
        <v>0</v>
      </c>
      <c r="S18" s="172">
        <f t="shared" si="12"/>
        <v>0</v>
      </c>
      <c r="T18" s="287">
        <f t="shared" si="9"/>
        <v>0</v>
      </c>
      <c r="U18" s="241">
        <f>+T18/'Capacity Delivered'!L18*1000</f>
        <v>0</v>
      </c>
      <c r="V18" s="242">
        <f t="shared" si="4"/>
        <v>0</v>
      </c>
      <c r="X18" s="243">
        <f t="shared" si="10"/>
        <v>5.2747999950232023</v>
      </c>
      <c r="Y18" s="244">
        <f t="shared" si="5"/>
        <v>5.274799995023202E-3</v>
      </c>
    </row>
    <row r="19" spans="2:25" s="44" customFormat="1" x14ac:dyDescent="0.2">
      <c r="B19" s="248"/>
      <c r="C19" s="248"/>
      <c r="D19" s="248"/>
      <c r="E19" s="248"/>
      <c r="F19" s="189"/>
      <c r="G19" s="171">
        <f>'Baseload Avoided Capacity Calcs'!G19</f>
        <v>2033</v>
      </c>
      <c r="H19" s="37">
        <v>13</v>
      </c>
      <c r="I19" s="172">
        <f>'Capacity Delivered'!H19</f>
        <v>16.95806</v>
      </c>
      <c r="J19" s="240">
        <f t="shared" si="0"/>
        <v>6.7119114249870648</v>
      </c>
      <c r="K19" s="241">
        <f t="shared" si="6"/>
        <v>138.64883051438329</v>
      </c>
      <c r="L19" s="241">
        <f t="shared" si="11"/>
        <v>16.958059999999993</v>
      </c>
      <c r="M19" s="241">
        <f>+L19/'Capacity Delivered'!P20*1000</f>
        <v>5.2747999950232023</v>
      </c>
      <c r="N19" s="242">
        <f t="shared" si="1"/>
        <v>5.274799995023202E-3</v>
      </c>
      <c r="P19" s="172">
        <f t="shared" si="7"/>
        <v>0</v>
      </c>
      <c r="Q19" s="172">
        <f t="shared" si="2"/>
        <v>0</v>
      </c>
      <c r="R19" s="172">
        <f t="shared" si="3"/>
        <v>0</v>
      </c>
      <c r="S19" s="172">
        <f t="shared" si="12"/>
        <v>0</v>
      </c>
      <c r="T19" s="287">
        <f t="shared" si="9"/>
        <v>0</v>
      </c>
      <c r="U19" s="241">
        <f>+T19/'Capacity Delivered'!L19*1000</f>
        <v>0</v>
      </c>
      <c r="V19" s="242">
        <f t="shared" si="4"/>
        <v>0</v>
      </c>
      <c r="X19" s="243">
        <f t="shared" si="10"/>
        <v>5.2747999950232023</v>
      </c>
      <c r="Y19" s="244">
        <f t="shared" si="5"/>
        <v>5.274799995023202E-3</v>
      </c>
    </row>
    <row r="20" spans="2:25" s="44" customFormat="1" x14ac:dyDescent="0.2">
      <c r="B20" s="248"/>
      <c r="C20" s="248"/>
      <c r="D20" s="248"/>
      <c r="E20" s="248"/>
      <c r="F20" s="189"/>
      <c r="G20" s="171">
        <f>'Baseload Avoided Capacity Calcs'!G20</f>
        <v>2034</v>
      </c>
      <c r="H20" s="37">
        <v>14</v>
      </c>
      <c r="I20" s="172">
        <f>'Capacity Delivered'!H20</f>
        <v>16.95806</v>
      </c>
      <c r="J20" s="240">
        <f t="shared" si="0"/>
        <v>6.2500339184161149</v>
      </c>
      <c r="K20" s="241">
        <f t="shared" si="6"/>
        <v>144.8988644327994</v>
      </c>
      <c r="L20" s="241">
        <f t="shared" si="11"/>
        <v>16.958059999999993</v>
      </c>
      <c r="M20" s="241">
        <f>+L20/'Capacity Delivered'!P21*1000</f>
        <v>5.2747999950232023</v>
      </c>
      <c r="N20" s="242">
        <f t="shared" si="1"/>
        <v>5.274799995023202E-3</v>
      </c>
      <c r="P20" s="172">
        <f t="shared" si="7"/>
        <v>0</v>
      </c>
      <c r="Q20" s="172">
        <f t="shared" si="2"/>
        <v>0</v>
      </c>
      <c r="R20" s="172">
        <f t="shared" si="3"/>
        <v>0</v>
      </c>
      <c r="S20" s="172">
        <f t="shared" si="12"/>
        <v>0</v>
      </c>
      <c r="T20" s="287">
        <f t="shared" si="9"/>
        <v>0</v>
      </c>
      <c r="U20" s="241">
        <f>+T20/'Capacity Delivered'!L20*1000</f>
        <v>0</v>
      </c>
      <c r="V20" s="242">
        <f t="shared" si="4"/>
        <v>0</v>
      </c>
      <c r="X20" s="243">
        <f t="shared" si="10"/>
        <v>5.2747999950232023</v>
      </c>
      <c r="Y20" s="244">
        <f t="shared" si="5"/>
        <v>5.274799995023202E-3</v>
      </c>
    </row>
    <row r="21" spans="2:25" s="249" customFormat="1" x14ac:dyDescent="0.2">
      <c r="B21" s="248"/>
      <c r="C21" s="248"/>
      <c r="D21" s="248"/>
      <c r="E21" s="248"/>
      <c r="F21" s="189"/>
      <c r="G21" s="171">
        <f>'Baseload Avoided Capacity Calcs'!G21</f>
        <v>2035</v>
      </c>
      <c r="H21" s="37">
        <v>15</v>
      </c>
      <c r="I21" s="172">
        <f>'Capacity Delivered'!H21</f>
        <v>16.95806</v>
      </c>
      <c r="J21" s="240">
        <f t="shared" si="0"/>
        <v>5.8199403281647397</v>
      </c>
      <c r="K21" s="241">
        <f>K20+J21</f>
        <v>150.71880476096413</v>
      </c>
      <c r="L21" s="241">
        <f t="shared" si="11"/>
        <v>16.958059999999989</v>
      </c>
      <c r="M21" s="241">
        <f>+L21/'Capacity Delivered'!P22*1000</f>
        <v>5.260387973178875</v>
      </c>
      <c r="N21" s="242">
        <f>M21/1000</f>
        <v>5.2603879731788752E-3</v>
      </c>
      <c r="P21" s="172">
        <f t="shared" si="7"/>
        <v>0</v>
      </c>
      <c r="Q21" s="172">
        <f t="shared" si="2"/>
        <v>0</v>
      </c>
      <c r="R21" s="172">
        <f t="shared" si="3"/>
        <v>0</v>
      </c>
      <c r="S21" s="172">
        <f>S20+R21</f>
        <v>0</v>
      </c>
      <c r="T21" s="287">
        <f t="shared" si="9"/>
        <v>0</v>
      </c>
      <c r="U21" s="241">
        <f>+T21/'Capacity Delivered'!L21*1000</f>
        <v>0</v>
      </c>
      <c r="V21" s="242">
        <f>U21/1000</f>
        <v>0</v>
      </c>
      <c r="X21" s="243">
        <f>M21+U21</f>
        <v>5.260387973178875</v>
      </c>
      <c r="Y21" s="244">
        <f>X21/1000</f>
        <v>5.2603879731788752E-3</v>
      </c>
    </row>
    <row r="22" spans="2:25" s="44" customFormat="1" x14ac:dyDescent="0.2">
      <c r="B22" s="248"/>
      <c r="C22" s="248"/>
      <c r="D22" s="248"/>
      <c r="E22" s="248"/>
      <c r="F22" s="189"/>
      <c r="G22" s="171">
        <f>'Baseload Avoided Capacity Calcs'!G22</f>
        <v>2036</v>
      </c>
      <c r="H22" s="37">
        <v>16</v>
      </c>
      <c r="I22" s="172">
        <f>'Capacity Delivered'!H22</f>
        <v>16.95806</v>
      </c>
      <c r="J22" s="240">
        <f t="shared" si="0"/>
        <v>5.4194434567136041</v>
      </c>
      <c r="K22" s="241">
        <f t="shared" si="6"/>
        <v>156.13824821767773</v>
      </c>
      <c r="L22" s="241">
        <f t="shared" si="11"/>
        <v>16.958059999999989</v>
      </c>
      <c r="M22" s="241">
        <f>+L22/'Capacity Delivered'!P23*1000</f>
        <v>5.2747999950232014</v>
      </c>
      <c r="N22" s="242">
        <f t="shared" si="1"/>
        <v>5.2747999950232011E-3</v>
      </c>
      <c r="P22" s="172">
        <f t="shared" si="7"/>
        <v>0</v>
      </c>
      <c r="Q22" s="172">
        <f t="shared" si="2"/>
        <v>0</v>
      </c>
      <c r="R22" s="172">
        <f t="shared" si="3"/>
        <v>0</v>
      </c>
      <c r="S22" s="172">
        <f t="shared" ref="S22:S27" si="13">S21+R22</f>
        <v>0</v>
      </c>
      <c r="T22" s="287">
        <f t="shared" si="9"/>
        <v>0</v>
      </c>
      <c r="U22" s="241">
        <f>+T22/'Capacity Delivered'!L22*1000</f>
        <v>0</v>
      </c>
      <c r="V22" s="242">
        <f t="shared" ref="V22:V27" si="14">U22/1000</f>
        <v>0</v>
      </c>
      <c r="X22" s="243">
        <f t="shared" si="10"/>
        <v>5.2747999950232014</v>
      </c>
      <c r="Y22" s="244">
        <f t="shared" ref="Y22:Y27" si="15">X22/1000</f>
        <v>5.2747999950232011E-3</v>
      </c>
    </row>
    <row r="23" spans="2:25" s="44" customFormat="1" x14ac:dyDescent="0.2">
      <c r="B23" s="248"/>
      <c r="C23" s="248"/>
      <c r="D23" s="248"/>
      <c r="E23" s="248"/>
      <c r="F23" s="189"/>
      <c r="G23" s="171">
        <f>'Baseload Avoided Capacity Calcs'!G23</f>
        <v>2037</v>
      </c>
      <c r="H23" s="37">
        <v>17</v>
      </c>
      <c r="I23" s="172">
        <f>'Capacity Delivered'!H23</f>
        <v>16.95806</v>
      </c>
      <c r="J23" s="240">
        <f t="shared" si="0"/>
        <v>5.0465066176679425</v>
      </c>
      <c r="K23" s="241">
        <f t="shared" si="6"/>
        <v>161.18475483534567</v>
      </c>
      <c r="L23" s="241">
        <f t="shared" si="11"/>
        <v>16.958059999999989</v>
      </c>
      <c r="M23" s="241">
        <f>+L23/'Capacity Delivered'!P24*1000</f>
        <v>5.2747999950232014</v>
      </c>
      <c r="N23" s="242">
        <f t="shared" si="1"/>
        <v>5.2747999950232011E-3</v>
      </c>
      <c r="P23" s="172">
        <f t="shared" si="7"/>
        <v>0</v>
      </c>
      <c r="Q23" s="172">
        <f t="shared" si="2"/>
        <v>0</v>
      </c>
      <c r="R23" s="172">
        <f t="shared" si="3"/>
        <v>0</v>
      </c>
      <c r="S23" s="172">
        <f t="shared" si="13"/>
        <v>0</v>
      </c>
      <c r="T23" s="287">
        <f t="shared" si="9"/>
        <v>0</v>
      </c>
      <c r="U23" s="241">
        <f>+T23/'Capacity Delivered'!L23*1000</f>
        <v>0</v>
      </c>
      <c r="V23" s="242">
        <f t="shared" si="14"/>
        <v>0</v>
      </c>
      <c r="X23" s="243">
        <f t="shared" si="10"/>
        <v>5.2747999950232014</v>
      </c>
      <c r="Y23" s="244">
        <f t="shared" si="15"/>
        <v>5.2747999950232011E-3</v>
      </c>
    </row>
    <row r="24" spans="2:25" x14ac:dyDescent="0.2">
      <c r="B24" s="173"/>
      <c r="C24" s="173"/>
      <c r="D24" s="173"/>
      <c r="E24" s="173"/>
      <c r="F24" s="52"/>
      <c r="G24" s="171">
        <f>'Baseload Avoided Capacity Calcs'!G24</f>
        <v>2038</v>
      </c>
      <c r="H24" s="39">
        <v>18</v>
      </c>
      <c r="I24" s="172">
        <f>'Capacity Delivered'!H24</f>
        <v>16.95806</v>
      </c>
      <c r="J24" s="40">
        <f t="shared" si="0"/>
        <v>4.6992332783945825</v>
      </c>
      <c r="K24" s="41">
        <f t="shared" si="6"/>
        <v>165.88398811374026</v>
      </c>
      <c r="L24" s="241">
        <f t="shared" si="11"/>
        <v>16.958059999999989</v>
      </c>
      <c r="M24" s="41">
        <f>+L24/'Capacity Delivered'!P25*1000</f>
        <v>5.2747999950232014</v>
      </c>
      <c r="N24" s="223">
        <f t="shared" si="1"/>
        <v>5.2747999950232011E-3</v>
      </c>
      <c r="P24" s="172">
        <f t="shared" si="7"/>
        <v>0</v>
      </c>
      <c r="Q24" s="172">
        <f t="shared" si="2"/>
        <v>0</v>
      </c>
      <c r="R24" s="172">
        <f t="shared" si="3"/>
        <v>0</v>
      </c>
      <c r="S24" s="172">
        <f t="shared" si="13"/>
        <v>0</v>
      </c>
      <c r="T24" s="287">
        <f t="shared" si="9"/>
        <v>0</v>
      </c>
      <c r="U24" s="41">
        <f>+T24/'Capacity Delivered'!L24*1000</f>
        <v>0</v>
      </c>
      <c r="V24" s="223">
        <f t="shared" si="14"/>
        <v>0</v>
      </c>
      <c r="X24" s="230">
        <f t="shared" si="10"/>
        <v>5.2747999950232014</v>
      </c>
      <c r="Y24" s="231">
        <f t="shared" si="15"/>
        <v>5.2747999950232011E-3</v>
      </c>
    </row>
    <row r="25" spans="2:25" x14ac:dyDescent="0.2">
      <c r="B25" s="173"/>
      <c r="C25" s="173"/>
      <c r="D25" s="173"/>
      <c r="E25" s="173"/>
      <c r="F25" s="52"/>
      <c r="G25" s="171">
        <f>'Baseload Avoided Capacity Calcs'!G25</f>
        <v>2039</v>
      </c>
      <c r="H25" s="39">
        <v>19</v>
      </c>
      <c r="I25" s="172">
        <f>'Capacity Delivered'!H25</f>
        <v>16.95806</v>
      </c>
      <c r="J25" s="40">
        <f t="shared" si="0"/>
        <v>4.3758574153967622</v>
      </c>
      <c r="K25" s="41">
        <f t="shared" si="6"/>
        <v>170.25984552913701</v>
      </c>
      <c r="L25" s="241">
        <f t="shared" si="11"/>
        <v>16.958059999999989</v>
      </c>
      <c r="M25" s="41">
        <f>+L25/'Capacity Delivered'!P26*1000</f>
        <v>5.260387973178875</v>
      </c>
      <c r="N25" s="223">
        <f t="shared" si="1"/>
        <v>5.2603879731788752E-3</v>
      </c>
      <c r="P25" s="172">
        <f t="shared" si="7"/>
        <v>0</v>
      </c>
      <c r="Q25" s="172">
        <f t="shared" si="2"/>
        <v>0</v>
      </c>
      <c r="R25" s="172">
        <f t="shared" si="3"/>
        <v>0</v>
      </c>
      <c r="S25" s="172">
        <f t="shared" si="13"/>
        <v>0</v>
      </c>
      <c r="T25" s="287">
        <f t="shared" si="9"/>
        <v>0</v>
      </c>
      <c r="U25" s="41">
        <f>+T25/'Capacity Delivered'!L25*1000</f>
        <v>0</v>
      </c>
      <c r="V25" s="223">
        <f t="shared" si="14"/>
        <v>0</v>
      </c>
      <c r="X25" s="230">
        <f t="shared" si="10"/>
        <v>5.260387973178875</v>
      </c>
      <c r="Y25" s="231">
        <f t="shared" si="15"/>
        <v>5.2603879731788752E-3</v>
      </c>
    </row>
    <row r="26" spans="2:25" x14ac:dyDescent="0.2">
      <c r="B26" s="173"/>
      <c r="C26" s="173"/>
      <c r="D26" s="173"/>
      <c r="E26" s="173"/>
      <c r="F26" s="52"/>
      <c r="G26" s="171">
        <f>'Baseload Avoided Capacity Calcs'!G26</f>
        <v>2040</v>
      </c>
      <c r="H26" s="39">
        <v>20</v>
      </c>
      <c r="I26" s="172">
        <f>'Capacity Delivered'!H26</f>
        <v>16.95806</v>
      </c>
      <c r="J26" s="40">
        <f t="shared" si="0"/>
        <v>4.0747345333799814</v>
      </c>
      <c r="K26" s="41">
        <f t="shared" si="6"/>
        <v>174.33458006251698</v>
      </c>
      <c r="L26" s="241">
        <f t="shared" si="11"/>
        <v>16.958059999999989</v>
      </c>
      <c r="M26" s="41">
        <f>+L26/'Capacity Delivered'!P27*1000</f>
        <v>5.2747999950232014</v>
      </c>
      <c r="N26" s="223">
        <f t="shared" si="1"/>
        <v>5.2747999950232011E-3</v>
      </c>
      <c r="P26" s="172">
        <f t="shared" si="7"/>
        <v>0</v>
      </c>
      <c r="Q26" s="172">
        <f t="shared" si="2"/>
        <v>0</v>
      </c>
      <c r="R26" s="172">
        <f t="shared" si="3"/>
        <v>0</v>
      </c>
      <c r="S26" s="172">
        <f t="shared" si="13"/>
        <v>0</v>
      </c>
      <c r="T26" s="287">
        <f t="shared" si="9"/>
        <v>0</v>
      </c>
      <c r="U26" s="41">
        <f>+T26/'Capacity Delivered'!L26*1000</f>
        <v>0</v>
      </c>
      <c r="V26" s="223">
        <f t="shared" si="14"/>
        <v>0</v>
      </c>
      <c r="X26" s="230">
        <f t="shared" si="10"/>
        <v>5.2747999950232014</v>
      </c>
      <c r="Y26" s="231">
        <f t="shared" si="15"/>
        <v>5.2747999950232011E-3</v>
      </c>
    </row>
    <row r="27" spans="2:25" s="44" customFormat="1" ht="15.75" thickBot="1" x14ac:dyDescent="0.25">
      <c r="G27" s="171">
        <f>'Baseload Avoided Capacity Calcs'!G27</f>
        <v>2041</v>
      </c>
      <c r="H27" s="37">
        <v>21</v>
      </c>
      <c r="I27" s="172">
        <f>'Capacity Delivered'!H27</f>
        <v>16.95806</v>
      </c>
      <c r="J27" s="40">
        <f t="shared" si="0"/>
        <v>3.794333302337257</v>
      </c>
      <c r="K27" s="41">
        <f t="shared" si="6"/>
        <v>178.12891336485424</v>
      </c>
      <c r="L27" s="241">
        <f>(-PMT($E$8,H27,(K27)))</f>
        <v>16.958059999999985</v>
      </c>
      <c r="M27" s="41">
        <f>+L27/'Capacity Delivered'!P28*1000</f>
        <v>5.2747999950231996</v>
      </c>
      <c r="N27" s="223">
        <f t="shared" si="1"/>
        <v>5.2747999950231994E-3</v>
      </c>
      <c r="P27" s="172">
        <f t="shared" si="7"/>
        <v>0</v>
      </c>
      <c r="Q27" s="172">
        <f t="shared" si="2"/>
        <v>0</v>
      </c>
      <c r="R27" s="172">
        <f t="shared" si="3"/>
        <v>0</v>
      </c>
      <c r="S27" s="172">
        <f t="shared" si="13"/>
        <v>0</v>
      </c>
      <c r="T27" s="287">
        <f t="shared" si="9"/>
        <v>0</v>
      </c>
      <c r="U27" s="41">
        <f>+T27/'Capacity Delivered'!L27*1000</f>
        <v>0</v>
      </c>
      <c r="V27" s="223">
        <f t="shared" si="14"/>
        <v>0</v>
      </c>
      <c r="X27" s="232">
        <f t="shared" si="10"/>
        <v>5.2747999950231996</v>
      </c>
      <c r="Y27" s="233">
        <f t="shared" si="15"/>
        <v>5.2747999950231994E-3</v>
      </c>
    </row>
    <row r="28" spans="2:25" s="44" customFormat="1" x14ac:dyDescent="0.2">
      <c r="C28" s="21"/>
      <c r="D28" s="21"/>
      <c r="G28" s="38"/>
      <c r="H28" s="37"/>
      <c r="I28" s="175"/>
      <c r="J28" s="55"/>
      <c r="K28" s="56"/>
      <c r="L28" s="48"/>
      <c r="M28" s="48"/>
      <c r="N28" s="48"/>
      <c r="P28" s="176"/>
      <c r="Q28" s="54"/>
      <c r="R28" s="55"/>
      <c r="S28" s="56"/>
      <c r="T28" s="48"/>
      <c r="U28" s="48"/>
      <c r="V28" s="48"/>
      <c r="X28" s="48"/>
      <c r="Y28" s="48"/>
    </row>
    <row r="29" spans="2:25" x14ac:dyDescent="0.2">
      <c r="B29" s="31"/>
      <c r="C29" s="21"/>
      <c r="D29" s="21"/>
      <c r="E29" s="44"/>
      <c r="F29" s="44"/>
      <c r="G29" s="31"/>
      <c r="H29" s="37"/>
      <c r="I29" s="175"/>
      <c r="J29" s="31"/>
      <c r="K29" s="31"/>
      <c r="L29" s="31"/>
      <c r="M29" s="31"/>
      <c r="N29" s="31"/>
      <c r="P29" s="176"/>
      <c r="Q29" s="54"/>
      <c r="R29" s="31"/>
      <c r="S29" s="31"/>
      <c r="T29" s="31"/>
      <c r="U29" s="31"/>
      <c r="V29" s="31"/>
      <c r="X29" s="31"/>
      <c r="Y29" s="31"/>
    </row>
  </sheetData>
  <customSheetViews>
    <customSheetView guid="{7616AFB9-3DAD-45EA-BAD3-1A4EF1124EEE}" fitToPage="1">
      <selection activeCell="E9" sqref="E9"/>
      <pageMargins left="0.75" right="0.5" top="0.76" bottom="0.79" header="0.5" footer="0.26"/>
      <pageSetup scale="64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>
      <selection activeCell="E9" sqref="E9"/>
      <pageMargins left="0.75" right="0.5" top="0.76" bottom="0.79" header="0.5" footer="0.26"/>
      <pageSetup scale="64" orientation="landscape" r:id="rId2"/>
      <headerFooter alignWithMargins="0">
        <oddFooter>&amp;L&amp;F&amp;C&amp;A&amp;RPSE Advice No. 2018-48 &amp;D
Page &amp;P of &amp;N</oddFooter>
      </headerFooter>
    </customSheetView>
  </customSheetViews>
  <pageMargins left="0.75" right="0.5" top="0.76" bottom="0.79" header="0.5" footer="0.26"/>
  <pageSetup scale="64" orientation="landscape" r:id="rId3"/>
  <headerFooter alignWithMargins="0">
    <oddFooter>&amp;L&amp;F&amp;C&amp;A&amp;RPSE Advice No. 2018-48 &amp;D
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39997558519241921"/>
    <pageSetUpPr fitToPage="1"/>
  </sheetPr>
  <dimension ref="A1:Y31"/>
  <sheetViews>
    <sheetView workbookViewId="0">
      <selection activeCell="E9" sqref="E9"/>
    </sheetView>
  </sheetViews>
  <sheetFormatPr defaultColWidth="9.140625" defaultRowHeight="15" x14ac:dyDescent="0.2"/>
  <cols>
    <col min="1" max="1" width="2.7109375" style="33" customWidth="1"/>
    <col min="2" max="2" width="25.7109375" style="33" customWidth="1"/>
    <col min="3" max="3" width="17.42578125" style="33" customWidth="1"/>
    <col min="4" max="4" width="3.42578125" style="33" customWidth="1"/>
    <col min="5" max="5" width="15.5703125" style="33" customWidth="1"/>
    <col min="6" max="6" width="2.7109375" style="33" customWidth="1"/>
    <col min="7" max="7" width="9.7109375" style="33" customWidth="1"/>
    <col min="8" max="8" width="16.7109375" style="33" customWidth="1"/>
    <col min="9" max="9" width="16.42578125" style="44" customWidth="1"/>
    <col min="10" max="10" width="18.5703125" style="33" customWidth="1"/>
    <col min="11" max="11" width="19" style="33" customWidth="1"/>
    <col min="12" max="14" width="22.28515625" style="33" customWidth="1"/>
    <col min="15" max="15" width="2.7109375" style="33" customWidth="1"/>
    <col min="16" max="16" width="16.42578125" style="44" customWidth="1"/>
    <col min="17" max="17" width="16.7109375" style="169" customWidth="1"/>
    <col min="18" max="18" width="18.5703125" style="33" customWidth="1"/>
    <col min="19" max="19" width="19" style="33" customWidth="1"/>
    <col min="20" max="22" width="22.28515625" style="33" customWidth="1"/>
    <col min="23" max="23" width="2.7109375" style="33" customWidth="1"/>
    <col min="24" max="25" width="22.28515625" style="33" customWidth="1"/>
    <col min="26" max="16384" width="9.140625" style="33"/>
  </cols>
  <sheetData>
    <row r="1" spans="1:25" x14ac:dyDescent="0.2">
      <c r="B1" s="14"/>
    </row>
    <row r="3" spans="1:25" ht="15.75" thickBot="1" x14ac:dyDescent="0.25">
      <c r="I3" s="165"/>
    </row>
    <row r="4" spans="1:25" ht="63" x14ac:dyDescent="0.25">
      <c r="G4" s="15" t="s">
        <v>15</v>
      </c>
      <c r="H4" s="16" t="s">
        <v>1</v>
      </c>
      <c r="I4" s="17" t="s">
        <v>16</v>
      </c>
      <c r="J4" s="16" t="s">
        <v>17</v>
      </c>
      <c r="K4" s="16" t="s">
        <v>18</v>
      </c>
      <c r="L4" s="3" t="s">
        <v>19</v>
      </c>
      <c r="M4" s="3" t="s">
        <v>19</v>
      </c>
      <c r="N4" s="3" t="s">
        <v>19</v>
      </c>
      <c r="P4" s="17" t="s">
        <v>73</v>
      </c>
      <c r="Q4" s="17" t="s">
        <v>50</v>
      </c>
      <c r="R4" s="16" t="s">
        <v>17</v>
      </c>
      <c r="S4" s="16" t="s">
        <v>18</v>
      </c>
      <c r="T4" s="3" t="s">
        <v>19</v>
      </c>
      <c r="U4" s="3" t="s">
        <v>19</v>
      </c>
      <c r="V4" s="3" t="s">
        <v>19</v>
      </c>
      <c r="X4" s="224" t="s">
        <v>19</v>
      </c>
      <c r="Y4" s="225" t="s">
        <v>19</v>
      </c>
    </row>
    <row r="5" spans="1:25" ht="15.75" x14ac:dyDescent="0.25">
      <c r="B5" s="50"/>
      <c r="C5" s="50"/>
      <c r="D5" s="50"/>
      <c r="G5" s="18"/>
      <c r="H5" s="18" t="s">
        <v>20</v>
      </c>
      <c r="I5" s="19" t="s">
        <v>128</v>
      </c>
      <c r="J5" s="19" t="s">
        <v>128</v>
      </c>
      <c r="K5" s="19" t="s">
        <v>128</v>
      </c>
      <c r="L5" s="19" t="s">
        <v>128</v>
      </c>
      <c r="M5" s="4" t="s">
        <v>34</v>
      </c>
      <c r="N5" s="4" t="s">
        <v>35</v>
      </c>
      <c r="P5" s="19" t="s">
        <v>128</v>
      </c>
      <c r="Q5" s="19" t="s">
        <v>128</v>
      </c>
      <c r="R5" s="19" t="s">
        <v>128</v>
      </c>
      <c r="S5" s="19" t="s">
        <v>128</v>
      </c>
      <c r="T5" s="19" t="s">
        <v>128</v>
      </c>
      <c r="U5" s="4" t="s">
        <v>34</v>
      </c>
      <c r="V5" s="4" t="s">
        <v>35</v>
      </c>
      <c r="X5" s="226" t="s">
        <v>34</v>
      </c>
      <c r="Y5" s="227" t="s">
        <v>35</v>
      </c>
    </row>
    <row r="6" spans="1:25" ht="15.75" x14ac:dyDescent="0.25">
      <c r="A6" s="170"/>
      <c r="B6" s="170"/>
      <c r="C6" s="164" t="s">
        <v>129</v>
      </c>
      <c r="D6" s="164" t="str">
        <f>+P6</f>
        <v>[4]</v>
      </c>
      <c r="E6" s="200">
        <v>0</v>
      </c>
      <c r="F6" s="45"/>
      <c r="G6" s="168" t="s">
        <v>21</v>
      </c>
      <c r="H6" s="168" t="s">
        <v>22</v>
      </c>
      <c r="I6" s="168" t="s">
        <v>23</v>
      </c>
      <c r="J6" s="168" t="s">
        <v>30</v>
      </c>
      <c r="K6" s="168" t="s">
        <v>26</v>
      </c>
      <c r="L6" s="168" t="s">
        <v>27</v>
      </c>
      <c r="M6" s="168" t="s">
        <v>36</v>
      </c>
      <c r="N6" s="168" t="s">
        <v>72</v>
      </c>
      <c r="P6" s="168" t="s">
        <v>24</v>
      </c>
      <c r="Q6" s="168" t="s">
        <v>25</v>
      </c>
      <c r="R6" s="168" t="s">
        <v>30</v>
      </c>
      <c r="S6" s="168" t="s">
        <v>26</v>
      </c>
      <c r="T6" s="168" t="s">
        <v>27</v>
      </c>
      <c r="U6" s="168" t="s">
        <v>36</v>
      </c>
      <c r="V6" s="168" t="s">
        <v>72</v>
      </c>
      <c r="X6" s="228" t="s">
        <v>36</v>
      </c>
      <c r="Y6" s="229" t="s">
        <v>72</v>
      </c>
    </row>
    <row r="7" spans="1:25" ht="15.75" x14ac:dyDescent="0.25">
      <c r="A7" s="170"/>
      <c r="B7" s="50"/>
      <c r="C7" s="20" t="s">
        <v>127</v>
      </c>
      <c r="D7" s="20" t="str">
        <f>+Q6</f>
        <v>[5]</v>
      </c>
      <c r="E7" s="46">
        <v>0</v>
      </c>
      <c r="F7" s="47"/>
      <c r="G7" s="171">
        <f>'Baseload Avoided Capacity Calcs'!G7</f>
        <v>2021</v>
      </c>
      <c r="H7" s="166">
        <v>1</v>
      </c>
      <c r="I7" s="172">
        <f>'Capacity Delivered'!I7</f>
        <v>3.8108</v>
      </c>
      <c r="J7" s="32">
        <f t="shared" ref="J7:J27" si="0">SUM(I7)/((1+$E$8)^H7)</f>
        <v>3.5485613185585247</v>
      </c>
      <c r="K7" s="167">
        <f>J7</f>
        <v>3.5485613185585247</v>
      </c>
      <c r="L7" s="241">
        <f>(-PMT($E$8,H7,(K7)))</f>
        <v>3.8107999999999995</v>
      </c>
      <c r="M7" s="350">
        <f>+L7/'Capacity Delivered'!R8*1000</f>
        <v>1.797615004339786</v>
      </c>
      <c r="N7" s="222">
        <f t="shared" ref="N7:N27" si="1">M7/1000</f>
        <v>1.7976150043397861E-3</v>
      </c>
      <c r="P7" s="177">
        <f>E13</f>
        <v>0</v>
      </c>
      <c r="Q7" s="177">
        <f t="shared" ref="Q7:Q27" si="2">(I7+P7)*$E$7</f>
        <v>0</v>
      </c>
      <c r="R7" s="177">
        <f t="shared" ref="R7:R27" si="3">SUM(P7:Q7)/((1+$E$8)^H7)</f>
        <v>0</v>
      </c>
      <c r="S7" s="177">
        <f>R7</f>
        <v>0</v>
      </c>
      <c r="T7" s="287">
        <f>(-PMT($E$8,H7,(S7)))</f>
        <v>0</v>
      </c>
      <c r="U7" s="167">
        <f>+T7/'Capacity Delivered'!L7*1000</f>
        <v>0</v>
      </c>
      <c r="V7" s="222">
        <f t="shared" ref="V7:V20" si="4">U7/1000</f>
        <v>0</v>
      </c>
      <c r="X7" s="230">
        <f>M7+U7</f>
        <v>1.797615004339786</v>
      </c>
      <c r="Y7" s="231">
        <f t="shared" ref="Y7:Y20" si="5">X7/1000</f>
        <v>1.7976150043397861E-3</v>
      </c>
    </row>
    <row r="8" spans="1:25" s="44" customFormat="1" ht="15.75" x14ac:dyDescent="0.25">
      <c r="A8" s="170"/>
      <c r="B8" s="170"/>
      <c r="C8" s="164" t="s">
        <v>46</v>
      </c>
      <c r="D8" s="164"/>
      <c r="E8" s="46">
        <f>Rate_of_Return</f>
        <v>7.3899999999999993E-2</v>
      </c>
      <c r="F8" s="239"/>
      <c r="G8" s="38">
        <f>G7+1</f>
        <v>2022</v>
      </c>
      <c r="H8" s="37">
        <v>2</v>
      </c>
      <c r="I8" s="172">
        <f>'Capacity Delivered'!I8</f>
        <v>3.8108</v>
      </c>
      <c r="J8" s="240">
        <f t="shared" si="0"/>
        <v>3.3043684873438166</v>
      </c>
      <c r="K8" s="241">
        <f t="shared" ref="K8:K27" si="6">K7+J8</f>
        <v>6.8529298059023418</v>
      </c>
      <c r="L8" s="241">
        <f t="shared" ref="L8:L27" si="7">(-PMT($E$8,H8,(K8)))</f>
        <v>3.8107999999999995</v>
      </c>
      <c r="M8" s="241">
        <f>+L8/'Capacity Delivered'!R9*1000</f>
        <v>1.797615004339786</v>
      </c>
      <c r="N8" s="242">
        <f t="shared" si="1"/>
        <v>1.7976150043397861E-3</v>
      </c>
      <c r="P8" s="172">
        <f t="shared" ref="P8:P27" si="8">P7+(P7*$E$9)</f>
        <v>0</v>
      </c>
      <c r="Q8" s="172">
        <f t="shared" si="2"/>
        <v>0</v>
      </c>
      <c r="R8" s="172">
        <f t="shared" si="3"/>
        <v>0</v>
      </c>
      <c r="S8" s="172">
        <f t="shared" ref="S8:S12" si="9">S7+R8</f>
        <v>0</v>
      </c>
      <c r="T8" s="287">
        <f t="shared" ref="T8:T27" si="10">(-PMT($E$8,H8,(S8)))</f>
        <v>0</v>
      </c>
      <c r="U8" s="241">
        <f>+T8/'Capacity Delivered'!L8*1000</f>
        <v>0</v>
      </c>
      <c r="V8" s="242">
        <f t="shared" si="4"/>
        <v>0</v>
      </c>
      <c r="X8" s="243">
        <f t="shared" ref="X8:X27" si="11">M8+U8</f>
        <v>1.797615004339786</v>
      </c>
      <c r="Y8" s="244">
        <f t="shared" si="5"/>
        <v>1.7976150043397861E-3</v>
      </c>
    </row>
    <row r="9" spans="1:25" s="44" customFormat="1" ht="15.75" x14ac:dyDescent="0.25">
      <c r="A9" s="170"/>
      <c r="B9" s="170"/>
      <c r="C9" s="164" t="s">
        <v>47</v>
      </c>
      <c r="D9" s="291"/>
      <c r="E9" s="46">
        <f>+'Baseload Avoided Capacity Calcs'!E9</f>
        <v>2.5000000000000001E-2</v>
      </c>
      <c r="F9" s="245"/>
      <c r="G9" s="38">
        <f t="shared" ref="G9:G27" si="12">G8+1</f>
        <v>2023</v>
      </c>
      <c r="H9" s="37">
        <v>3</v>
      </c>
      <c r="I9" s="172">
        <f>'Capacity Delivered'!I9</f>
        <v>3.8108</v>
      </c>
      <c r="J9" s="240">
        <f t="shared" si="0"/>
        <v>3.0769796883730485</v>
      </c>
      <c r="K9" s="241">
        <f t="shared" si="6"/>
        <v>9.9299094942753907</v>
      </c>
      <c r="L9" s="241">
        <f t="shared" si="7"/>
        <v>3.8107999999999995</v>
      </c>
      <c r="M9" s="241">
        <f>+L9/'Capacity Delivered'!R10*1000</f>
        <v>1.7927034879344861</v>
      </c>
      <c r="N9" s="242">
        <f t="shared" si="1"/>
        <v>1.7927034879344861E-3</v>
      </c>
      <c r="P9" s="172">
        <f t="shared" si="8"/>
        <v>0</v>
      </c>
      <c r="Q9" s="172">
        <f t="shared" si="2"/>
        <v>0</v>
      </c>
      <c r="R9" s="172">
        <f t="shared" si="3"/>
        <v>0</v>
      </c>
      <c r="S9" s="172">
        <f t="shared" si="9"/>
        <v>0</v>
      </c>
      <c r="T9" s="287">
        <f t="shared" si="10"/>
        <v>0</v>
      </c>
      <c r="U9" s="241">
        <f>+T9/'Capacity Delivered'!L9*1000</f>
        <v>0</v>
      </c>
      <c r="V9" s="242">
        <f t="shared" si="4"/>
        <v>0</v>
      </c>
      <c r="X9" s="243">
        <f t="shared" si="11"/>
        <v>1.7927034879344861</v>
      </c>
      <c r="Y9" s="244">
        <f t="shared" si="5"/>
        <v>1.7927034879344861E-3</v>
      </c>
    </row>
    <row r="10" spans="1:25" s="44" customFormat="1" ht="15.75" x14ac:dyDescent="0.25">
      <c r="B10" s="170"/>
      <c r="C10" s="164"/>
      <c r="D10" s="164"/>
      <c r="E10" s="51"/>
      <c r="F10" s="239"/>
      <c r="G10" s="38">
        <f t="shared" si="12"/>
        <v>2024</v>
      </c>
      <c r="H10" s="37">
        <v>4</v>
      </c>
      <c r="I10" s="172">
        <f>'Capacity Delivered'!I10</f>
        <v>3.8108</v>
      </c>
      <c r="J10" s="240">
        <f t="shared" si="0"/>
        <v>2.8652385588723792</v>
      </c>
      <c r="K10" s="241">
        <f t="shared" si="6"/>
        <v>12.79514805314777</v>
      </c>
      <c r="L10" s="241">
        <f t="shared" si="7"/>
        <v>3.8107999999999995</v>
      </c>
      <c r="M10" s="241">
        <f>+L10/'Capacity Delivered'!R11*1000</f>
        <v>1.797615004339786</v>
      </c>
      <c r="N10" s="242">
        <f t="shared" si="1"/>
        <v>1.7976150043397861E-3</v>
      </c>
      <c r="P10" s="172">
        <f t="shared" si="8"/>
        <v>0</v>
      </c>
      <c r="Q10" s="172">
        <f t="shared" si="2"/>
        <v>0</v>
      </c>
      <c r="R10" s="172">
        <f t="shared" si="3"/>
        <v>0</v>
      </c>
      <c r="S10" s="172">
        <f t="shared" si="9"/>
        <v>0</v>
      </c>
      <c r="T10" s="287">
        <f t="shared" si="10"/>
        <v>0</v>
      </c>
      <c r="U10" s="241">
        <f>+T10/'Capacity Delivered'!L10*1000</f>
        <v>0</v>
      </c>
      <c r="V10" s="242">
        <f t="shared" si="4"/>
        <v>0</v>
      </c>
      <c r="X10" s="243">
        <f t="shared" si="11"/>
        <v>1.797615004339786</v>
      </c>
      <c r="Y10" s="244">
        <f t="shared" si="5"/>
        <v>1.7976150043397861E-3</v>
      </c>
    </row>
    <row r="11" spans="1:25" s="44" customFormat="1" ht="15.75" x14ac:dyDescent="0.25">
      <c r="B11" s="170"/>
      <c r="C11" s="164"/>
      <c r="D11" s="164"/>
      <c r="E11" s="51"/>
      <c r="F11" s="239"/>
      <c r="G11" s="38">
        <f t="shared" si="12"/>
        <v>2025</v>
      </c>
      <c r="H11" s="37">
        <v>5</v>
      </c>
      <c r="I11" s="172">
        <f>'Capacity Delivered'!I11</f>
        <v>3.8108</v>
      </c>
      <c r="J11" s="240">
        <f t="shared" si="0"/>
        <v>2.6680683107108472</v>
      </c>
      <c r="K11" s="241">
        <f t="shared" si="6"/>
        <v>15.463216363858617</v>
      </c>
      <c r="L11" s="241">
        <f t="shared" si="7"/>
        <v>3.8107999999999995</v>
      </c>
      <c r="M11" s="241">
        <f>+L11/'Capacity Delivered'!R12*1000</f>
        <v>1.797615004339786</v>
      </c>
      <c r="N11" s="242">
        <f t="shared" si="1"/>
        <v>1.7976150043397861E-3</v>
      </c>
      <c r="P11" s="172">
        <f t="shared" si="8"/>
        <v>0</v>
      </c>
      <c r="Q11" s="172">
        <f t="shared" si="2"/>
        <v>0</v>
      </c>
      <c r="R11" s="172">
        <f t="shared" si="3"/>
        <v>0</v>
      </c>
      <c r="S11" s="172">
        <f t="shared" si="9"/>
        <v>0</v>
      </c>
      <c r="T11" s="287">
        <f t="shared" si="10"/>
        <v>0</v>
      </c>
      <c r="U11" s="241">
        <f>+T11/'Capacity Delivered'!L11*1000</f>
        <v>0</v>
      </c>
      <c r="V11" s="242">
        <f t="shared" si="4"/>
        <v>0</v>
      </c>
      <c r="X11" s="243">
        <f t="shared" si="11"/>
        <v>1.797615004339786</v>
      </c>
      <c r="Y11" s="244">
        <f t="shared" si="5"/>
        <v>1.7976150043397861E-3</v>
      </c>
    </row>
    <row r="12" spans="1:25" s="44" customFormat="1" ht="15.75" x14ac:dyDescent="0.25">
      <c r="B12" s="170"/>
      <c r="C12" s="164"/>
      <c r="D12" s="164"/>
      <c r="E12" s="51"/>
      <c r="F12" s="239"/>
      <c r="G12" s="38">
        <f t="shared" si="12"/>
        <v>2026</v>
      </c>
      <c r="H12" s="37">
        <v>6</v>
      </c>
      <c r="I12" s="172">
        <f>'Capacity Delivered'!I12</f>
        <v>3.8108</v>
      </c>
      <c r="J12" s="240">
        <f t="shared" si="0"/>
        <v>2.4844662545030705</v>
      </c>
      <c r="K12" s="241">
        <f t="shared" si="6"/>
        <v>17.947682618361689</v>
      </c>
      <c r="L12" s="241">
        <f t="shared" si="7"/>
        <v>3.8107999999999995</v>
      </c>
      <c r="M12" s="241">
        <f>+L12/'Capacity Delivered'!R13*1000</f>
        <v>1.797615004339786</v>
      </c>
      <c r="N12" s="242">
        <f t="shared" si="1"/>
        <v>1.7976150043397861E-3</v>
      </c>
      <c r="P12" s="172">
        <f t="shared" si="8"/>
        <v>0</v>
      </c>
      <c r="Q12" s="172">
        <f t="shared" si="2"/>
        <v>0</v>
      </c>
      <c r="R12" s="172">
        <f t="shared" si="3"/>
        <v>0</v>
      </c>
      <c r="S12" s="172">
        <f t="shared" si="9"/>
        <v>0</v>
      </c>
      <c r="T12" s="287">
        <f t="shared" si="10"/>
        <v>0</v>
      </c>
      <c r="U12" s="241">
        <f>+T12/'Capacity Delivered'!L12*1000</f>
        <v>0</v>
      </c>
      <c r="V12" s="242">
        <f t="shared" si="4"/>
        <v>0</v>
      </c>
      <c r="X12" s="243">
        <f t="shared" si="11"/>
        <v>1.797615004339786</v>
      </c>
      <c r="Y12" s="244">
        <f t="shared" si="5"/>
        <v>1.7976150043397861E-3</v>
      </c>
    </row>
    <row r="13" spans="1:25" s="44" customFormat="1" ht="15.75" x14ac:dyDescent="0.25">
      <c r="B13" s="170"/>
      <c r="C13" s="164"/>
      <c r="D13" s="164"/>
      <c r="E13" s="51"/>
      <c r="F13" s="239"/>
      <c r="G13" s="38">
        <f t="shared" si="12"/>
        <v>2027</v>
      </c>
      <c r="H13" s="37">
        <v>7</v>
      </c>
      <c r="I13" s="172">
        <f>'Capacity Delivered'!I13</f>
        <v>3.8108</v>
      </c>
      <c r="J13" s="240">
        <f t="shared" si="0"/>
        <v>2.3134987005336347</v>
      </c>
      <c r="K13" s="241">
        <f>K12+J13</f>
        <v>20.261181318895325</v>
      </c>
      <c r="L13" s="241">
        <f t="shared" si="7"/>
        <v>3.8107999999999995</v>
      </c>
      <c r="M13" s="241">
        <f>+L13/'Capacity Delivered'!R14*1000</f>
        <v>1.7927034879344861</v>
      </c>
      <c r="N13" s="242">
        <f t="shared" si="1"/>
        <v>1.7927034879344861E-3</v>
      </c>
      <c r="P13" s="172">
        <f>P12+(P12*$E$9)</f>
        <v>0</v>
      </c>
      <c r="Q13" s="172">
        <f t="shared" si="2"/>
        <v>0</v>
      </c>
      <c r="R13" s="172">
        <f t="shared" si="3"/>
        <v>0</v>
      </c>
      <c r="S13" s="172">
        <f>S12+R13</f>
        <v>0</v>
      </c>
      <c r="T13" s="287">
        <f t="shared" si="10"/>
        <v>0</v>
      </c>
      <c r="U13" s="241">
        <f>+T13/'Capacity Delivered'!L13*1000</f>
        <v>0</v>
      </c>
      <c r="V13" s="242">
        <f t="shared" si="4"/>
        <v>0</v>
      </c>
      <c r="X13" s="243">
        <f t="shared" si="11"/>
        <v>1.7927034879344861</v>
      </c>
      <c r="Y13" s="244">
        <f t="shared" si="5"/>
        <v>1.7927034879344861E-3</v>
      </c>
    </row>
    <row r="14" spans="1:25" s="44" customFormat="1" ht="15.75" x14ac:dyDescent="0.25">
      <c r="B14" s="170"/>
      <c r="C14" s="164"/>
      <c r="D14" s="164"/>
      <c r="E14" s="51"/>
      <c r="F14" s="239"/>
      <c r="G14" s="38">
        <f t="shared" si="12"/>
        <v>2028</v>
      </c>
      <c r="H14" s="37">
        <v>8</v>
      </c>
      <c r="I14" s="172">
        <f>'Capacity Delivered'!I14</f>
        <v>3.8108</v>
      </c>
      <c r="J14" s="240">
        <f t="shared" si="0"/>
        <v>2.1542962105723387</v>
      </c>
      <c r="K14" s="241">
        <f t="shared" si="6"/>
        <v>22.415477529467665</v>
      </c>
      <c r="L14" s="241">
        <f t="shared" si="7"/>
        <v>3.8107999999999995</v>
      </c>
      <c r="M14" s="241">
        <f>+L14/'Capacity Delivered'!R15*1000</f>
        <v>1.797615004339786</v>
      </c>
      <c r="N14" s="242">
        <f t="shared" si="1"/>
        <v>1.7976150043397861E-3</v>
      </c>
      <c r="P14" s="172">
        <f t="shared" si="8"/>
        <v>0</v>
      </c>
      <c r="Q14" s="172">
        <f t="shared" si="2"/>
        <v>0</v>
      </c>
      <c r="R14" s="172">
        <f t="shared" si="3"/>
        <v>0</v>
      </c>
      <c r="S14" s="172">
        <f t="shared" ref="S14:S20" si="13">S13+R14</f>
        <v>0</v>
      </c>
      <c r="T14" s="287">
        <f t="shared" si="10"/>
        <v>0</v>
      </c>
      <c r="U14" s="241">
        <f>+T14/'Capacity Delivered'!L14*1000</f>
        <v>0</v>
      </c>
      <c r="V14" s="242">
        <f t="shared" si="4"/>
        <v>0</v>
      </c>
      <c r="X14" s="243">
        <f t="shared" si="11"/>
        <v>1.797615004339786</v>
      </c>
      <c r="Y14" s="244">
        <f t="shared" si="5"/>
        <v>1.7976150043397861E-3</v>
      </c>
    </row>
    <row r="15" spans="1:25" s="44" customFormat="1" ht="15.75" x14ac:dyDescent="0.25">
      <c r="B15" s="170"/>
      <c r="C15" s="164"/>
      <c r="D15" s="164"/>
      <c r="E15" s="51"/>
      <c r="F15" s="239"/>
      <c r="G15" s="38">
        <f t="shared" si="12"/>
        <v>2029</v>
      </c>
      <c r="H15" s="37">
        <v>9</v>
      </c>
      <c r="I15" s="172">
        <f>'Capacity Delivered'!I15</f>
        <v>3.8108</v>
      </c>
      <c r="J15" s="240">
        <f t="shared" si="0"/>
        <v>2.006049176433875</v>
      </c>
      <c r="K15" s="241">
        <f t="shared" si="6"/>
        <v>24.421526705901542</v>
      </c>
      <c r="L15" s="241">
        <f t="shared" si="7"/>
        <v>3.8108</v>
      </c>
      <c r="M15" s="241">
        <f>+L15/'Capacity Delivered'!R16*1000</f>
        <v>1.7976150043397863</v>
      </c>
      <c r="N15" s="242">
        <f t="shared" si="1"/>
        <v>1.7976150043397864E-3</v>
      </c>
      <c r="P15" s="172">
        <f t="shared" si="8"/>
        <v>0</v>
      </c>
      <c r="Q15" s="172">
        <f t="shared" si="2"/>
        <v>0</v>
      </c>
      <c r="R15" s="172">
        <f t="shared" si="3"/>
        <v>0</v>
      </c>
      <c r="S15" s="172">
        <f t="shared" si="13"/>
        <v>0</v>
      </c>
      <c r="T15" s="287">
        <f t="shared" si="10"/>
        <v>0</v>
      </c>
      <c r="U15" s="241">
        <f>+T15/'Capacity Delivered'!L15*1000</f>
        <v>0</v>
      </c>
      <c r="V15" s="242">
        <f t="shared" si="4"/>
        <v>0</v>
      </c>
      <c r="X15" s="243">
        <f t="shared" si="11"/>
        <v>1.7976150043397863</v>
      </c>
      <c r="Y15" s="244">
        <f t="shared" si="5"/>
        <v>1.7976150043397864E-3</v>
      </c>
    </row>
    <row r="16" spans="1:25" s="44" customFormat="1" ht="15.75" x14ac:dyDescent="0.25">
      <c r="B16" s="170"/>
      <c r="C16" s="164"/>
      <c r="D16" s="164"/>
      <c r="E16" s="51"/>
      <c r="F16" s="239"/>
      <c r="G16" s="37">
        <f t="shared" si="12"/>
        <v>2030</v>
      </c>
      <c r="H16" s="37">
        <v>10</v>
      </c>
      <c r="I16" s="172">
        <f>'Capacity Delivered'!I16</f>
        <v>3.8108</v>
      </c>
      <c r="J16" s="240">
        <f t="shared" si="0"/>
        <v>1.8680037027971648</v>
      </c>
      <c r="K16" s="241">
        <f t="shared" si="6"/>
        <v>26.289530408698706</v>
      </c>
      <c r="L16" s="241">
        <f t="shared" si="7"/>
        <v>3.8107999999999995</v>
      </c>
      <c r="M16" s="241">
        <f>+L16/'Capacity Delivered'!R17*1000</f>
        <v>1.797615004339786</v>
      </c>
      <c r="N16" s="242">
        <f t="shared" si="1"/>
        <v>1.7976150043397861E-3</v>
      </c>
      <c r="O16" s="249"/>
      <c r="P16" s="172">
        <f t="shared" si="8"/>
        <v>0</v>
      </c>
      <c r="Q16" s="172">
        <f t="shared" si="2"/>
        <v>0</v>
      </c>
      <c r="R16" s="172">
        <f>SUM(P16:Q16)/((1+$E$8)^H16)</f>
        <v>0</v>
      </c>
      <c r="S16" s="172">
        <f>S15+R16</f>
        <v>0</v>
      </c>
      <c r="T16" s="287">
        <f t="shared" si="10"/>
        <v>0</v>
      </c>
      <c r="U16" s="241">
        <f>+T16/'Capacity Delivered'!L16*1000</f>
        <v>0</v>
      </c>
      <c r="V16" s="242">
        <f t="shared" si="4"/>
        <v>0</v>
      </c>
      <c r="W16" s="249"/>
      <c r="X16" s="243">
        <f>M16+U16</f>
        <v>1.797615004339786</v>
      </c>
      <c r="Y16" s="244">
        <f t="shared" si="5"/>
        <v>1.7976150043397861E-3</v>
      </c>
    </row>
    <row r="17" spans="2:25" s="44" customFormat="1" x14ac:dyDescent="0.2">
      <c r="B17" s="247"/>
      <c r="C17" s="248"/>
      <c r="D17" s="248"/>
      <c r="E17" s="248"/>
      <c r="F17" s="239"/>
      <c r="G17" s="38">
        <f t="shared" si="12"/>
        <v>2031</v>
      </c>
      <c r="H17" s="37">
        <v>11</v>
      </c>
      <c r="I17" s="172">
        <f>'Capacity Delivered'!I17</f>
        <v>3.8108</v>
      </c>
      <c r="J17" s="240">
        <f t="shared" si="0"/>
        <v>1.7394577733468335</v>
      </c>
      <c r="K17" s="241">
        <f t="shared" si="6"/>
        <v>28.028988182045538</v>
      </c>
      <c r="L17" s="241">
        <f t="shared" si="7"/>
        <v>3.8107999999999995</v>
      </c>
      <c r="M17" s="241">
        <f>+L17/'Capacity Delivered'!R18*1000</f>
        <v>1.7927034879344861</v>
      </c>
      <c r="N17" s="242">
        <f t="shared" si="1"/>
        <v>1.7927034879344861E-3</v>
      </c>
      <c r="P17" s="172">
        <f t="shared" si="8"/>
        <v>0</v>
      </c>
      <c r="Q17" s="172">
        <f t="shared" si="2"/>
        <v>0</v>
      </c>
      <c r="R17" s="172">
        <f t="shared" si="3"/>
        <v>0</v>
      </c>
      <c r="S17" s="172">
        <f t="shared" si="13"/>
        <v>0</v>
      </c>
      <c r="T17" s="287">
        <f t="shared" si="10"/>
        <v>0</v>
      </c>
      <c r="U17" s="241">
        <f>+T17/'Capacity Delivered'!L17*1000</f>
        <v>0</v>
      </c>
      <c r="V17" s="242">
        <f t="shared" si="4"/>
        <v>0</v>
      </c>
      <c r="X17" s="243">
        <f t="shared" si="11"/>
        <v>1.7927034879344861</v>
      </c>
      <c r="Y17" s="244">
        <f t="shared" si="5"/>
        <v>1.7927034879344861E-3</v>
      </c>
    </row>
    <row r="18" spans="2:25" s="44" customFormat="1" x14ac:dyDescent="0.2">
      <c r="B18" s="248"/>
      <c r="C18" s="248"/>
      <c r="D18" s="248"/>
      <c r="E18" s="248"/>
      <c r="F18" s="239"/>
      <c r="G18" s="38">
        <f t="shared" si="12"/>
        <v>2032</v>
      </c>
      <c r="H18" s="37">
        <v>12</v>
      </c>
      <c r="I18" s="172">
        <f>'Capacity Delivered'!I18</f>
        <v>3.8108</v>
      </c>
      <c r="J18" s="240">
        <f t="shared" si="0"/>
        <v>1.6197576807401373</v>
      </c>
      <c r="K18" s="241">
        <f t="shared" si="6"/>
        <v>29.648745862785674</v>
      </c>
      <c r="L18" s="241">
        <f t="shared" si="7"/>
        <v>3.8107999999999991</v>
      </c>
      <c r="M18" s="241">
        <f>+L18/'Capacity Delivered'!R19*1000</f>
        <v>1.7976150043397858</v>
      </c>
      <c r="N18" s="242">
        <f t="shared" si="1"/>
        <v>1.7976150043397859E-3</v>
      </c>
      <c r="P18" s="172">
        <f t="shared" si="8"/>
        <v>0</v>
      </c>
      <c r="Q18" s="172">
        <f t="shared" si="2"/>
        <v>0</v>
      </c>
      <c r="R18" s="172">
        <f t="shared" si="3"/>
        <v>0</v>
      </c>
      <c r="S18" s="172">
        <f t="shared" si="13"/>
        <v>0</v>
      </c>
      <c r="T18" s="287">
        <f t="shared" si="10"/>
        <v>0</v>
      </c>
      <c r="U18" s="241">
        <f>+T18/'Capacity Delivered'!L18*1000</f>
        <v>0</v>
      </c>
      <c r="V18" s="242">
        <f t="shared" si="4"/>
        <v>0</v>
      </c>
      <c r="X18" s="243">
        <f t="shared" si="11"/>
        <v>1.7976150043397858</v>
      </c>
      <c r="Y18" s="244">
        <f t="shared" si="5"/>
        <v>1.7976150043397859E-3</v>
      </c>
    </row>
    <row r="19" spans="2:25" s="44" customFormat="1" x14ac:dyDescent="0.2">
      <c r="B19" s="248"/>
      <c r="C19" s="248"/>
      <c r="D19" s="248"/>
      <c r="E19" s="248"/>
      <c r="F19" s="189"/>
      <c r="G19" s="38">
        <f t="shared" si="12"/>
        <v>2033</v>
      </c>
      <c r="H19" s="37">
        <v>13</v>
      </c>
      <c r="I19" s="172">
        <f>'Capacity Delivered'!I19</f>
        <v>3.8108</v>
      </c>
      <c r="J19" s="240">
        <f t="shared" si="0"/>
        <v>1.5082947022442843</v>
      </c>
      <c r="K19" s="241">
        <f t="shared" si="6"/>
        <v>31.157040565029959</v>
      </c>
      <c r="L19" s="241">
        <f t="shared" si="7"/>
        <v>3.8107999999999991</v>
      </c>
      <c r="M19" s="241">
        <f>+L19/'Capacity Delivered'!R20*1000</f>
        <v>1.7976150043397858</v>
      </c>
      <c r="N19" s="242">
        <f t="shared" si="1"/>
        <v>1.7976150043397859E-3</v>
      </c>
      <c r="P19" s="172">
        <f t="shared" si="8"/>
        <v>0</v>
      </c>
      <c r="Q19" s="172">
        <f t="shared" si="2"/>
        <v>0</v>
      </c>
      <c r="R19" s="172">
        <f t="shared" si="3"/>
        <v>0</v>
      </c>
      <c r="S19" s="172">
        <f t="shared" si="13"/>
        <v>0</v>
      </c>
      <c r="T19" s="287">
        <f t="shared" si="10"/>
        <v>0</v>
      </c>
      <c r="U19" s="241">
        <f>+T19/'Capacity Delivered'!L19*1000</f>
        <v>0</v>
      </c>
      <c r="V19" s="242">
        <f t="shared" si="4"/>
        <v>0</v>
      </c>
      <c r="X19" s="243">
        <f t="shared" si="11"/>
        <v>1.7976150043397858</v>
      </c>
      <c r="Y19" s="244">
        <f t="shared" si="5"/>
        <v>1.7976150043397859E-3</v>
      </c>
    </row>
    <row r="20" spans="2:25" s="44" customFormat="1" x14ac:dyDescent="0.2">
      <c r="B20" s="248"/>
      <c r="C20" s="248"/>
      <c r="D20" s="248"/>
      <c r="E20" s="248"/>
      <c r="F20" s="189"/>
      <c r="G20" s="38">
        <f t="shared" si="12"/>
        <v>2034</v>
      </c>
      <c r="H20" s="37">
        <v>14</v>
      </c>
      <c r="I20" s="172">
        <f>'Capacity Delivered'!I20</f>
        <v>3.8108</v>
      </c>
      <c r="J20" s="240">
        <f t="shared" si="0"/>
        <v>1.4045020041384528</v>
      </c>
      <c r="K20" s="241">
        <f t="shared" si="6"/>
        <v>32.561542569168409</v>
      </c>
      <c r="L20" s="241">
        <f t="shared" si="7"/>
        <v>3.8107999999999991</v>
      </c>
      <c r="M20" s="241">
        <f>+L20/'Capacity Delivered'!R21*1000</f>
        <v>1.7976150043397858</v>
      </c>
      <c r="N20" s="242">
        <f t="shared" si="1"/>
        <v>1.7976150043397859E-3</v>
      </c>
      <c r="P20" s="172">
        <f t="shared" si="8"/>
        <v>0</v>
      </c>
      <c r="Q20" s="172">
        <f t="shared" si="2"/>
        <v>0</v>
      </c>
      <c r="R20" s="172">
        <f t="shared" si="3"/>
        <v>0</v>
      </c>
      <c r="S20" s="172">
        <f t="shared" si="13"/>
        <v>0</v>
      </c>
      <c r="T20" s="287">
        <f t="shared" si="10"/>
        <v>0</v>
      </c>
      <c r="U20" s="241">
        <f>+T20/'Capacity Delivered'!L20*1000</f>
        <v>0</v>
      </c>
      <c r="V20" s="242">
        <f t="shared" si="4"/>
        <v>0</v>
      </c>
      <c r="X20" s="243">
        <f t="shared" si="11"/>
        <v>1.7976150043397858</v>
      </c>
      <c r="Y20" s="244">
        <f t="shared" si="5"/>
        <v>1.7976150043397859E-3</v>
      </c>
    </row>
    <row r="21" spans="2:25" s="249" customFormat="1" x14ac:dyDescent="0.2">
      <c r="B21" s="248"/>
      <c r="C21" s="248"/>
      <c r="D21" s="248"/>
      <c r="E21" s="248"/>
      <c r="F21" s="189"/>
      <c r="G21" s="37">
        <f t="shared" si="12"/>
        <v>2035</v>
      </c>
      <c r="H21" s="37">
        <v>15</v>
      </c>
      <c r="I21" s="172">
        <f>'Capacity Delivered'!I21</f>
        <v>3.8108</v>
      </c>
      <c r="J21" s="240">
        <f t="shared" si="0"/>
        <v>1.3078517591381438</v>
      </c>
      <c r="K21" s="241">
        <f>K20+J21</f>
        <v>33.869394328306555</v>
      </c>
      <c r="L21" s="241">
        <f t="shared" si="7"/>
        <v>3.8107999999999991</v>
      </c>
      <c r="M21" s="241">
        <f>+L21/'Capacity Delivered'!R22*1000</f>
        <v>1.7927034879344859</v>
      </c>
      <c r="N21" s="242">
        <f>M21/1000</f>
        <v>1.7927034879344859E-3</v>
      </c>
      <c r="P21" s="172">
        <f t="shared" si="8"/>
        <v>0</v>
      </c>
      <c r="Q21" s="172">
        <f t="shared" si="2"/>
        <v>0</v>
      </c>
      <c r="R21" s="172">
        <f t="shared" si="3"/>
        <v>0</v>
      </c>
      <c r="S21" s="172">
        <f>S20+R21</f>
        <v>0</v>
      </c>
      <c r="T21" s="287">
        <f t="shared" si="10"/>
        <v>0</v>
      </c>
      <c r="U21" s="241">
        <f>+T21/'Capacity Delivered'!L21*1000</f>
        <v>0</v>
      </c>
      <c r="V21" s="242">
        <f>U21/1000</f>
        <v>0</v>
      </c>
      <c r="X21" s="243">
        <f t="shared" si="11"/>
        <v>1.7927034879344859</v>
      </c>
      <c r="Y21" s="244">
        <f>X21/1000</f>
        <v>1.7927034879344859E-3</v>
      </c>
    </row>
    <row r="22" spans="2:25" s="44" customFormat="1" x14ac:dyDescent="0.2">
      <c r="B22" s="248"/>
      <c r="C22" s="248"/>
      <c r="D22" s="248"/>
      <c r="E22" s="248"/>
      <c r="F22" s="189"/>
      <c r="G22" s="38">
        <f t="shared" si="12"/>
        <v>2036</v>
      </c>
      <c r="H22" s="37">
        <v>16</v>
      </c>
      <c r="I22" s="172">
        <f>'Capacity Delivered'!I22</f>
        <v>3.8108</v>
      </c>
      <c r="J22" s="240">
        <f t="shared" si="0"/>
        <v>1.2178524621828324</v>
      </c>
      <c r="K22" s="241">
        <f t="shared" si="6"/>
        <v>35.087246790489388</v>
      </c>
      <c r="L22" s="241">
        <f t="shared" si="7"/>
        <v>3.8107999999999986</v>
      </c>
      <c r="M22" s="241">
        <f>+L22/'Capacity Delivered'!R23*1000</f>
        <v>1.7976150043397856</v>
      </c>
      <c r="N22" s="242">
        <f t="shared" si="1"/>
        <v>1.7976150043397857E-3</v>
      </c>
      <c r="P22" s="172">
        <f t="shared" si="8"/>
        <v>0</v>
      </c>
      <c r="Q22" s="172">
        <f t="shared" si="2"/>
        <v>0</v>
      </c>
      <c r="R22" s="172">
        <f t="shared" si="3"/>
        <v>0</v>
      </c>
      <c r="S22" s="172">
        <f t="shared" ref="S22:S27" si="14">S21+R22</f>
        <v>0</v>
      </c>
      <c r="T22" s="287">
        <f t="shared" si="10"/>
        <v>0</v>
      </c>
      <c r="U22" s="241">
        <f>+T22/'Capacity Delivered'!L22*1000</f>
        <v>0</v>
      </c>
      <c r="V22" s="242">
        <f t="shared" ref="V22:V27" si="15">U22/1000</f>
        <v>0</v>
      </c>
      <c r="X22" s="243">
        <f t="shared" si="11"/>
        <v>1.7976150043397856</v>
      </c>
      <c r="Y22" s="244">
        <f t="shared" ref="Y22:Y27" si="16">X22/1000</f>
        <v>1.7976150043397857E-3</v>
      </c>
    </row>
    <row r="23" spans="2:25" s="44" customFormat="1" x14ac:dyDescent="0.2">
      <c r="B23" s="248"/>
      <c r="C23" s="248"/>
      <c r="D23" s="248"/>
      <c r="E23" s="248"/>
      <c r="F23" s="189"/>
      <c r="G23" s="38">
        <f t="shared" si="12"/>
        <v>2037</v>
      </c>
      <c r="H23" s="37">
        <v>17</v>
      </c>
      <c r="I23" s="172">
        <f>'Capacity Delivered'!I23</f>
        <v>3.8108</v>
      </c>
      <c r="J23" s="240">
        <f t="shared" si="0"/>
        <v>1.1340464309366163</v>
      </c>
      <c r="K23" s="241">
        <f t="shared" si="6"/>
        <v>36.221293221426002</v>
      </c>
      <c r="L23" s="241">
        <f t="shared" si="7"/>
        <v>3.8107999999999982</v>
      </c>
      <c r="M23" s="241">
        <f>+L23/'Capacity Delivered'!R24*1000</f>
        <v>1.7976150043397856</v>
      </c>
      <c r="N23" s="242">
        <f t="shared" si="1"/>
        <v>1.7976150043397857E-3</v>
      </c>
      <c r="P23" s="172">
        <f t="shared" si="8"/>
        <v>0</v>
      </c>
      <c r="Q23" s="172">
        <f t="shared" si="2"/>
        <v>0</v>
      </c>
      <c r="R23" s="172">
        <f t="shared" si="3"/>
        <v>0</v>
      </c>
      <c r="S23" s="172">
        <f t="shared" si="14"/>
        <v>0</v>
      </c>
      <c r="T23" s="287">
        <f t="shared" si="10"/>
        <v>0</v>
      </c>
      <c r="U23" s="241">
        <f>+T23/'Capacity Delivered'!L23*1000</f>
        <v>0</v>
      </c>
      <c r="V23" s="242">
        <f t="shared" si="15"/>
        <v>0</v>
      </c>
      <c r="X23" s="243">
        <f t="shared" si="11"/>
        <v>1.7976150043397856</v>
      </c>
      <c r="Y23" s="244">
        <f t="shared" si="16"/>
        <v>1.7976150043397857E-3</v>
      </c>
    </row>
    <row r="24" spans="2:25" s="44" customFormat="1" x14ac:dyDescent="0.2">
      <c r="B24" s="248"/>
      <c r="C24" s="248"/>
      <c r="D24" s="248"/>
      <c r="E24" s="248"/>
      <c r="F24" s="189"/>
      <c r="G24" s="38">
        <f t="shared" si="12"/>
        <v>2038</v>
      </c>
      <c r="H24" s="37">
        <v>18</v>
      </c>
      <c r="I24" s="172">
        <f>'Capacity Delivered'!I24</f>
        <v>3.8108</v>
      </c>
      <c r="J24" s="240">
        <f t="shared" si="0"/>
        <v>1.0560074782909175</v>
      </c>
      <c r="K24" s="241">
        <f t="shared" si="6"/>
        <v>37.277300699716918</v>
      </c>
      <c r="L24" s="241">
        <f t="shared" si="7"/>
        <v>3.8107999999999982</v>
      </c>
      <c r="M24" s="241">
        <f>+L24/'Capacity Delivered'!R25*1000</f>
        <v>1.7976150043397856</v>
      </c>
      <c r="N24" s="242">
        <f t="shared" si="1"/>
        <v>1.7976150043397857E-3</v>
      </c>
      <c r="P24" s="172">
        <f t="shared" si="8"/>
        <v>0</v>
      </c>
      <c r="Q24" s="172">
        <f t="shared" si="2"/>
        <v>0</v>
      </c>
      <c r="R24" s="172">
        <f t="shared" si="3"/>
        <v>0</v>
      </c>
      <c r="S24" s="172">
        <f t="shared" si="14"/>
        <v>0</v>
      </c>
      <c r="T24" s="287">
        <f t="shared" si="10"/>
        <v>0</v>
      </c>
      <c r="U24" s="241">
        <f>+T24/'Capacity Delivered'!L24*1000</f>
        <v>0</v>
      </c>
      <c r="V24" s="242">
        <f t="shared" si="15"/>
        <v>0</v>
      </c>
      <c r="X24" s="243">
        <f t="shared" si="11"/>
        <v>1.7976150043397856</v>
      </c>
      <c r="Y24" s="244">
        <f t="shared" si="16"/>
        <v>1.7976150043397857E-3</v>
      </c>
    </row>
    <row r="25" spans="2:25" x14ac:dyDescent="0.2">
      <c r="B25" s="173"/>
      <c r="C25" s="173"/>
      <c r="D25" s="173"/>
      <c r="E25" s="173"/>
      <c r="F25" s="52"/>
      <c r="G25" s="38">
        <f t="shared" si="12"/>
        <v>2039</v>
      </c>
      <c r="H25" s="39">
        <v>19</v>
      </c>
      <c r="I25" s="172">
        <f>'Capacity Delivered'!I25</f>
        <v>3.8108</v>
      </c>
      <c r="J25" s="40">
        <f t="shared" si="0"/>
        <v>0.98333874503298035</v>
      </c>
      <c r="K25" s="41">
        <f t="shared" si="6"/>
        <v>38.260639444749899</v>
      </c>
      <c r="L25" s="41">
        <f t="shared" si="7"/>
        <v>3.8107999999999982</v>
      </c>
      <c r="M25" s="41">
        <f>+L25/'Capacity Delivered'!R26*1000</f>
        <v>1.7927034879344854</v>
      </c>
      <c r="N25" s="223">
        <f t="shared" si="1"/>
        <v>1.7927034879344854E-3</v>
      </c>
      <c r="P25" s="172">
        <f t="shared" si="8"/>
        <v>0</v>
      </c>
      <c r="Q25" s="172">
        <f t="shared" si="2"/>
        <v>0</v>
      </c>
      <c r="R25" s="172">
        <f t="shared" si="3"/>
        <v>0</v>
      </c>
      <c r="S25" s="172">
        <f t="shared" si="14"/>
        <v>0</v>
      </c>
      <c r="T25" s="287">
        <f t="shared" si="10"/>
        <v>0</v>
      </c>
      <c r="U25" s="41">
        <f>+T25/'Capacity Delivered'!L25*1000</f>
        <v>0</v>
      </c>
      <c r="V25" s="223">
        <f t="shared" si="15"/>
        <v>0</v>
      </c>
      <c r="X25" s="230">
        <f t="shared" si="11"/>
        <v>1.7927034879344854</v>
      </c>
      <c r="Y25" s="231">
        <f t="shared" si="16"/>
        <v>1.7927034879344854E-3</v>
      </c>
    </row>
    <row r="26" spans="2:25" x14ac:dyDescent="0.2">
      <c r="B26" s="173"/>
      <c r="C26" s="173"/>
      <c r="D26" s="173"/>
      <c r="E26" s="173"/>
      <c r="F26" s="52"/>
      <c r="G26" s="38">
        <f t="shared" si="12"/>
        <v>2040</v>
      </c>
      <c r="H26" s="39">
        <v>20</v>
      </c>
      <c r="I26" s="172">
        <f>'Capacity Delivered'!I26</f>
        <v>3.8108</v>
      </c>
      <c r="J26" s="40">
        <f t="shared" si="0"/>
        <v>0.9156706816584228</v>
      </c>
      <c r="K26" s="41">
        <f t="shared" si="6"/>
        <v>39.176310126408325</v>
      </c>
      <c r="L26" s="41">
        <f t="shared" si="7"/>
        <v>3.8107999999999986</v>
      </c>
      <c r="M26" s="41">
        <f>+L26/'Capacity Delivered'!R27*1000</f>
        <v>1.7976150043397856</v>
      </c>
      <c r="N26" s="223">
        <f t="shared" si="1"/>
        <v>1.7976150043397857E-3</v>
      </c>
      <c r="P26" s="172">
        <f t="shared" si="8"/>
        <v>0</v>
      </c>
      <c r="Q26" s="172">
        <f t="shared" si="2"/>
        <v>0</v>
      </c>
      <c r="R26" s="172">
        <f t="shared" si="3"/>
        <v>0</v>
      </c>
      <c r="S26" s="172">
        <f t="shared" si="14"/>
        <v>0</v>
      </c>
      <c r="T26" s="287">
        <f t="shared" si="10"/>
        <v>0</v>
      </c>
      <c r="U26" s="41">
        <f>+T26/'Capacity Delivered'!L26*1000</f>
        <v>0</v>
      </c>
      <c r="V26" s="223">
        <f t="shared" si="15"/>
        <v>0</v>
      </c>
      <c r="X26" s="230">
        <f t="shared" si="11"/>
        <v>1.7976150043397856</v>
      </c>
      <c r="Y26" s="231">
        <f t="shared" si="16"/>
        <v>1.7976150043397857E-3</v>
      </c>
    </row>
    <row r="27" spans="2:25" s="44" customFormat="1" ht="15.75" thickBot="1" x14ac:dyDescent="0.25">
      <c r="G27" s="38">
        <f t="shared" si="12"/>
        <v>2041</v>
      </c>
      <c r="H27" s="37">
        <v>21</v>
      </c>
      <c r="I27" s="172">
        <f>'Capacity Delivered'!I27</f>
        <v>3.8108</v>
      </c>
      <c r="J27" s="40">
        <f t="shared" si="0"/>
        <v>0.85265916906455219</v>
      </c>
      <c r="K27" s="41">
        <f t="shared" si="6"/>
        <v>40.028969295472876</v>
      </c>
      <c r="L27" s="41">
        <f t="shared" si="7"/>
        <v>3.8107999999999982</v>
      </c>
      <c r="M27" s="41">
        <f>+L27/'Capacity Delivered'!R28*1000</f>
        <v>1.7976150043397856</v>
      </c>
      <c r="N27" s="223">
        <f t="shared" si="1"/>
        <v>1.7976150043397857E-3</v>
      </c>
      <c r="P27" s="172">
        <f t="shared" si="8"/>
        <v>0</v>
      </c>
      <c r="Q27" s="172">
        <f t="shared" si="2"/>
        <v>0</v>
      </c>
      <c r="R27" s="172">
        <f t="shared" si="3"/>
        <v>0</v>
      </c>
      <c r="S27" s="172">
        <f t="shared" si="14"/>
        <v>0</v>
      </c>
      <c r="T27" s="287">
        <f t="shared" si="10"/>
        <v>0</v>
      </c>
      <c r="U27" s="41">
        <f>+T27/'Capacity Delivered'!L27*1000</f>
        <v>0</v>
      </c>
      <c r="V27" s="223">
        <f t="shared" si="15"/>
        <v>0</v>
      </c>
      <c r="X27" s="232">
        <f t="shared" si="11"/>
        <v>1.7976150043397856</v>
      </c>
      <c r="Y27" s="233">
        <f t="shared" si="16"/>
        <v>1.7976150043397857E-3</v>
      </c>
    </row>
    <row r="28" spans="2:25" s="44" customFormat="1" x14ac:dyDescent="0.2">
      <c r="C28" s="21"/>
      <c r="D28" s="21"/>
      <c r="G28" s="38"/>
      <c r="H28" s="37"/>
      <c r="I28" s="175"/>
      <c r="J28" s="55"/>
      <c r="K28" s="56"/>
      <c r="L28" s="48"/>
      <c r="M28" s="48"/>
      <c r="N28" s="48"/>
      <c r="P28" s="176"/>
      <c r="Q28" s="54"/>
      <c r="R28" s="55"/>
      <c r="S28" s="56"/>
      <c r="T28" s="48"/>
      <c r="U28" s="48"/>
      <c r="V28" s="48"/>
      <c r="X28" s="48"/>
      <c r="Y28" s="48"/>
    </row>
    <row r="29" spans="2:25" x14ac:dyDescent="0.2">
      <c r="B29" s="31"/>
      <c r="C29" s="21"/>
      <c r="D29" s="21"/>
      <c r="E29" s="44"/>
      <c r="F29" s="44"/>
      <c r="G29" s="31"/>
      <c r="H29" s="37"/>
      <c r="I29" s="175"/>
      <c r="J29" s="31"/>
      <c r="K29" s="31"/>
      <c r="L29" s="31"/>
      <c r="M29" s="31"/>
      <c r="N29" s="31"/>
      <c r="P29" s="176"/>
      <c r="Q29" s="54"/>
      <c r="R29" s="31"/>
      <c r="S29" s="31"/>
      <c r="T29" s="31"/>
      <c r="U29" s="31"/>
      <c r="V29" s="31"/>
      <c r="X29" s="31"/>
      <c r="Y29" s="31"/>
    </row>
    <row r="31" spans="2:25" x14ac:dyDescent="0.2">
      <c r="K31" s="234"/>
      <c r="S31" s="234"/>
    </row>
  </sheetData>
  <customSheetViews>
    <customSheetView guid="{7616AFB9-3DAD-45EA-BAD3-1A4EF1124EEE}" fitToPage="1">
      <selection activeCell="E9" sqref="E9"/>
      <pageMargins left="0.75" right="0.5" top="0.76" bottom="0.79" header="0.5" footer="0.26"/>
      <pageSetup scale="64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>
      <selection activeCell="E9" sqref="E9"/>
      <pageMargins left="0.75" right="0.5" top="0.76" bottom="0.79" header="0.5" footer="0.26"/>
      <pageSetup scale="64" orientation="landscape" r:id="rId2"/>
      <headerFooter alignWithMargins="0">
        <oddFooter>&amp;L&amp;F&amp;C&amp;A&amp;RPSE Advice No. 2018-48 &amp;D
Page &amp;P of &amp;N</oddFooter>
      </headerFooter>
    </customSheetView>
  </customSheetViews>
  <pageMargins left="0.75" right="0.5" top="0.76" bottom="0.79" header="0.5" footer="0.26"/>
  <pageSetup scale="64" orientation="landscape" r:id="rId3"/>
  <headerFooter alignWithMargins="0">
    <oddFooter>&amp;L&amp;F&amp;C&amp;A&amp;RPSE Advice No. 2018-48 &amp;D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"/>
  <sheetViews>
    <sheetView workbookViewId="0">
      <selection activeCell="H28" sqref="H28"/>
    </sheetView>
  </sheetViews>
  <sheetFormatPr defaultColWidth="9.140625" defaultRowHeight="15" x14ac:dyDescent="0.25"/>
  <cols>
    <col min="1" max="16384" width="9.140625" style="76"/>
  </cols>
  <sheetData/>
  <customSheetViews>
    <customSheetView guid="{7616AFB9-3DAD-45EA-BAD3-1A4EF1124EEE}" fitToPage="1">
      <selection activeCell="H28" sqref="H28"/>
      <pageMargins left="0.75" right="0.5" top="0.76" bottom="0.79" header="0.5" footer="0.26"/>
      <pageSetup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>
      <selection activeCell="H28" sqref="H28"/>
      <pageMargins left="0.75" right="0.5" top="0.76" bottom="0.79" header="0.5" footer="0.26"/>
      <pageSetup orientation="landscape" r:id="rId2"/>
      <headerFooter alignWithMargins="0">
        <oddFooter>&amp;L&amp;F&amp;C&amp;A&amp;RPSE Advice No. 2018-48 &amp;D
Page &amp;P of &amp;N</oddFooter>
      </headerFooter>
    </customSheetView>
  </customSheetViews>
  <pageMargins left="0.75" right="0.5" top="0.76" bottom="0.79" header="0.5" footer="0.26"/>
  <pageSetup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Q96"/>
  <sheetViews>
    <sheetView topLeftCell="A11" workbookViewId="0">
      <selection activeCell="F22" sqref="F22"/>
    </sheetView>
  </sheetViews>
  <sheetFormatPr defaultColWidth="8.85546875" defaultRowHeight="15" x14ac:dyDescent="0.2"/>
  <cols>
    <col min="1" max="1" width="2.7109375" style="59" customWidth="1"/>
    <col min="2" max="2" width="4" style="59" bestFit="1" customWidth="1"/>
    <col min="3" max="3" width="9.7109375" style="59" customWidth="1"/>
    <col min="4" max="16" width="10" style="59" customWidth="1"/>
    <col min="17" max="17" width="14.140625" style="66" customWidth="1"/>
    <col min="18" max="16384" width="8.85546875" style="59"/>
  </cols>
  <sheetData>
    <row r="2" spans="2:17" ht="78.599999999999994" customHeight="1" x14ac:dyDescent="0.2">
      <c r="C2" s="361" t="s">
        <v>121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2:17" ht="15.75" thickBot="1" x14ac:dyDescent="0.25">
      <c r="C3" s="58"/>
      <c r="Q3" s="73"/>
    </row>
    <row r="4" spans="2:17" ht="15.75" x14ac:dyDescent="0.2">
      <c r="C4" s="60"/>
      <c r="D4" s="68" t="s">
        <v>57</v>
      </c>
      <c r="E4" s="68">
        <v>2</v>
      </c>
      <c r="F4" s="68">
        <v>3</v>
      </c>
      <c r="G4" s="68">
        <v>4</v>
      </c>
      <c r="H4" s="68">
        <v>5</v>
      </c>
      <c r="I4" s="68">
        <v>6</v>
      </c>
      <c r="J4" s="68">
        <v>7</v>
      </c>
      <c r="K4" s="68">
        <v>8</v>
      </c>
      <c r="L4" s="68">
        <v>9</v>
      </c>
      <c r="M4" s="68">
        <v>10</v>
      </c>
      <c r="N4" s="68">
        <v>11</v>
      </c>
      <c r="O4" s="68">
        <v>12</v>
      </c>
      <c r="P4" s="69" t="s">
        <v>38</v>
      </c>
      <c r="Q4" s="73"/>
    </row>
    <row r="5" spans="2:17" ht="16.5" thickBot="1" x14ac:dyDescent="0.25">
      <c r="C5" s="70" t="s">
        <v>39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  <c r="Q5" s="73"/>
    </row>
    <row r="6" spans="2:17" ht="15.75" thickBot="1" x14ac:dyDescent="0.25">
      <c r="B6" s="207">
        <v>1</v>
      </c>
      <c r="C6" s="61">
        <v>2021</v>
      </c>
      <c r="D6" s="62">
        <v>27.69</v>
      </c>
      <c r="E6" s="62">
        <v>28.82</v>
      </c>
      <c r="F6" s="62">
        <v>21.13</v>
      </c>
      <c r="G6" s="62">
        <v>17.18</v>
      </c>
      <c r="H6" s="62">
        <v>10.79</v>
      </c>
      <c r="I6" s="62">
        <v>13.67</v>
      </c>
      <c r="J6" s="62">
        <v>22.61</v>
      </c>
      <c r="K6" s="62">
        <v>25.02</v>
      </c>
      <c r="L6" s="62">
        <v>25.99</v>
      </c>
      <c r="M6" s="62">
        <v>25.91</v>
      </c>
      <c r="N6" s="62">
        <v>26.7</v>
      </c>
      <c r="O6" s="62">
        <v>28.98</v>
      </c>
      <c r="P6" s="62">
        <v>22.85</v>
      </c>
      <c r="Q6" s="73"/>
    </row>
    <row r="7" spans="2:17" ht="15.75" thickBot="1" x14ac:dyDescent="0.25">
      <c r="B7" s="59">
        <v>2</v>
      </c>
      <c r="C7" s="61">
        <f>C6+1</f>
        <v>2022</v>
      </c>
      <c r="D7" s="62">
        <v>26.56</v>
      </c>
      <c r="E7" s="62">
        <v>27.65</v>
      </c>
      <c r="F7" s="62">
        <v>20.55</v>
      </c>
      <c r="G7" s="62">
        <v>15.1</v>
      </c>
      <c r="H7" s="62">
        <v>9.49</v>
      </c>
      <c r="I7" s="62">
        <v>11.31</v>
      </c>
      <c r="J7" s="62">
        <v>21.01</v>
      </c>
      <c r="K7" s="62">
        <v>22.88</v>
      </c>
      <c r="L7" s="62">
        <v>24.31</v>
      </c>
      <c r="M7" s="62">
        <v>23.59</v>
      </c>
      <c r="N7" s="62">
        <v>24.69</v>
      </c>
      <c r="O7" s="62">
        <v>27.53</v>
      </c>
      <c r="P7" s="62">
        <v>21.19</v>
      </c>
      <c r="Q7" s="75"/>
    </row>
    <row r="8" spans="2:17" ht="15.75" thickBot="1" x14ac:dyDescent="0.25">
      <c r="B8" s="59">
        <v>3</v>
      </c>
      <c r="C8" s="61">
        <f t="shared" ref="C8:C26" si="0">C7+1</f>
        <v>2023</v>
      </c>
      <c r="D8" s="62">
        <v>25.24</v>
      </c>
      <c r="E8" s="62">
        <v>26.5</v>
      </c>
      <c r="F8" s="62">
        <v>19.77</v>
      </c>
      <c r="G8" s="62">
        <v>14.79</v>
      </c>
      <c r="H8" s="62">
        <v>9.6999999999999993</v>
      </c>
      <c r="I8" s="62">
        <v>10.29</v>
      </c>
      <c r="J8" s="62">
        <v>20.13</v>
      </c>
      <c r="K8" s="62">
        <v>21.93</v>
      </c>
      <c r="L8" s="62">
        <v>23.68</v>
      </c>
      <c r="M8" s="62">
        <v>23.11</v>
      </c>
      <c r="N8" s="62">
        <v>24.42</v>
      </c>
      <c r="O8" s="62">
        <v>27.09</v>
      </c>
      <c r="P8" s="62">
        <v>20.53</v>
      </c>
      <c r="Q8" s="75"/>
    </row>
    <row r="9" spans="2:17" ht="15.75" thickBot="1" x14ac:dyDescent="0.25">
      <c r="B9" s="207">
        <v>4</v>
      </c>
      <c r="C9" s="61">
        <f t="shared" si="0"/>
        <v>2024</v>
      </c>
      <c r="D9" s="62">
        <v>24.49</v>
      </c>
      <c r="E9" s="62">
        <v>25.82</v>
      </c>
      <c r="F9" s="62">
        <v>18.79</v>
      </c>
      <c r="G9" s="62">
        <v>13.88</v>
      </c>
      <c r="H9" s="62">
        <v>7.17</v>
      </c>
      <c r="I9" s="62">
        <v>9.23</v>
      </c>
      <c r="J9" s="62">
        <v>18.46</v>
      </c>
      <c r="K9" s="62">
        <v>22.35</v>
      </c>
      <c r="L9" s="62">
        <v>24</v>
      </c>
      <c r="M9" s="62">
        <v>22.97</v>
      </c>
      <c r="N9" s="62">
        <v>24.39</v>
      </c>
      <c r="O9" s="62">
        <v>26.06</v>
      </c>
      <c r="P9" s="62">
        <v>19.79</v>
      </c>
      <c r="Q9" s="75"/>
    </row>
    <row r="10" spans="2:17" ht="15.75" thickBot="1" x14ac:dyDescent="0.25">
      <c r="B10" s="59">
        <v>5</v>
      </c>
      <c r="C10" s="61">
        <f t="shared" si="0"/>
        <v>2025</v>
      </c>
      <c r="D10" s="62">
        <v>24.49</v>
      </c>
      <c r="E10" s="62">
        <v>25.82</v>
      </c>
      <c r="F10" s="62">
        <v>18.97</v>
      </c>
      <c r="G10" s="62">
        <v>12.83</v>
      </c>
      <c r="H10" s="62">
        <v>7.53</v>
      </c>
      <c r="I10" s="62">
        <v>9.73</v>
      </c>
      <c r="J10" s="62">
        <v>18.21</v>
      </c>
      <c r="K10" s="62">
        <v>22.47</v>
      </c>
      <c r="L10" s="62">
        <v>24.22</v>
      </c>
      <c r="M10" s="62">
        <v>22.79</v>
      </c>
      <c r="N10" s="62">
        <v>23.8</v>
      </c>
      <c r="O10" s="62">
        <v>26.5</v>
      </c>
      <c r="P10" s="62">
        <v>19.75</v>
      </c>
      <c r="Q10" s="75"/>
    </row>
    <row r="11" spans="2:17" ht="15.75" thickBot="1" x14ac:dyDescent="0.25">
      <c r="B11" s="59">
        <v>6</v>
      </c>
      <c r="C11" s="61">
        <f t="shared" si="0"/>
        <v>2026</v>
      </c>
      <c r="D11" s="62">
        <v>24.38</v>
      </c>
      <c r="E11" s="62">
        <v>26.73</v>
      </c>
      <c r="F11" s="62">
        <v>18.2</v>
      </c>
      <c r="G11" s="62">
        <v>13.87</v>
      </c>
      <c r="H11" s="62">
        <v>7.99</v>
      </c>
      <c r="I11" s="62">
        <v>9.5500000000000007</v>
      </c>
      <c r="J11" s="62">
        <v>18.670000000000002</v>
      </c>
      <c r="K11" s="62">
        <v>22.57</v>
      </c>
      <c r="L11" s="62">
        <v>24.01</v>
      </c>
      <c r="M11" s="62">
        <v>23.09</v>
      </c>
      <c r="N11" s="62">
        <v>23.99</v>
      </c>
      <c r="O11" s="62">
        <v>26.99</v>
      </c>
      <c r="P11" s="62">
        <v>19.97</v>
      </c>
      <c r="Q11" s="75"/>
    </row>
    <row r="12" spans="2:17" ht="15.75" thickBot="1" x14ac:dyDescent="0.25">
      <c r="B12" s="207">
        <v>7</v>
      </c>
      <c r="C12" s="61">
        <f t="shared" si="0"/>
        <v>2027</v>
      </c>
      <c r="D12" s="62">
        <v>28.08</v>
      </c>
      <c r="E12" s="62">
        <v>28.91</v>
      </c>
      <c r="F12" s="62">
        <v>19.71</v>
      </c>
      <c r="G12" s="62">
        <v>15.44</v>
      </c>
      <c r="H12" s="62">
        <v>9.14</v>
      </c>
      <c r="I12" s="62">
        <v>10.75</v>
      </c>
      <c r="J12" s="62">
        <v>22.01</v>
      </c>
      <c r="K12" s="62">
        <v>26.84</v>
      </c>
      <c r="L12" s="62">
        <v>28.62</v>
      </c>
      <c r="M12" s="62">
        <v>28.87</v>
      </c>
      <c r="N12" s="62">
        <v>29</v>
      </c>
      <c r="O12" s="62">
        <v>31.2</v>
      </c>
      <c r="P12" s="62">
        <v>23.19</v>
      </c>
      <c r="Q12" s="75"/>
    </row>
    <row r="13" spans="2:17" ht="15.75" thickBot="1" x14ac:dyDescent="0.25">
      <c r="B13" s="59">
        <v>8</v>
      </c>
      <c r="C13" s="61">
        <f t="shared" si="0"/>
        <v>2028</v>
      </c>
      <c r="D13" s="62">
        <v>28.71</v>
      </c>
      <c r="E13" s="62">
        <v>29.47</v>
      </c>
      <c r="F13" s="62">
        <v>19.64</v>
      </c>
      <c r="G13" s="62">
        <v>16.52</v>
      </c>
      <c r="H13" s="62">
        <v>9.08</v>
      </c>
      <c r="I13" s="62">
        <v>11.2</v>
      </c>
      <c r="J13" s="62">
        <v>23.79</v>
      </c>
      <c r="K13" s="62">
        <v>28.14</v>
      </c>
      <c r="L13" s="62">
        <v>32.15</v>
      </c>
      <c r="M13" s="62">
        <v>31.02</v>
      </c>
      <c r="N13" s="62">
        <v>30.01</v>
      </c>
      <c r="O13" s="62">
        <v>33.369999999999997</v>
      </c>
      <c r="P13" s="62">
        <v>24.42</v>
      </c>
      <c r="Q13" s="75"/>
    </row>
    <row r="14" spans="2:17" ht="15.75" thickBot="1" x14ac:dyDescent="0.25">
      <c r="B14" s="59">
        <v>9</v>
      </c>
      <c r="C14" s="61">
        <f t="shared" si="0"/>
        <v>2029</v>
      </c>
      <c r="D14" s="62">
        <v>29.33</v>
      </c>
      <c r="E14" s="62">
        <v>31.29</v>
      </c>
      <c r="F14" s="62">
        <v>19.63</v>
      </c>
      <c r="G14" s="62">
        <v>20.07</v>
      </c>
      <c r="H14" s="62">
        <v>8.8699999999999992</v>
      </c>
      <c r="I14" s="62">
        <v>11.5</v>
      </c>
      <c r="J14" s="62">
        <v>23.61</v>
      </c>
      <c r="K14" s="62">
        <v>30.2</v>
      </c>
      <c r="L14" s="62">
        <v>35.24</v>
      </c>
      <c r="M14" s="62">
        <v>32.07</v>
      </c>
      <c r="N14" s="62">
        <v>28.96</v>
      </c>
      <c r="O14" s="62">
        <v>34.85</v>
      </c>
      <c r="P14" s="62">
        <v>25.44</v>
      </c>
      <c r="Q14" s="75"/>
    </row>
    <row r="15" spans="2:17" ht="15.75" thickBot="1" x14ac:dyDescent="0.25">
      <c r="B15" s="207">
        <v>10</v>
      </c>
      <c r="C15" s="61">
        <f t="shared" si="0"/>
        <v>2030</v>
      </c>
      <c r="D15" s="62">
        <v>29.05</v>
      </c>
      <c r="E15" s="62">
        <v>30.29</v>
      </c>
      <c r="F15" s="62">
        <v>18.28</v>
      </c>
      <c r="G15" s="62">
        <v>18.75</v>
      </c>
      <c r="H15" s="62">
        <v>8.06</v>
      </c>
      <c r="I15" s="62">
        <v>10.96</v>
      </c>
      <c r="J15" s="62">
        <v>22.71</v>
      </c>
      <c r="K15" s="62">
        <v>29.93</v>
      </c>
      <c r="L15" s="62">
        <v>34.659999999999997</v>
      </c>
      <c r="M15" s="62">
        <v>32.94</v>
      </c>
      <c r="N15" s="62">
        <v>30.73</v>
      </c>
      <c r="O15" s="62">
        <v>34.61</v>
      </c>
      <c r="P15" s="62">
        <v>25.05</v>
      </c>
      <c r="Q15" s="75"/>
    </row>
    <row r="16" spans="2:17" ht="15.75" thickBot="1" x14ac:dyDescent="0.25">
      <c r="B16" s="59">
        <v>11</v>
      </c>
      <c r="C16" s="61">
        <f t="shared" si="0"/>
        <v>2031</v>
      </c>
      <c r="D16" s="62">
        <v>28.42</v>
      </c>
      <c r="E16" s="62">
        <v>30.42</v>
      </c>
      <c r="F16" s="62">
        <v>18.22</v>
      </c>
      <c r="G16" s="62">
        <v>18.190000000000001</v>
      </c>
      <c r="H16" s="62">
        <v>8.5500000000000007</v>
      </c>
      <c r="I16" s="62">
        <v>11.12</v>
      </c>
      <c r="J16" s="62">
        <v>22.13</v>
      </c>
      <c r="K16" s="62">
        <v>29.98</v>
      </c>
      <c r="L16" s="62">
        <v>34.53</v>
      </c>
      <c r="M16" s="62">
        <v>32.65</v>
      </c>
      <c r="N16" s="62">
        <v>29.03</v>
      </c>
      <c r="O16" s="62">
        <v>34.49</v>
      </c>
      <c r="P16" s="62">
        <v>24.78</v>
      </c>
      <c r="Q16" s="75"/>
    </row>
    <row r="17" spans="2:17" ht="15.75" thickBot="1" x14ac:dyDescent="0.25">
      <c r="B17" s="59">
        <v>12</v>
      </c>
      <c r="C17" s="61">
        <f t="shared" si="0"/>
        <v>2032</v>
      </c>
      <c r="D17" s="62">
        <v>28.24</v>
      </c>
      <c r="E17" s="62">
        <v>29.21</v>
      </c>
      <c r="F17" s="62">
        <v>18.309999999999999</v>
      </c>
      <c r="G17" s="62">
        <v>19.43</v>
      </c>
      <c r="H17" s="62">
        <v>10.210000000000001</v>
      </c>
      <c r="I17" s="62">
        <v>10.67</v>
      </c>
      <c r="J17" s="62">
        <v>23.05</v>
      </c>
      <c r="K17" s="62">
        <v>29.05</v>
      </c>
      <c r="L17" s="62">
        <v>33.67</v>
      </c>
      <c r="M17" s="62">
        <v>34.86</v>
      </c>
      <c r="N17" s="62">
        <v>32.28</v>
      </c>
      <c r="O17" s="62">
        <v>35.65</v>
      </c>
      <c r="P17" s="62">
        <v>25.38</v>
      </c>
      <c r="Q17" s="75"/>
    </row>
    <row r="18" spans="2:17" ht="15.75" thickBot="1" x14ac:dyDescent="0.25">
      <c r="B18" s="207">
        <v>13</v>
      </c>
      <c r="C18" s="61">
        <f t="shared" si="0"/>
        <v>2033</v>
      </c>
      <c r="D18" s="62">
        <v>29.08</v>
      </c>
      <c r="E18" s="62">
        <v>31.54</v>
      </c>
      <c r="F18" s="62">
        <v>19.170000000000002</v>
      </c>
      <c r="G18" s="62">
        <v>19.670000000000002</v>
      </c>
      <c r="H18" s="62">
        <v>9.61</v>
      </c>
      <c r="I18" s="62">
        <v>11.64</v>
      </c>
      <c r="J18" s="62">
        <v>24.84</v>
      </c>
      <c r="K18" s="62">
        <v>29.95</v>
      </c>
      <c r="L18" s="62">
        <v>34.57</v>
      </c>
      <c r="M18" s="62">
        <v>37.49</v>
      </c>
      <c r="N18" s="62">
        <v>36.03</v>
      </c>
      <c r="O18" s="62">
        <v>37.07</v>
      </c>
      <c r="P18" s="62">
        <v>26.69</v>
      </c>
      <c r="Q18" s="75"/>
    </row>
    <row r="19" spans="2:17" ht="15.75" thickBot="1" x14ac:dyDescent="0.25">
      <c r="B19" s="59">
        <v>14</v>
      </c>
      <c r="C19" s="61">
        <f t="shared" si="0"/>
        <v>2034</v>
      </c>
      <c r="D19" s="62">
        <v>29.79</v>
      </c>
      <c r="E19" s="62">
        <v>32.26</v>
      </c>
      <c r="F19" s="62">
        <v>19.170000000000002</v>
      </c>
      <c r="G19" s="62">
        <v>19.690000000000001</v>
      </c>
      <c r="H19" s="62">
        <v>10.51</v>
      </c>
      <c r="I19" s="62">
        <v>12.34</v>
      </c>
      <c r="J19" s="62">
        <v>27.12</v>
      </c>
      <c r="K19" s="62">
        <v>30.25</v>
      </c>
      <c r="L19" s="62">
        <v>36.25</v>
      </c>
      <c r="M19" s="62">
        <v>37.68</v>
      </c>
      <c r="N19" s="62">
        <v>35.17</v>
      </c>
      <c r="O19" s="62">
        <v>38.81</v>
      </c>
      <c r="P19" s="62">
        <v>27.4</v>
      </c>
      <c r="Q19" s="75"/>
    </row>
    <row r="20" spans="2:17" ht="15.75" thickBot="1" x14ac:dyDescent="0.25">
      <c r="B20" s="59">
        <v>15</v>
      </c>
      <c r="C20" s="61">
        <f t="shared" si="0"/>
        <v>2035</v>
      </c>
      <c r="D20" s="62">
        <v>31</v>
      </c>
      <c r="E20" s="62">
        <v>35.33</v>
      </c>
      <c r="F20" s="62">
        <v>19.95</v>
      </c>
      <c r="G20" s="62">
        <v>22.93</v>
      </c>
      <c r="H20" s="62">
        <v>11.6</v>
      </c>
      <c r="I20" s="62">
        <v>12.6</v>
      </c>
      <c r="J20" s="62">
        <v>27.03</v>
      </c>
      <c r="K20" s="62">
        <v>32.04</v>
      </c>
      <c r="L20" s="62">
        <v>37.97</v>
      </c>
      <c r="M20" s="62">
        <v>36.64</v>
      </c>
      <c r="N20" s="62">
        <v>32.090000000000003</v>
      </c>
      <c r="O20" s="62">
        <v>40.270000000000003</v>
      </c>
      <c r="P20" s="62">
        <v>28.25</v>
      </c>
      <c r="Q20" s="75"/>
    </row>
    <row r="21" spans="2:17" ht="15.75" thickBot="1" x14ac:dyDescent="0.25">
      <c r="B21" s="207">
        <v>16</v>
      </c>
      <c r="C21" s="61">
        <f t="shared" si="0"/>
        <v>2036</v>
      </c>
      <c r="D21" s="62">
        <v>31.9</v>
      </c>
      <c r="E21" s="62">
        <v>35.4</v>
      </c>
      <c r="F21" s="62">
        <v>20.49</v>
      </c>
      <c r="G21" s="62">
        <v>21.57</v>
      </c>
      <c r="H21" s="62">
        <v>11.51</v>
      </c>
      <c r="I21" s="62">
        <v>13.52</v>
      </c>
      <c r="J21" s="62">
        <v>29.25</v>
      </c>
      <c r="K21" s="62">
        <v>34.32</v>
      </c>
      <c r="L21" s="62">
        <v>39.07</v>
      </c>
      <c r="M21" s="62">
        <v>38.76</v>
      </c>
      <c r="N21" s="62">
        <v>38.04</v>
      </c>
      <c r="O21" s="62">
        <v>42.85</v>
      </c>
      <c r="P21" s="62">
        <v>29.71</v>
      </c>
      <c r="Q21" s="75"/>
    </row>
    <row r="22" spans="2:17" ht="15.75" thickBot="1" x14ac:dyDescent="0.25">
      <c r="B22" s="59">
        <v>17</v>
      </c>
      <c r="C22" s="61">
        <f t="shared" si="0"/>
        <v>2037</v>
      </c>
      <c r="D22" s="62">
        <v>32.89</v>
      </c>
      <c r="E22" s="62">
        <v>35.549999999999997</v>
      </c>
      <c r="F22" s="62">
        <v>19.899999999999999</v>
      </c>
      <c r="G22" s="62">
        <v>20.059999999999999</v>
      </c>
      <c r="H22" s="62">
        <v>11.58</v>
      </c>
      <c r="I22" s="62">
        <v>12.92</v>
      </c>
      <c r="J22" s="62">
        <v>30.46</v>
      </c>
      <c r="K22" s="62">
        <v>34.47</v>
      </c>
      <c r="L22" s="62">
        <v>38.51</v>
      </c>
      <c r="M22" s="62">
        <v>38.58</v>
      </c>
      <c r="N22" s="62">
        <v>35.590000000000003</v>
      </c>
      <c r="O22" s="62">
        <v>42.87</v>
      </c>
      <c r="P22" s="62">
        <v>29.43</v>
      </c>
      <c r="Q22" s="75"/>
    </row>
    <row r="23" spans="2:17" ht="15.75" thickBot="1" x14ac:dyDescent="0.25">
      <c r="B23" s="59">
        <v>18</v>
      </c>
      <c r="C23" s="61">
        <f t="shared" si="0"/>
        <v>2038</v>
      </c>
      <c r="D23" s="62">
        <v>33.049999999999997</v>
      </c>
      <c r="E23" s="62">
        <v>34.31</v>
      </c>
      <c r="F23" s="62">
        <v>19.61</v>
      </c>
      <c r="G23" s="62">
        <v>20.59</v>
      </c>
      <c r="H23" s="62">
        <v>12.34</v>
      </c>
      <c r="I23" s="62">
        <v>12.73</v>
      </c>
      <c r="J23" s="62">
        <v>30.02</v>
      </c>
      <c r="K23" s="62">
        <v>34.49</v>
      </c>
      <c r="L23" s="62">
        <v>38.54</v>
      </c>
      <c r="M23" s="62">
        <v>38.11</v>
      </c>
      <c r="N23" s="62">
        <v>34.6</v>
      </c>
      <c r="O23" s="62">
        <v>43.72</v>
      </c>
      <c r="P23" s="62">
        <v>29.33</v>
      </c>
      <c r="Q23" s="75"/>
    </row>
    <row r="24" spans="2:17" ht="15.75" thickBot="1" x14ac:dyDescent="0.25">
      <c r="B24" s="207">
        <v>19</v>
      </c>
      <c r="C24" s="61">
        <f t="shared" si="0"/>
        <v>2039</v>
      </c>
      <c r="D24" s="62">
        <v>31.29</v>
      </c>
      <c r="E24" s="62">
        <v>33.46</v>
      </c>
      <c r="F24" s="62">
        <v>18.2</v>
      </c>
      <c r="G24" s="62">
        <v>19.010000000000002</v>
      </c>
      <c r="H24" s="62">
        <v>10.72</v>
      </c>
      <c r="I24" s="62">
        <v>12.48</v>
      </c>
      <c r="J24" s="62">
        <v>30.87</v>
      </c>
      <c r="K24" s="62">
        <v>34.28</v>
      </c>
      <c r="L24" s="62">
        <v>40.25</v>
      </c>
      <c r="M24" s="62">
        <v>38.630000000000003</v>
      </c>
      <c r="N24" s="62">
        <v>36.81</v>
      </c>
      <c r="O24" s="62">
        <v>43.64</v>
      </c>
      <c r="P24" s="62">
        <v>29.12</v>
      </c>
      <c r="Q24" s="75"/>
    </row>
    <row r="25" spans="2:17" ht="15.75" thickBot="1" x14ac:dyDescent="0.25">
      <c r="B25" s="59">
        <v>20</v>
      </c>
      <c r="C25" s="61">
        <f t="shared" si="0"/>
        <v>2040</v>
      </c>
      <c r="D25" s="62">
        <v>31.22</v>
      </c>
      <c r="E25" s="62">
        <v>33.69</v>
      </c>
      <c r="F25" s="62">
        <v>17.21</v>
      </c>
      <c r="G25" s="62">
        <v>18.62</v>
      </c>
      <c r="H25" s="62">
        <v>10</v>
      </c>
      <c r="I25" s="62">
        <v>12.67</v>
      </c>
      <c r="J25" s="62">
        <v>30.73</v>
      </c>
      <c r="K25" s="62">
        <v>33.44</v>
      </c>
      <c r="L25" s="62">
        <v>41.9</v>
      </c>
      <c r="M25" s="62">
        <v>38.880000000000003</v>
      </c>
      <c r="N25" s="62">
        <v>37.619999999999997</v>
      </c>
      <c r="O25" s="62">
        <v>46.67</v>
      </c>
      <c r="P25" s="62">
        <v>29.38</v>
      </c>
      <c r="Q25" s="75"/>
    </row>
    <row r="26" spans="2:17" ht="15.75" thickBot="1" x14ac:dyDescent="0.25">
      <c r="B26" s="59">
        <v>21</v>
      </c>
      <c r="C26" s="61">
        <f t="shared" si="0"/>
        <v>2041</v>
      </c>
      <c r="D26" s="62">
        <v>32.164082861395279</v>
      </c>
      <c r="E26" s="62">
        <v>35.504147865942542</v>
      </c>
      <c r="F26" s="62">
        <v>18.229325039147003</v>
      </c>
      <c r="G26" s="62">
        <v>21.06981062992579</v>
      </c>
      <c r="H26" s="62">
        <v>10.597179332707995</v>
      </c>
      <c r="I26" s="62">
        <v>12.793587119525496</v>
      </c>
      <c r="J26" s="62">
        <v>29.372693910311035</v>
      </c>
      <c r="K26" s="62">
        <v>38.672033721500981</v>
      </c>
      <c r="L26" s="62">
        <v>45.789087776756929</v>
      </c>
      <c r="M26" s="62">
        <v>37.024253941191112</v>
      </c>
      <c r="N26" s="62">
        <v>35.392446995443741</v>
      </c>
      <c r="O26" s="62">
        <v>48.413458762309865</v>
      </c>
      <c r="P26" s="62">
        <v>30.39487115211346</v>
      </c>
      <c r="Q26" s="75"/>
    </row>
    <row r="27" spans="2:17" ht="15.75" thickBot="1" x14ac:dyDescent="0.25"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  <c r="Q27" s="74"/>
    </row>
    <row r="28" spans="2:17" ht="15.75" thickBot="1" x14ac:dyDescent="0.25">
      <c r="O28" s="66" t="s">
        <v>54</v>
      </c>
      <c r="P28" s="67">
        <f>-PMT(Rate_of_Return,20,NPV(Rate_of_Return,P6:P25))</f>
        <v>23.824071369256131</v>
      </c>
      <c r="Q28" s="73"/>
    </row>
    <row r="29" spans="2:17" ht="15.75" thickBot="1" x14ac:dyDescent="0.25">
      <c r="O29" s="66" t="s">
        <v>55</v>
      </c>
      <c r="P29" s="237">
        <f>-PMT(Rate_of_Return,15,NPV(Rate_of_Return,P6:P20))</f>
        <v>22.949093496230017</v>
      </c>
      <c r="Q29" s="73"/>
    </row>
    <row r="31" spans="2:17" x14ac:dyDescent="0.2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2:17" x14ac:dyDescent="0.2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x14ac:dyDescent="0.2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x14ac:dyDescent="0.2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2:17" ht="15.6" customHeight="1" x14ac:dyDescent="0.2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17" x14ac:dyDescent="0.2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2:17" ht="40.9" customHeight="1" x14ac:dyDescent="0.2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2:17" x14ac:dyDescent="0.2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2:17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2:17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2:17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2:17" ht="93.6" customHeight="1" x14ac:dyDescent="0.2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2:17" ht="80.45" customHeight="1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2:17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2:17" x14ac:dyDescent="0.2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2:17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2:17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2:17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2:17" x14ac:dyDescent="0.2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2:17" x14ac:dyDescent="0.2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2:17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2:17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2:17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2:17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2:17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2:17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2:17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2:17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2:17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2:17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2:17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2:17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2:17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2:17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2:17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2:17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2:17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2:17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2:17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2:17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2:17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2:17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2:17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2:17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</sheetData>
  <customSheetViews>
    <customSheetView guid="{7616AFB9-3DAD-45EA-BAD3-1A4EF1124EEE}" fitToPage="1" topLeftCell="A11">
      <selection activeCell="F22" sqref="F22"/>
      <pageMargins left="0.75" right="0.5" top="0.76" bottom="0.79" header="0.5" footer="0.26"/>
      <pageSetup scale="57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 topLeftCell="A11">
      <selection activeCell="F22" sqref="F22"/>
      <pageMargins left="0.75" right="0.5" top="0.76" bottom="0.79" header="0.5" footer="0.26"/>
      <pageSetup scale="57" orientation="landscape" r:id="rId2"/>
      <headerFooter alignWithMargins="0">
        <oddFooter>&amp;L&amp;F&amp;C&amp;A&amp;RPSE Advice No. 2018-48 &amp;D
Page &amp;P of &amp;N</oddFooter>
      </headerFooter>
    </customSheetView>
  </customSheetViews>
  <mergeCells count="1">
    <mergeCell ref="C2:Q2"/>
  </mergeCells>
  <pageMargins left="0.75" right="0.5" top="0.76" bottom="0.79" header="0.5" footer="0.26"/>
  <pageSetup scale="57"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45"/>
  <sheetViews>
    <sheetView topLeftCell="D1" zoomScale="120" zoomScaleNormal="120" workbookViewId="0">
      <selection activeCell="P7" sqref="P7"/>
    </sheetView>
  </sheetViews>
  <sheetFormatPr defaultColWidth="8.85546875" defaultRowHeight="12.75" x14ac:dyDescent="0.2"/>
  <cols>
    <col min="1" max="1" width="2.7109375" style="213" customWidth="1"/>
    <col min="2" max="2" width="3.85546875" style="213" bestFit="1" customWidth="1"/>
    <col min="3" max="3" width="9" style="213" bestFit="1" customWidth="1"/>
    <col min="4" max="4" width="23" style="213" customWidth="1"/>
    <col min="5" max="5" width="24.7109375" style="213" customWidth="1"/>
    <col min="6" max="6" width="2.140625" style="174" customWidth="1"/>
    <col min="7" max="7" width="17.42578125" style="213" bestFit="1" customWidth="1"/>
    <col min="8" max="9" width="13.85546875" style="213" bestFit="1" customWidth="1"/>
    <col min="10" max="10" width="2.140625" style="174" customWidth="1"/>
    <col min="11" max="11" width="8.85546875" style="213"/>
    <col min="12" max="12" width="11.140625" style="213" customWidth="1"/>
    <col min="13" max="13" width="2.140625" style="174" customWidth="1"/>
    <col min="14" max="14" width="14" style="213" customWidth="1"/>
    <col min="15" max="15" width="11.28515625" style="213" bestFit="1" customWidth="1"/>
    <col min="16" max="16" width="11.7109375" style="213" customWidth="1"/>
    <col min="17" max="17" width="10.140625" style="213" bestFit="1" customWidth="1"/>
    <col min="18" max="18" width="12.140625" style="213" customWidth="1"/>
    <col min="19" max="19" width="11.28515625" style="213" bestFit="1" customWidth="1"/>
    <col min="20" max="16384" width="8.85546875" style="213"/>
  </cols>
  <sheetData>
    <row r="1" spans="1:19" x14ac:dyDescent="0.2">
      <c r="O1" s="235"/>
      <c r="Q1" s="235"/>
    </row>
    <row r="2" spans="1:19" x14ac:dyDescent="0.2">
      <c r="K2" s="174"/>
      <c r="L2" s="174"/>
      <c r="O2" s="236"/>
      <c r="P2" s="174"/>
      <c r="Q2" s="236"/>
      <c r="R2" s="174"/>
      <c r="S2" s="236"/>
    </row>
    <row r="3" spans="1:19" s="267" customFormat="1" ht="27.6" customHeight="1" thickBot="1" x14ac:dyDescent="0.25">
      <c r="D3" s="371" t="s">
        <v>40</v>
      </c>
      <c r="E3" s="371"/>
      <c r="F3" s="249"/>
      <c r="G3" s="364" t="s">
        <v>86</v>
      </c>
      <c r="H3" s="364"/>
      <c r="I3" s="364"/>
      <c r="J3" s="249"/>
      <c r="K3" s="249"/>
      <c r="L3" s="249"/>
      <c r="M3" s="249"/>
      <c r="N3" s="364" t="s">
        <v>87</v>
      </c>
      <c r="O3" s="364"/>
      <c r="P3" s="364"/>
      <c r="Q3" s="364"/>
      <c r="R3" s="364"/>
      <c r="S3" s="364"/>
    </row>
    <row r="4" spans="1:19" s="267" customFormat="1" ht="85.9" customHeight="1" x14ac:dyDescent="0.2">
      <c r="D4" s="253" t="s">
        <v>41</v>
      </c>
      <c r="E4" s="262" t="s">
        <v>88</v>
      </c>
      <c r="F4" s="249"/>
      <c r="G4" s="268" t="s">
        <v>107</v>
      </c>
      <c r="H4" s="268" t="s">
        <v>116</v>
      </c>
      <c r="I4" s="269" t="s">
        <v>117</v>
      </c>
      <c r="J4" s="215"/>
      <c r="K4" s="365" t="s">
        <v>108</v>
      </c>
      <c r="L4" s="368" t="s">
        <v>109</v>
      </c>
      <c r="M4" s="215"/>
      <c r="N4" s="270" t="s">
        <v>110</v>
      </c>
      <c r="O4" s="271" t="s">
        <v>111</v>
      </c>
      <c r="P4" s="270" t="s">
        <v>114</v>
      </c>
      <c r="Q4" s="271" t="s">
        <v>112</v>
      </c>
      <c r="R4" s="272" t="s">
        <v>115</v>
      </c>
      <c r="S4" s="271" t="s">
        <v>162</v>
      </c>
    </row>
    <row r="5" spans="1:19" s="267" customFormat="1" x14ac:dyDescent="0.2">
      <c r="C5" s="273"/>
      <c r="D5" s="254"/>
      <c r="E5" s="255"/>
      <c r="F5" s="249"/>
      <c r="G5" s="285">
        <v>1</v>
      </c>
      <c r="H5" s="286">
        <v>0.17799999999999999</v>
      </c>
      <c r="I5" s="299">
        <v>0.04</v>
      </c>
      <c r="J5" s="215"/>
      <c r="K5" s="366"/>
      <c r="L5" s="369"/>
      <c r="M5" s="215"/>
      <c r="N5" s="274">
        <v>1</v>
      </c>
      <c r="O5" s="275"/>
      <c r="P5" s="274">
        <v>0.36699999999999999</v>
      </c>
      <c r="Q5" s="275"/>
      <c r="R5" s="276">
        <v>0.24199999999999999</v>
      </c>
      <c r="S5" s="277"/>
    </row>
    <row r="6" spans="1:19" s="267" customFormat="1" ht="26.25" thickBot="1" x14ac:dyDescent="0.25">
      <c r="B6" s="273"/>
      <c r="C6" s="278"/>
      <c r="D6" s="256"/>
      <c r="E6" s="257" t="s">
        <v>90</v>
      </c>
      <c r="F6" s="249"/>
      <c r="G6" s="279" t="s">
        <v>90</v>
      </c>
      <c r="H6" s="279" t="s">
        <v>90</v>
      </c>
      <c r="I6" s="280" t="s">
        <v>90</v>
      </c>
      <c r="J6" s="249"/>
      <c r="K6" s="367"/>
      <c r="L6" s="370"/>
      <c r="M6" s="215"/>
      <c r="N6" s="281" t="s">
        <v>89</v>
      </c>
      <c r="O6" s="282" t="s">
        <v>14</v>
      </c>
      <c r="P6" s="281" t="s">
        <v>89</v>
      </c>
      <c r="Q6" s="282" t="s">
        <v>14</v>
      </c>
      <c r="R6" s="283" t="s">
        <v>89</v>
      </c>
      <c r="S6" s="282" t="s">
        <v>14</v>
      </c>
    </row>
    <row r="7" spans="1:19" x14ac:dyDescent="0.2">
      <c r="A7" s="216"/>
      <c r="B7" s="300">
        <v>1</v>
      </c>
      <c r="C7" s="301">
        <v>2021</v>
      </c>
      <c r="D7" s="302" t="s">
        <v>42</v>
      </c>
      <c r="E7" s="288">
        <v>95.27</v>
      </c>
      <c r="G7" s="303">
        <f t="shared" ref="G7:I27" si="0">G$5*$E7</f>
        <v>95.27</v>
      </c>
      <c r="H7" s="303">
        <f>H$5*$E7</f>
        <v>16.95806</v>
      </c>
      <c r="I7" s="218">
        <f>I$5*$E7</f>
        <v>3.8108</v>
      </c>
      <c r="K7" s="304">
        <f t="shared" ref="K7:K28" si="1">C7</f>
        <v>2021</v>
      </c>
      <c r="L7" s="305">
        <f t="shared" ref="L7:L28" si="2">(IF(MOD(K7,4)&gt;0,0,1)+365)*24</f>
        <v>8760</v>
      </c>
      <c r="M7" s="214"/>
      <c r="N7" s="306">
        <f t="shared" ref="N7:N28" si="3">L7*$N$5</f>
        <v>8760</v>
      </c>
      <c r="O7" s="307">
        <f>(+G7*1000)/$N7</f>
        <v>10.875570776255708</v>
      </c>
      <c r="P7" s="306">
        <f>L7*$P$5</f>
        <v>3214.92</v>
      </c>
      <c r="Q7" s="307">
        <f>(+H7*1000)/$P7</f>
        <v>5.274799995023205</v>
      </c>
      <c r="R7" s="308">
        <f t="shared" ref="R7:R28" si="4">L7*$R$5</f>
        <v>2119.92</v>
      </c>
      <c r="S7" s="212">
        <f>(+I7*1000)/$R7</f>
        <v>1.7976150043397865</v>
      </c>
    </row>
    <row r="8" spans="1:19" x14ac:dyDescent="0.2">
      <c r="A8" s="216"/>
      <c r="B8" s="309">
        <f t="shared" ref="B8:B28" si="5">+B7+1</f>
        <v>2</v>
      </c>
      <c r="C8" s="310">
        <f>C7+1</f>
        <v>2022</v>
      </c>
      <c r="D8" s="302"/>
      <c r="E8" s="289">
        <v>95.27</v>
      </c>
      <c r="G8" s="311">
        <f t="shared" si="0"/>
        <v>95.27</v>
      </c>
      <c r="H8" s="303">
        <f t="shared" si="0"/>
        <v>16.95806</v>
      </c>
      <c r="I8" s="219">
        <f t="shared" si="0"/>
        <v>3.8108</v>
      </c>
      <c r="K8" s="312">
        <f t="shared" si="1"/>
        <v>2022</v>
      </c>
      <c r="L8" s="313">
        <f t="shared" si="2"/>
        <v>8760</v>
      </c>
      <c r="M8" s="214"/>
      <c r="N8" s="314">
        <f t="shared" si="3"/>
        <v>8760</v>
      </c>
      <c r="O8" s="315">
        <f>(+G8*1000)/$N8</f>
        <v>10.875570776255708</v>
      </c>
      <c r="P8" s="314">
        <f t="shared" ref="P8:P28" si="6">L8*$P$5</f>
        <v>3214.92</v>
      </c>
      <c r="Q8" s="315">
        <f t="shared" ref="Q8:Q28" si="7">(+H8*1000)/$P8</f>
        <v>5.274799995023205</v>
      </c>
      <c r="R8" s="316">
        <f>L8*$R$5</f>
        <v>2119.92</v>
      </c>
      <c r="S8" s="210">
        <f>(+I8*1000)/$R8</f>
        <v>1.7976150043397865</v>
      </c>
    </row>
    <row r="9" spans="1:19" x14ac:dyDescent="0.2">
      <c r="A9" s="216"/>
      <c r="B9" s="309">
        <f t="shared" si="5"/>
        <v>3</v>
      </c>
      <c r="C9" s="310">
        <f>+C8+1</f>
        <v>2023</v>
      </c>
      <c r="D9" s="302"/>
      <c r="E9" s="289">
        <v>95.27</v>
      </c>
      <c r="G9" s="311">
        <f t="shared" si="0"/>
        <v>95.27</v>
      </c>
      <c r="H9" s="303">
        <f t="shared" si="0"/>
        <v>16.95806</v>
      </c>
      <c r="I9" s="219">
        <f t="shared" si="0"/>
        <v>3.8108</v>
      </c>
      <c r="K9" s="312">
        <f t="shared" si="1"/>
        <v>2023</v>
      </c>
      <c r="L9" s="313">
        <f t="shared" si="2"/>
        <v>8760</v>
      </c>
      <c r="M9" s="214"/>
      <c r="N9" s="314">
        <f t="shared" si="3"/>
        <v>8760</v>
      </c>
      <c r="O9" s="315">
        <f t="shared" ref="O9:O28" si="8">(+G9*1000)/$N9</f>
        <v>10.875570776255708</v>
      </c>
      <c r="P9" s="314">
        <f t="shared" si="6"/>
        <v>3214.92</v>
      </c>
      <c r="Q9" s="315">
        <f t="shared" si="7"/>
        <v>5.274799995023205</v>
      </c>
      <c r="R9" s="316">
        <f t="shared" si="4"/>
        <v>2119.92</v>
      </c>
      <c r="S9" s="210">
        <f t="shared" ref="S9:S28" si="9">(+I9*1000)/$R9</f>
        <v>1.7976150043397865</v>
      </c>
    </row>
    <row r="10" spans="1:19" x14ac:dyDescent="0.2">
      <c r="A10" s="216"/>
      <c r="B10" s="309">
        <f t="shared" si="5"/>
        <v>4</v>
      </c>
      <c r="C10" s="310">
        <f t="shared" ref="C10:C28" si="10">+C9+1</f>
        <v>2024</v>
      </c>
      <c r="D10" s="302"/>
      <c r="E10" s="258">
        <v>95.27</v>
      </c>
      <c r="G10" s="311">
        <f t="shared" si="0"/>
        <v>95.27</v>
      </c>
      <c r="H10" s="303">
        <f t="shared" si="0"/>
        <v>16.95806</v>
      </c>
      <c r="I10" s="219">
        <f t="shared" si="0"/>
        <v>3.8108</v>
      </c>
      <c r="K10" s="312">
        <f t="shared" si="1"/>
        <v>2024</v>
      </c>
      <c r="L10" s="313">
        <f t="shared" si="2"/>
        <v>8784</v>
      </c>
      <c r="M10" s="214"/>
      <c r="N10" s="314">
        <f t="shared" si="3"/>
        <v>8784</v>
      </c>
      <c r="O10" s="315">
        <f t="shared" si="8"/>
        <v>10.845856102003642</v>
      </c>
      <c r="P10" s="314">
        <f t="shared" si="6"/>
        <v>3223.7280000000001</v>
      </c>
      <c r="Q10" s="315">
        <f t="shared" si="7"/>
        <v>5.2603879731788785</v>
      </c>
      <c r="R10" s="316">
        <f t="shared" si="4"/>
        <v>2125.7280000000001</v>
      </c>
      <c r="S10" s="210">
        <f t="shared" si="9"/>
        <v>1.7927034879344865</v>
      </c>
    </row>
    <row r="11" spans="1:19" x14ac:dyDescent="0.2">
      <c r="A11" s="216"/>
      <c r="B11" s="309">
        <f t="shared" si="5"/>
        <v>5</v>
      </c>
      <c r="C11" s="310">
        <f t="shared" si="10"/>
        <v>2025</v>
      </c>
      <c r="D11" s="302"/>
      <c r="E11" s="258">
        <v>95.27</v>
      </c>
      <c r="G11" s="311">
        <f t="shared" si="0"/>
        <v>95.27</v>
      </c>
      <c r="H11" s="303">
        <f t="shared" si="0"/>
        <v>16.95806</v>
      </c>
      <c r="I11" s="219">
        <f t="shared" si="0"/>
        <v>3.8108</v>
      </c>
      <c r="K11" s="312">
        <f t="shared" si="1"/>
        <v>2025</v>
      </c>
      <c r="L11" s="313">
        <f t="shared" si="2"/>
        <v>8760</v>
      </c>
      <c r="M11" s="214"/>
      <c r="N11" s="314">
        <f t="shared" si="3"/>
        <v>8760</v>
      </c>
      <c r="O11" s="315">
        <f t="shared" si="8"/>
        <v>10.875570776255708</v>
      </c>
      <c r="P11" s="314">
        <f t="shared" si="6"/>
        <v>3214.92</v>
      </c>
      <c r="Q11" s="315">
        <f t="shared" si="7"/>
        <v>5.274799995023205</v>
      </c>
      <c r="R11" s="316">
        <f t="shared" si="4"/>
        <v>2119.92</v>
      </c>
      <c r="S11" s="210">
        <f t="shared" si="9"/>
        <v>1.7976150043397865</v>
      </c>
    </row>
    <row r="12" spans="1:19" x14ac:dyDescent="0.2">
      <c r="A12" s="216"/>
      <c r="B12" s="309">
        <f t="shared" si="5"/>
        <v>6</v>
      </c>
      <c r="C12" s="310">
        <f t="shared" si="10"/>
        <v>2026</v>
      </c>
      <c r="D12" s="302"/>
      <c r="E12" s="258">
        <v>95.27</v>
      </c>
      <c r="G12" s="311">
        <f t="shared" si="0"/>
        <v>95.27</v>
      </c>
      <c r="H12" s="303">
        <f t="shared" si="0"/>
        <v>16.95806</v>
      </c>
      <c r="I12" s="219">
        <f t="shared" si="0"/>
        <v>3.8108</v>
      </c>
      <c r="K12" s="312">
        <f t="shared" si="1"/>
        <v>2026</v>
      </c>
      <c r="L12" s="313">
        <f t="shared" si="2"/>
        <v>8760</v>
      </c>
      <c r="M12" s="214"/>
      <c r="N12" s="314">
        <f t="shared" si="3"/>
        <v>8760</v>
      </c>
      <c r="O12" s="315">
        <f t="shared" si="8"/>
        <v>10.875570776255708</v>
      </c>
      <c r="P12" s="314">
        <f t="shared" si="6"/>
        <v>3214.92</v>
      </c>
      <c r="Q12" s="315">
        <f t="shared" si="7"/>
        <v>5.274799995023205</v>
      </c>
      <c r="R12" s="316">
        <f t="shared" si="4"/>
        <v>2119.92</v>
      </c>
      <c r="S12" s="210">
        <f t="shared" si="9"/>
        <v>1.7976150043397865</v>
      </c>
    </row>
    <row r="13" spans="1:19" x14ac:dyDescent="0.2">
      <c r="A13" s="216"/>
      <c r="B13" s="309">
        <f t="shared" si="5"/>
        <v>7</v>
      </c>
      <c r="C13" s="310">
        <f t="shared" si="10"/>
        <v>2027</v>
      </c>
      <c r="D13" s="302"/>
      <c r="E13" s="258">
        <v>95.27</v>
      </c>
      <c r="G13" s="311">
        <f t="shared" si="0"/>
        <v>95.27</v>
      </c>
      <c r="H13" s="303">
        <f t="shared" si="0"/>
        <v>16.95806</v>
      </c>
      <c r="I13" s="219">
        <f t="shared" si="0"/>
        <v>3.8108</v>
      </c>
      <c r="K13" s="312">
        <f t="shared" si="1"/>
        <v>2027</v>
      </c>
      <c r="L13" s="313">
        <f t="shared" si="2"/>
        <v>8760</v>
      </c>
      <c r="M13" s="214"/>
      <c r="N13" s="314">
        <f t="shared" si="3"/>
        <v>8760</v>
      </c>
      <c r="O13" s="315">
        <f t="shared" si="8"/>
        <v>10.875570776255708</v>
      </c>
      <c r="P13" s="314">
        <f t="shared" si="6"/>
        <v>3214.92</v>
      </c>
      <c r="Q13" s="315">
        <f t="shared" si="7"/>
        <v>5.274799995023205</v>
      </c>
      <c r="R13" s="316">
        <f t="shared" si="4"/>
        <v>2119.92</v>
      </c>
      <c r="S13" s="210">
        <f t="shared" si="9"/>
        <v>1.7976150043397865</v>
      </c>
    </row>
    <row r="14" spans="1:19" x14ac:dyDescent="0.2">
      <c r="A14" s="216"/>
      <c r="B14" s="309">
        <f t="shared" si="5"/>
        <v>8</v>
      </c>
      <c r="C14" s="310">
        <f t="shared" si="10"/>
        <v>2028</v>
      </c>
      <c r="D14" s="302"/>
      <c r="E14" s="258">
        <v>95.27</v>
      </c>
      <c r="G14" s="311">
        <f t="shared" si="0"/>
        <v>95.27</v>
      </c>
      <c r="H14" s="303">
        <f t="shared" si="0"/>
        <v>16.95806</v>
      </c>
      <c r="I14" s="219">
        <f t="shared" si="0"/>
        <v>3.8108</v>
      </c>
      <c r="K14" s="312">
        <f t="shared" si="1"/>
        <v>2028</v>
      </c>
      <c r="L14" s="313">
        <f t="shared" si="2"/>
        <v>8784</v>
      </c>
      <c r="M14" s="214"/>
      <c r="N14" s="314">
        <f t="shared" si="3"/>
        <v>8784</v>
      </c>
      <c r="O14" s="315">
        <f t="shared" si="8"/>
        <v>10.845856102003642</v>
      </c>
      <c r="P14" s="314">
        <f t="shared" si="6"/>
        <v>3223.7280000000001</v>
      </c>
      <c r="Q14" s="315">
        <f t="shared" si="7"/>
        <v>5.2603879731788785</v>
      </c>
      <c r="R14" s="316">
        <f t="shared" si="4"/>
        <v>2125.7280000000001</v>
      </c>
      <c r="S14" s="210">
        <f t="shared" si="9"/>
        <v>1.7927034879344865</v>
      </c>
    </row>
    <row r="15" spans="1:19" x14ac:dyDescent="0.2">
      <c r="A15" s="216"/>
      <c r="B15" s="309">
        <f t="shared" si="5"/>
        <v>9</v>
      </c>
      <c r="C15" s="310">
        <f t="shared" si="10"/>
        <v>2029</v>
      </c>
      <c r="D15" s="302"/>
      <c r="E15" s="258">
        <v>95.27</v>
      </c>
      <c r="G15" s="311">
        <f t="shared" si="0"/>
        <v>95.27</v>
      </c>
      <c r="H15" s="303">
        <f t="shared" si="0"/>
        <v>16.95806</v>
      </c>
      <c r="I15" s="219">
        <f t="shared" si="0"/>
        <v>3.8108</v>
      </c>
      <c r="K15" s="312">
        <f t="shared" si="1"/>
        <v>2029</v>
      </c>
      <c r="L15" s="313">
        <f t="shared" si="2"/>
        <v>8760</v>
      </c>
      <c r="M15" s="214"/>
      <c r="N15" s="314">
        <f t="shared" si="3"/>
        <v>8760</v>
      </c>
      <c r="O15" s="315">
        <f t="shared" si="8"/>
        <v>10.875570776255708</v>
      </c>
      <c r="P15" s="314">
        <f t="shared" si="6"/>
        <v>3214.92</v>
      </c>
      <c r="Q15" s="315">
        <f t="shared" si="7"/>
        <v>5.274799995023205</v>
      </c>
      <c r="R15" s="316">
        <f t="shared" si="4"/>
        <v>2119.92</v>
      </c>
      <c r="S15" s="210">
        <f t="shared" si="9"/>
        <v>1.7976150043397865</v>
      </c>
    </row>
    <row r="16" spans="1:19" x14ac:dyDescent="0.2">
      <c r="A16" s="216"/>
      <c r="B16" s="309">
        <f t="shared" si="5"/>
        <v>10</v>
      </c>
      <c r="C16" s="310">
        <f t="shared" si="10"/>
        <v>2030</v>
      </c>
      <c r="D16" s="302"/>
      <c r="E16" s="258">
        <v>95.27</v>
      </c>
      <c r="G16" s="311">
        <f t="shared" si="0"/>
        <v>95.27</v>
      </c>
      <c r="H16" s="303">
        <f t="shared" si="0"/>
        <v>16.95806</v>
      </c>
      <c r="I16" s="219">
        <f t="shared" si="0"/>
        <v>3.8108</v>
      </c>
      <c r="K16" s="312">
        <f t="shared" si="1"/>
        <v>2030</v>
      </c>
      <c r="L16" s="313">
        <f t="shared" si="2"/>
        <v>8760</v>
      </c>
      <c r="M16" s="214"/>
      <c r="N16" s="314">
        <f t="shared" si="3"/>
        <v>8760</v>
      </c>
      <c r="O16" s="315">
        <f t="shared" si="8"/>
        <v>10.875570776255708</v>
      </c>
      <c r="P16" s="314">
        <f t="shared" si="6"/>
        <v>3214.92</v>
      </c>
      <c r="Q16" s="315">
        <f t="shared" si="7"/>
        <v>5.274799995023205</v>
      </c>
      <c r="R16" s="316">
        <f t="shared" si="4"/>
        <v>2119.92</v>
      </c>
      <c r="S16" s="210">
        <f t="shared" si="9"/>
        <v>1.7976150043397865</v>
      </c>
    </row>
    <row r="17" spans="1:19" x14ac:dyDescent="0.2">
      <c r="A17" s="216"/>
      <c r="B17" s="309">
        <f t="shared" si="5"/>
        <v>11</v>
      </c>
      <c r="C17" s="310">
        <f t="shared" si="10"/>
        <v>2031</v>
      </c>
      <c r="D17" s="302"/>
      <c r="E17" s="258">
        <v>95.27</v>
      </c>
      <c r="G17" s="311">
        <f t="shared" si="0"/>
        <v>95.27</v>
      </c>
      <c r="H17" s="303">
        <f t="shared" si="0"/>
        <v>16.95806</v>
      </c>
      <c r="I17" s="219">
        <f t="shared" si="0"/>
        <v>3.8108</v>
      </c>
      <c r="K17" s="312">
        <f t="shared" si="1"/>
        <v>2031</v>
      </c>
      <c r="L17" s="313">
        <f t="shared" si="2"/>
        <v>8760</v>
      </c>
      <c r="M17" s="214"/>
      <c r="N17" s="314">
        <f t="shared" si="3"/>
        <v>8760</v>
      </c>
      <c r="O17" s="315">
        <f t="shared" si="8"/>
        <v>10.875570776255708</v>
      </c>
      <c r="P17" s="314">
        <f t="shared" si="6"/>
        <v>3214.92</v>
      </c>
      <c r="Q17" s="315">
        <f t="shared" si="7"/>
        <v>5.274799995023205</v>
      </c>
      <c r="R17" s="316">
        <f t="shared" si="4"/>
        <v>2119.92</v>
      </c>
      <c r="S17" s="210">
        <f t="shared" si="9"/>
        <v>1.7976150043397865</v>
      </c>
    </row>
    <row r="18" spans="1:19" x14ac:dyDescent="0.2">
      <c r="A18" s="216"/>
      <c r="B18" s="309">
        <f t="shared" si="5"/>
        <v>12</v>
      </c>
      <c r="C18" s="310">
        <f t="shared" si="10"/>
        <v>2032</v>
      </c>
      <c r="D18" s="302"/>
      <c r="E18" s="258">
        <v>95.27</v>
      </c>
      <c r="G18" s="311">
        <f t="shared" si="0"/>
        <v>95.27</v>
      </c>
      <c r="H18" s="303">
        <f t="shared" si="0"/>
        <v>16.95806</v>
      </c>
      <c r="I18" s="219">
        <f t="shared" si="0"/>
        <v>3.8108</v>
      </c>
      <c r="K18" s="312">
        <f t="shared" si="1"/>
        <v>2032</v>
      </c>
      <c r="L18" s="313">
        <f t="shared" si="2"/>
        <v>8784</v>
      </c>
      <c r="M18" s="214"/>
      <c r="N18" s="314">
        <f t="shared" si="3"/>
        <v>8784</v>
      </c>
      <c r="O18" s="315">
        <f t="shared" si="8"/>
        <v>10.845856102003642</v>
      </c>
      <c r="P18" s="314">
        <f t="shared" si="6"/>
        <v>3223.7280000000001</v>
      </c>
      <c r="Q18" s="315">
        <f t="shared" si="7"/>
        <v>5.2603879731788785</v>
      </c>
      <c r="R18" s="316">
        <f t="shared" si="4"/>
        <v>2125.7280000000001</v>
      </c>
      <c r="S18" s="210">
        <f t="shared" si="9"/>
        <v>1.7927034879344865</v>
      </c>
    </row>
    <row r="19" spans="1:19" x14ac:dyDescent="0.2">
      <c r="A19" s="216"/>
      <c r="B19" s="309">
        <f t="shared" si="5"/>
        <v>13</v>
      </c>
      <c r="C19" s="310">
        <f t="shared" si="10"/>
        <v>2033</v>
      </c>
      <c r="D19" s="302"/>
      <c r="E19" s="258">
        <v>95.27</v>
      </c>
      <c r="G19" s="311">
        <f t="shared" si="0"/>
        <v>95.27</v>
      </c>
      <c r="H19" s="303">
        <f t="shared" si="0"/>
        <v>16.95806</v>
      </c>
      <c r="I19" s="219">
        <f t="shared" si="0"/>
        <v>3.8108</v>
      </c>
      <c r="K19" s="312">
        <f t="shared" si="1"/>
        <v>2033</v>
      </c>
      <c r="L19" s="313">
        <f t="shared" si="2"/>
        <v>8760</v>
      </c>
      <c r="M19" s="214"/>
      <c r="N19" s="314">
        <f t="shared" si="3"/>
        <v>8760</v>
      </c>
      <c r="O19" s="315">
        <f t="shared" si="8"/>
        <v>10.875570776255708</v>
      </c>
      <c r="P19" s="314">
        <f t="shared" si="6"/>
        <v>3214.92</v>
      </c>
      <c r="Q19" s="315">
        <f t="shared" si="7"/>
        <v>5.274799995023205</v>
      </c>
      <c r="R19" s="316">
        <f t="shared" si="4"/>
        <v>2119.92</v>
      </c>
      <c r="S19" s="210">
        <f t="shared" si="9"/>
        <v>1.7976150043397865</v>
      </c>
    </row>
    <row r="20" spans="1:19" x14ac:dyDescent="0.2">
      <c r="A20" s="216"/>
      <c r="B20" s="309">
        <f t="shared" si="5"/>
        <v>14</v>
      </c>
      <c r="C20" s="310">
        <f t="shared" si="10"/>
        <v>2034</v>
      </c>
      <c r="D20" s="302"/>
      <c r="E20" s="258">
        <v>95.27</v>
      </c>
      <c r="G20" s="311">
        <f t="shared" si="0"/>
        <v>95.27</v>
      </c>
      <c r="H20" s="303">
        <f t="shared" si="0"/>
        <v>16.95806</v>
      </c>
      <c r="I20" s="219">
        <f t="shared" si="0"/>
        <v>3.8108</v>
      </c>
      <c r="K20" s="312">
        <f t="shared" si="1"/>
        <v>2034</v>
      </c>
      <c r="L20" s="313">
        <f t="shared" si="2"/>
        <v>8760</v>
      </c>
      <c r="M20" s="214"/>
      <c r="N20" s="314">
        <f t="shared" si="3"/>
        <v>8760</v>
      </c>
      <c r="O20" s="315">
        <f t="shared" si="8"/>
        <v>10.875570776255708</v>
      </c>
      <c r="P20" s="314">
        <f t="shared" si="6"/>
        <v>3214.92</v>
      </c>
      <c r="Q20" s="315">
        <f t="shared" si="7"/>
        <v>5.274799995023205</v>
      </c>
      <c r="R20" s="316">
        <f t="shared" si="4"/>
        <v>2119.92</v>
      </c>
      <c r="S20" s="210">
        <f t="shared" si="9"/>
        <v>1.7976150043397865</v>
      </c>
    </row>
    <row r="21" spans="1:19" x14ac:dyDescent="0.2">
      <c r="A21" s="216"/>
      <c r="B21" s="309">
        <f t="shared" si="5"/>
        <v>15</v>
      </c>
      <c r="C21" s="310">
        <f t="shared" si="10"/>
        <v>2035</v>
      </c>
      <c r="D21" s="302"/>
      <c r="E21" s="258">
        <v>95.27</v>
      </c>
      <c r="G21" s="311">
        <f t="shared" si="0"/>
        <v>95.27</v>
      </c>
      <c r="H21" s="303">
        <f t="shared" si="0"/>
        <v>16.95806</v>
      </c>
      <c r="I21" s="219">
        <f t="shared" si="0"/>
        <v>3.8108</v>
      </c>
      <c r="K21" s="312">
        <f t="shared" si="1"/>
        <v>2035</v>
      </c>
      <c r="L21" s="313">
        <f t="shared" si="2"/>
        <v>8760</v>
      </c>
      <c r="M21" s="214"/>
      <c r="N21" s="314">
        <f t="shared" si="3"/>
        <v>8760</v>
      </c>
      <c r="O21" s="315">
        <f t="shared" si="8"/>
        <v>10.875570776255708</v>
      </c>
      <c r="P21" s="314">
        <f t="shared" si="6"/>
        <v>3214.92</v>
      </c>
      <c r="Q21" s="315">
        <f t="shared" si="7"/>
        <v>5.274799995023205</v>
      </c>
      <c r="R21" s="316">
        <f t="shared" si="4"/>
        <v>2119.92</v>
      </c>
      <c r="S21" s="210">
        <f t="shared" si="9"/>
        <v>1.7976150043397865</v>
      </c>
    </row>
    <row r="22" spans="1:19" x14ac:dyDescent="0.2">
      <c r="A22" s="216"/>
      <c r="B22" s="309">
        <f t="shared" si="5"/>
        <v>16</v>
      </c>
      <c r="C22" s="310">
        <f t="shared" si="10"/>
        <v>2036</v>
      </c>
      <c r="D22" s="302"/>
      <c r="E22" s="258">
        <v>95.27</v>
      </c>
      <c r="G22" s="311">
        <f t="shared" si="0"/>
        <v>95.27</v>
      </c>
      <c r="H22" s="303">
        <f t="shared" si="0"/>
        <v>16.95806</v>
      </c>
      <c r="I22" s="219">
        <f t="shared" si="0"/>
        <v>3.8108</v>
      </c>
      <c r="K22" s="312">
        <f t="shared" si="1"/>
        <v>2036</v>
      </c>
      <c r="L22" s="313">
        <f t="shared" si="2"/>
        <v>8784</v>
      </c>
      <c r="M22" s="214"/>
      <c r="N22" s="314">
        <f t="shared" si="3"/>
        <v>8784</v>
      </c>
      <c r="O22" s="315">
        <f t="shared" si="8"/>
        <v>10.845856102003642</v>
      </c>
      <c r="P22" s="314">
        <f t="shared" si="6"/>
        <v>3223.7280000000001</v>
      </c>
      <c r="Q22" s="315">
        <f t="shared" si="7"/>
        <v>5.2603879731788785</v>
      </c>
      <c r="R22" s="316">
        <f t="shared" si="4"/>
        <v>2125.7280000000001</v>
      </c>
      <c r="S22" s="210">
        <f t="shared" si="9"/>
        <v>1.7927034879344865</v>
      </c>
    </row>
    <row r="23" spans="1:19" x14ac:dyDescent="0.2">
      <c r="A23" s="216"/>
      <c r="B23" s="309">
        <f t="shared" si="5"/>
        <v>17</v>
      </c>
      <c r="C23" s="310">
        <f t="shared" si="10"/>
        <v>2037</v>
      </c>
      <c r="D23" s="302"/>
      <c r="E23" s="258">
        <v>95.27</v>
      </c>
      <c r="G23" s="311">
        <f t="shared" si="0"/>
        <v>95.27</v>
      </c>
      <c r="H23" s="303">
        <f t="shared" si="0"/>
        <v>16.95806</v>
      </c>
      <c r="I23" s="219">
        <f t="shared" si="0"/>
        <v>3.8108</v>
      </c>
      <c r="K23" s="312">
        <f t="shared" si="1"/>
        <v>2037</v>
      </c>
      <c r="L23" s="313">
        <f t="shared" si="2"/>
        <v>8760</v>
      </c>
      <c r="M23" s="214"/>
      <c r="N23" s="314">
        <f t="shared" si="3"/>
        <v>8760</v>
      </c>
      <c r="O23" s="315">
        <f t="shared" si="8"/>
        <v>10.875570776255708</v>
      </c>
      <c r="P23" s="314">
        <f t="shared" si="6"/>
        <v>3214.92</v>
      </c>
      <c r="Q23" s="315">
        <f t="shared" si="7"/>
        <v>5.274799995023205</v>
      </c>
      <c r="R23" s="316">
        <f t="shared" si="4"/>
        <v>2119.92</v>
      </c>
      <c r="S23" s="210">
        <f t="shared" si="9"/>
        <v>1.7976150043397865</v>
      </c>
    </row>
    <row r="24" spans="1:19" x14ac:dyDescent="0.2">
      <c r="A24" s="216"/>
      <c r="B24" s="309">
        <f t="shared" si="5"/>
        <v>18</v>
      </c>
      <c r="C24" s="310">
        <f t="shared" si="10"/>
        <v>2038</v>
      </c>
      <c r="D24" s="302"/>
      <c r="E24" s="259">
        <v>95.27</v>
      </c>
      <c r="G24" s="311">
        <f t="shared" si="0"/>
        <v>95.27</v>
      </c>
      <c r="H24" s="303">
        <f t="shared" si="0"/>
        <v>16.95806</v>
      </c>
      <c r="I24" s="219">
        <f t="shared" si="0"/>
        <v>3.8108</v>
      </c>
      <c r="K24" s="312">
        <f t="shared" si="1"/>
        <v>2038</v>
      </c>
      <c r="L24" s="313">
        <f t="shared" si="2"/>
        <v>8760</v>
      </c>
      <c r="M24" s="214"/>
      <c r="N24" s="314">
        <f t="shared" si="3"/>
        <v>8760</v>
      </c>
      <c r="O24" s="315">
        <f t="shared" si="8"/>
        <v>10.875570776255708</v>
      </c>
      <c r="P24" s="314">
        <f t="shared" si="6"/>
        <v>3214.92</v>
      </c>
      <c r="Q24" s="315">
        <f t="shared" si="7"/>
        <v>5.274799995023205</v>
      </c>
      <c r="R24" s="316">
        <f t="shared" si="4"/>
        <v>2119.92</v>
      </c>
      <c r="S24" s="210">
        <f t="shared" si="9"/>
        <v>1.7976150043397865</v>
      </c>
    </row>
    <row r="25" spans="1:19" x14ac:dyDescent="0.2">
      <c r="A25" s="216"/>
      <c r="B25" s="309">
        <f t="shared" si="5"/>
        <v>19</v>
      </c>
      <c r="C25" s="310">
        <f t="shared" si="10"/>
        <v>2039</v>
      </c>
      <c r="D25" s="302"/>
      <c r="E25" s="259">
        <v>95.27</v>
      </c>
      <c r="G25" s="311">
        <f t="shared" si="0"/>
        <v>95.27</v>
      </c>
      <c r="H25" s="303">
        <f t="shared" si="0"/>
        <v>16.95806</v>
      </c>
      <c r="I25" s="219">
        <f t="shared" si="0"/>
        <v>3.8108</v>
      </c>
      <c r="K25" s="312">
        <f t="shared" si="1"/>
        <v>2039</v>
      </c>
      <c r="L25" s="313">
        <f t="shared" si="2"/>
        <v>8760</v>
      </c>
      <c r="M25" s="214"/>
      <c r="N25" s="314">
        <f t="shared" si="3"/>
        <v>8760</v>
      </c>
      <c r="O25" s="315">
        <f t="shared" si="8"/>
        <v>10.875570776255708</v>
      </c>
      <c r="P25" s="314">
        <f t="shared" si="6"/>
        <v>3214.92</v>
      </c>
      <c r="Q25" s="315">
        <f t="shared" si="7"/>
        <v>5.274799995023205</v>
      </c>
      <c r="R25" s="316">
        <f t="shared" si="4"/>
        <v>2119.92</v>
      </c>
      <c r="S25" s="210">
        <f t="shared" si="9"/>
        <v>1.7976150043397865</v>
      </c>
    </row>
    <row r="26" spans="1:19" x14ac:dyDescent="0.2">
      <c r="A26" s="216"/>
      <c r="B26" s="309">
        <f t="shared" si="5"/>
        <v>20</v>
      </c>
      <c r="C26" s="310">
        <f t="shared" si="10"/>
        <v>2040</v>
      </c>
      <c r="D26" s="302"/>
      <c r="E26" s="259">
        <v>95.27</v>
      </c>
      <c r="G26" s="311">
        <f t="shared" si="0"/>
        <v>95.27</v>
      </c>
      <c r="H26" s="303">
        <f t="shared" si="0"/>
        <v>16.95806</v>
      </c>
      <c r="I26" s="219">
        <f t="shared" si="0"/>
        <v>3.8108</v>
      </c>
      <c r="K26" s="312">
        <f t="shared" si="1"/>
        <v>2040</v>
      </c>
      <c r="L26" s="313">
        <f t="shared" si="2"/>
        <v>8784</v>
      </c>
      <c r="M26" s="214"/>
      <c r="N26" s="314">
        <f t="shared" si="3"/>
        <v>8784</v>
      </c>
      <c r="O26" s="315">
        <f t="shared" si="8"/>
        <v>10.845856102003642</v>
      </c>
      <c r="P26" s="314">
        <f t="shared" si="6"/>
        <v>3223.7280000000001</v>
      </c>
      <c r="Q26" s="315">
        <f t="shared" si="7"/>
        <v>5.2603879731788785</v>
      </c>
      <c r="R26" s="316">
        <f t="shared" si="4"/>
        <v>2125.7280000000001</v>
      </c>
      <c r="S26" s="210">
        <f t="shared" si="9"/>
        <v>1.7927034879344865</v>
      </c>
    </row>
    <row r="27" spans="1:19" x14ac:dyDescent="0.2">
      <c r="A27" s="216"/>
      <c r="B27" s="309">
        <f t="shared" si="5"/>
        <v>21</v>
      </c>
      <c r="C27" s="310">
        <f t="shared" si="10"/>
        <v>2041</v>
      </c>
      <c r="D27" s="302"/>
      <c r="E27" s="259">
        <v>95.27</v>
      </c>
      <c r="G27" s="311">
        <f t="shared" si="0"/>
        <v>95.27</v>
      </c>
      <c r="H27" s="303">
        <f t="shared" si="0"/>
        <v>16.95806</v>
      </c>
      <c r="I27" s="219">
        <f t="shared" si="0"/>
        <v>3.8108</v>
      </c>
      <c r="K27" s="312">
        <f t="shared" si="1"/>
        <v>2041</v>
      </c>
      <c r="L27" s="313">
        <f t="shared" si="2"/>
        <v>8760</v>
      </c>
      <c r="M27" s="214"/>
      <c r="N27" s="314">
        <f t="shared" si="3"/>
        <v>8760</v>
      </c>
      <c r="O27" s="315">
        <f t="shared" si="8"/>
        <v>10.875570776255708</v>
      </c>
      <c r="P27" s="314">
        <f t="shared" si="6"/>
        <v>3214.92</v>
      </c>
      <c r="Q27" s="315">
        <f t="shared" si="7"/>
        <v>5.274799995023205</v>
      </c>
      <c r="R27" s="316">
        <f t="shared" si="4"/>
        <v>2119.92</v>
      </c>
      <c r="S27" s="210">
        <f t="shared" si="9"/>
        <v>1.7976150043397865</v>
      </c>
    </row>
    <row r="28" spans="1:19" ht="13.5" thickBot="1" x14ac:dyDescent="0.25">
      <c r="A28" s="216"/>
      <c r="B28" s="317">
        <f t="shared" si="5"/>
        <v>22</v>
      </c>
      <c r="C28" s="318">
        <f t="shared" si="10"/>
        <v>2042</v>
      </c>
      <c r="D28" s="319"/>
      <c r="E28" s="260">
        <v>95.27</v>
      </c>
      <c r="G28" s="320">
        <f>G27</f>
        <v>95.27</v>
      </c>
      <c r="H28" s="321">
        <f>H27</f>
        <v>16.95806</v>
      </c>
      <c r="I28" s="238">
        <f>I27</f>
        <v>3.8108</v>
      </c>
      <c r="J28" s="215"/>
      <c r="K28" s="322">
        <f t="shared" si="1"/>
        <v>2042</v>
      </c>
      <c r="L28" s="323">
        <f t="shared" si="2"/>
        <v>8760</v>
      </c>
      <c r="M28" s="215"/>
      <c r="N28" s="324">
        <f t="shared" si="3"/>
        <v>8760</v>
      </c>
      <c r="O28" s="325">
        <f t="shared" si="8"/>
        <v>10.875570776255708</v>
      </c>
      <c r="P28" s="324">
        <f t="shared" si="6"/>
        <v>3214.92</v>
      </c>
      <c r="Q28" s="325">
        <f t="shared" si="7"/>
        <v>5.274799995023205</v>
      </c>
      <c r="R28" s="326">
        <f t="shared" si="4"/>
        <v>2119.92</v>
      </c>
      <c r="S28" s="211">
        <f t="shared" si="9"/>
        <v>1.7976150043397865</v>
      </c>
    </row>
    <row r="29" spans="1:19" x14ac:dyDescent="0.2">
      <c r="B29" s="216"/>
      <c r="C29" s="216"/>
      <c r="D29" s="216"/>
      <c r="E29" s="216"/>
      <c r="G29" s="216"/>
      <c r="H29" s="216"/>
      <c r="I29" s="216"/>
    </row>
    <row r="30" spans="1:19" x14ac:dyDescent="0.2">
      <c r="B30" s="362" t="s">
        <v>120</v>
      </c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292"/>
    </row>
    <row r="31" spans="1:19" x14ac:dyDescent="0.2">
      <c r="B31" s="293"/>
      <c r="C31" s="363" t="s">
        <v>122</v>
      </c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293"/>
    </row>
    <row r="32" spans="1:19" x14ac:dyDescent="0.2">
      <c r="B32" s="293"/>
      <c r="C32" s="294" t="s">
        <v>123</v>
      </c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</row>
    <row r="33" spans="2:19" ht="12.75" customHeight="1" x14ac:dyDescent="0.2">
      <c r="B33" s="293"/>
      <c r="C33" s="362" t="s">
        <v>124</v>
      </c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</row>
    <row r="34" spans="2:19" x14ac:dyDescent="0.2">
      <c r="B34" s="295"/>
      <c r="C34" s="296" t="s">
        <v>125</v>
      </c>
      <c r="D34" s="297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3"/>
    </row>
    <row r="35" spans="2:19" x14ac:dyDescent="0.2">
      <c r="B35" s="293"/>
      <c r="C35" s="296" t="s">
        <v>126</v>
      </c>
      <c r="D35" s="298"/>
      <c r="E35" s="293"/>
      <c r="G35" s="293"/>
      <c r="H35" s="293"/>
      <c r="I35" s="293"/>
      <c r="K35" s="293"/>
      <c r="L35" s="293"/>
      <c r="N35" s="293"/>
      <c r="O35" s="293"/>
      <c r="P35" s="293"/>
      <c r="Q35" s="293"/>
      <c r="R35" s="293"/>
      <c r="S35" s="293"/>
    </row>
    <row r="36" spans="2:19" x14ac:dyDescent="0.2">
      <c r="D36" s="261"/>
    </row>
    <row r="37" spans="2:19" x14ac:dyDescent="0.2">
      <c r="C37" s="220"/>
      <c r="F37" s="213"/>
      <c r="J37" s="213"/>
      <c r="M37" s="213"/>
    </row>
    <row r="38" spans="2:19" x14ac:dyDescent="0.2">
      <c r="D38" s="217"/>
    </row>
    <row r="39" spans="2:19" x14ac:dyDescent="0.2">
      <c r="D39" s="217"/>
    </row>
    <row r="40" spans="2:19" x14ac:dyDescent="0.2">
      <c r="D40" s="217"/>
    </row>
    <row r="41" spans="2:19" x14ac:dyDescent="0.2">
      <c r="D41" s="217"/>
    </row>
    <row r="42" spans="2:19" x14ac:dyDescent="0.2">
      <c r="D42" s="217"/>
    </row>
    <row r="43" spans="2:19" x14ac:dyDescent="0.2">
      <c r="D43" s="217"/>
    </row>
    <row r="44" spans="2:19" x14ac:dyDescent="0.2">
      <c r="D44" s="217"/>
    </row>
    <row r="45" spans="2:19" x14ac:dyDescent="0.2">
      <c r="D45" s="217"/>
    </row>
  </sheetData>
  <customSheetViews>
    <customSheetView guid="{7616AFB9-3DAD-45EA-BAD3-1A4EF1124EEE}" scale="120" fitToPage="1" topLeftCell="D1">
      <selection activeCell="P7" sqref="P7"/>
      <pageMargins left="0.75" right="0.5" top="0.76" bottom="0.79" header="0.5" footer="0.26"/>
      <pageSetup paperSize="5" scale="73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scale="120" fitToPage="1" topLeftCell="D1">
      <selection activeCell="P7" sqref="P7"/>
      <pageMargins left="0.75" right="0.5" top="0.76" bottom="0.79" header="0.5" footer="0.26"/>
      <pageSetup paperSize="5" scale="73" orientation="landscape" r:id="rId2"/>
      <headerFooter alignWithMargins="0">
        <oddFooter>&amp;L&amp;F&amp;C&amp;A&amp;RPSE Advice No. 2018-48 &amp;D
Page &amp;P of &amp;N</oddFooter>
      </headerFooter>
    </customSheetView>
  </customSheetViews>
  <mergeCells count="8">
    <mergeCell ref="B30:R30"/>
    <mergeCell ref="C33:S33"/>
    <mergeCell ref="C31:R31"/>
    <mergeCell ref="G3:I3"/>
    <mergeCell ref="N3:S3"/>
    <mergeCell ref="K4:K6"/>
    <mergeCell ref="L4:L6"/>
    <mergeCell ref="D3:E3"/>
  </mergeCells>
  <pageMargins left="0.75" right="0.5" top="0.76" bottom="0.79" header="0.5" footer="0.26"/>
  <pageSetup paperSize="5" scale="73"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G21"/>
  <sheetViews>
    <sheetView workbookViewId="0">
      <selection activeCell="C35" sqref="C35"/>
    </sheetView>
  </sheetViews>
  <sheetFormatPr defaultColWidth="9.140625" defaultRowHeight="15" x14ac:dyDescent="0.25"/>
  <cols>
    <col min="1" max="1" width="2.7109375" style="76" customWidth="1"/>
    <col min="2" max="2" width="41.28515625" style="76" bestFit="1" customWidth="1"/>
    <col min="3" max="3" width="32.85546875" style="76" bestFit="1" customWidth="1"/>
    <col min="4" max="4" width="11.5703125" style="76" bestFit="1" customWidth="1"/>
    <col min="5" max="5" width="7.5703125" style="76" bestFit="1" customWidth="1"/>
    <col min="6" max="6" width="19.85546875" style="76" bestFit="1" customWidth="1"/>
    <col min="7" max="16384" width="9.140625" style="76"/>
  </cols>
  <sheetData>
    <row r="1" spans="2:6" ht="15.75" thickBot="1" x14ac:dyDescent="0.3"/>
    <row r="2" spans="2:6" x14ac:dyDescent="0.25">
      <c r="B2" s="77"/>
      <c r="C2" s="78"/>
      <c r="D2" s="78"/>
      <c r="E2" s="78"/>
      <c r="F2" s="79" t="s">
        <v>104</v>
      </c>
    </row>
    <row r="3" spans="2:6" x14ac:dyDescent="0.25">
      <c r="B3" s="80"/>
      <c r="C3" s="81"/>
      <c r="D3" s="81"/>
      <c r="E3" s="81"/>
      <c r="F3" s="82"/>
    </row>
    <row r="4" spans="2:6" x14ac:dyDescent="0.25">
      <c r="B4" s="372" t="s">
        <v>58</v>
      </c>
      <c r="C4" s="373"/>
      <c r="D4" s="373"/>
      <c r="E4" s="373"/>
      <c r="F4" s="375"/>
    </row>
    <row r="5" spans="2:6" x14ac:dyDescent="0.25">
      <c r="B5" s="372" t="s">
        <v>105</v>
      </c>
      <c r="C5" s="373"/>
      <c r="D5" s="373"/>
      <c r="E5" s="373"/>
      <c r="F5" s="375"/>
    </row>
    <row r="6" spans="2:6" x14ac:dyDescent="0.25">
      <c r="B6" s="372" t="s">
        <v>106</v>
      </c>
      <c r="C6" s="373"/>
      <c r="D6" s="373"/>
      <c r="E6" s="373"/>
      <c r="F6" s="374"/>
    </row>
    <row r="7" spans="2:6" x14ac:dyDescent="0.25">
      <c r="B7" s="372"/>
      <c r="C7" s="373"/>
      <c r="D7" s="373"/>
      <c r="E7" s="373"/>
      <c r="F7" s="374"/>
    </row>
    <row r="8" spans="2:6" x14ac:dyDescent="0.25">
      <c r="B8" s="84"/>
      <c r="C8" s="81"/>
      <c r="D8" s="81"/>
      <c r="E8" s="81"/>
      <c r="F8" s="85"/>
    </row>
    <row r="9" spans="2:6" x14ac:dyDescent="0.25">
      <c r="B9" s="84"/>
      <c r="C9" s="81"/>
      <c r="D9" s="81"/>
      <c r="E9" s="81"/>
      <c r="F9" s="85"/>
    </row>
    <row r="10" spans="2:6" x14ac:dyDescent="0.25">
      <c r="B10" s="83"/>
      <c r="C10" s="81"/>
      <c r="D10" s="81"/>
      <c r="E10" s="81"/>
      <c r="F10" s="86"/>
    </row>
    <row r="11" spans="2:6" x14ac:dyDescent="0.25">
      <c r="B11" s="84" t="s">
        <v>59</v>
      </c>
      <c r="C11" s="81"/>
      <c r="D11" s="87" t="s">
        <v>60</v>
      </c>
      <c r="E11" s="81"/>
      <c r="F11" s="88" t="s">
        <v>61</v>
      </c>
    </row>
    <row r="12" spans="2:6" ht="15.75" thickBot="1" x14ac:dyDescent="0.3">
      <c r="B12" s="89" t="s">
        <v>62</v>
      </c>
      <c r="C12" s="90" t="s">
        <v>63</v>
      </c>
      <c r="D12" s="91" t="s">
        <v>64</v>
      </c>
      <c r="E12" s="91" t="s">
        <v>65</v>
      </c>
      <c r="F12" s="92" t="s">
        <v>66</v>
      </c>
    </row>
    <row r="13" spans="2:6" x14ac:dyDescent="0.25">
      <c r="B13" s="83"/>
      <c r="C13" s="81"/>
      <c r="D13" s="81"/>
      <c r="E13" s="81"/>
      <c r="F13" s="86"/>
    </row>
    <row r="14" spans="2:6" x14ac:dyDescent="0.25">
      <c r="B14" s="93">
        <v>1</v>
      </c>
      <c r="C14" s="94" t="s">
        <v>67</v>
      </c>
      <c r="D14" s="95">
        <v>0.51500000000000001</v>
      </c>
      <c r="E14" s="95">
        <v>5.5E-2</v>
      </c>
      <c r="F14" s="96">
        <f>ROUND(D14*E14,4)</f>
        <v>2.8299999999999999E-2</v>
      </c>
    </row>
    <row r="15" spans="2:6" ht="15.75" thickBot="1" x14ac:dyDescent="0.3">
      <c r="B15" s="93">
        <v>2</v>
      </c>
      <c r="C15" s="94" t="s">
        <v>68</v>
      </c>
      <c r="D15" s="95">
        <v>0.48499999999999999</v>
      </c>
      <c r="E15" s="97">
        <v>9.4E-2</v>
      </c>
      <c r="F15" s="96">
        <f>ROUND(D15*E15,4)</f>
        <v>4.5600000000000002E-2</v>
      </c>
    </row>
    <row r="16" spans="2:6" x14ac:dyDescent="0.25">
      <c r="B16" s="93">
        <v>3</v>
      </c>
      <c r="C16" s="94" t="s">
        <v>69</v>
      </c>
      <c r="D16" s="98">
        <v>1</v>
      </c>
      <c r="E16" s="99"/>
      <c r="F16" s="109">
        <f>SUM(F14:F15)</f>
        <v>7.3899999999999993E-2</v>
      </c>
    </row>
    <row r="17" spans="2:7" x14ac:dyDescent="0.25">
      <c r="B17" s="93">
        <v>4</v>
      </c>
      <c r="C17" s="81"/>
      <c r="D17" s="81"/>
      <c r="E17" s="81"/>
      <c r="F17" s="86"/>
    </row>
    <row r="18" spans="2:7" x14ac:dyDescent="0.25">
      <c r="B18" s="93">
        <v>5</v>
      </c>
      <c r="C18" s="94" t="s">
        <v>70</v>
      </c>
      <c r="D18" s="100">
        <v>0.51500000000000001</v>
      </c>
      <c r="E18" s="100">
        <f>E14</f>
        <v>5.5E-2</v>
      </c>
      <c r="F18" s="101">
        <f>ROUND(D18*E18*0.79,4)</f>
        <v>2.24E-2</v>
      </c>
      <c r="G18" s="102"/>
    </row>
    <row r="19" spans="2:7" ht="15.75" thickBot="1" x14ac:dyDescent="0.3">
      <c r="B19" s="93">
        <v>6</v>
      </c>
      <c r="C19" s="94" t="s">
        <v>68</v>
      </c>
      <c r="D19" s="100">
        <v>0.48499999999999999</v>
      </c>
      <c r="E19" s="103">
        <f>E15</f>
        <v>9.4E-2</v>
      </c>
      <c r="F19" s="101">
        <f>ROUND(D19*E19,4)</f>
        <v>4.5600000000000002E-2</v>
      </c>
    </row>
    <row r="20" spans="2:7" x14ac:dyDescent="0.25">
      <c r="B20" s="93">
        <v>7</v>
      </c>
      <c r="C20" s="94" t="s">
        <v>71</v>
      </c>
      <c r="D20" s="104">
        <v>1</v>
      </c>
      <c r="E20" s="81"/>
      <c r="F20" s="105">
        <f>SUM(F18:F19)</f>
        <v>6.8000000000000005E-2</v>
      </c>
    </row>
    <row r="21" spans="2:7" ht="15.75" thickBot="1" x14ac:dyDescent="0.3">
      <c r="B21" s="106"/>
      <c r="C21" s="107"/>
      <c r="D21" s="107"/>
      <c r="E21" s="107"/>
      <c r="F21" s="108"/>
    </row>
  </sheetData>
  <customSheetViews>
    <customSheetView guid="{7616AFB9-3DAD-45EA-BAD3-1A4EF1124EEE}" fitToPage="1">
      <selection activeCell="C35" sqref="C35"/>
      <pageMargins left="0.75" right="0.5" top="0.76" bottom="0.79" header="0.5" footer="0.26"/>
      <pageSetup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>
      <selection activeCell="C35" sqref="C35"/>
      <pageMargins left="0.75" right="0.5" top="0.76" bottom="0.79" header="0.5" footer="0.26"/>
      <pageSetup orientation="landscape" r:id="rId2"/>
      <headerFooter alignWithMargins="0">
        <oddFooter>&amp;L&amp;F&amp;C&amp;A&amp;RPSE Advice No. 2018-48 &amp;D
Page &amp;P of &amp;N</oddFooter>
      </headerFooter>
    </customSheetView>
  </customSheetViews>
  <mergeCells count="4">
    <mergeCell ref="B6:F6"/>
    <mergeCell ref="B7:F7"/>
    <mergeCell ref="B4:F4"/>
    <mergeCell ref="B5:F5"/>
  </mergeCells>
  <pageMargins left="0.75" right="0.5" top="0.76" bottom="0.79" header="0.5" footer="0.26"/>
  <pageSetup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5"/>
  <sheetViews>
    <sheetView topLeftCell="A17" workbookViewId="0">
      <selection activeCell="B38" sqref="B38"/>
    </sheetView>
  </sheetViews>
  <sheetFormatPr defaultColWidth="9.140625" defaultRowHeight="15" x14ac:dyDescent="0.2"/>
  <cols>
    <col min="1" max="1" width="30.5703125" style="53" bestFit="1" customWidth="1"/>
    <col min="2" max="2" width="9.7109375" style="53" bestFit="1" customWidth="1"/>
    <col min="3" max="3" width="9.140625" style="53"/>
    <col min="4" max="4" width="11.5703125" style="53" bestFit="1" customWidth="1"/>
    <col min="5" max="5" width="9.7109375" style="53" bestFit="1" customWidth="1"/>
    <col min="6" max="16384" width="9.140625" style="53"/>
  </cols>
  <sheetData>
    <row r="3" spans="1:5" ht="15.75" x14ac:dyDescent="0.25">
      <c r="A3" s="5" t="s">
        <v>142</v>
      </c>
    </row>
    <row r="5" spans="1:5" ht="15.75" x14ac:dyDescent="0.25">
      <c r="B5" s="5" t="s">
        <v>143</v>
      </c>
      <c r="E5" s="5" t="s">
        <v>144</v>
      </c>
    </row>
    <row r="7" spans="1:5" x14ac:dyDescent="0.2">
      <c r="A7" s="53">
        <v>2021</v>
      </c>
      <c r="B7" s="130">
        <f>'Energy Prices'!P6</f>
        <v>22.85</v>
      </c>
      <c r="D7" s="53">
        <v>2020</v>
      </c>
      <c r="E7" s="53">
        <v>19.48</v>
      </c>
    </row>
    <row r="8" spans="1:5" x14ac:dyDescent="0.2">
      <c r="A8" s="53">
        <v>2022</v>
      </c>
      <c r="B8" s="130">
        <f>'Energy Prices'!P7</f>
        <v>21.19</v>
      </c>
      <c r="D8" s="53">
        <v>2021</v>
      </c>
      <c r="E8" s="53">
        <v>22.85</v>
      </c>
    </row>
    <row r="9" spans="1:5" x14ac:dyDescent="0.2">
      <c r="A9" s="53">
        <v>2023</v>
      </c>
      <c r="B9" s="130">
        <f>'Energy Prices'!P8</f>
        <v>20.53</v>
      </c>
      <c r="D9" s="53">
        <v>2022</v>
      </c>
      <c r="E9" s="53">
        <v>21.19</v>
      </c>
    </row>
    <row r="10" spans="1:5" x14ac:dyDescent="0.2">
      <c r="A10" s="53">
        <v>2024</v>
      </c>
      <c r="B10" s="130">
        <f>'Energy Prices'!P9</f>
        <v>19.79</v>
      </c>
      <c r="D10" s="53">
        <v>2023</v>
      </c>
      <c r="E10" s="53">
        <v>20.53</v>
      </c>
    </row>
    <row r="11" spans="1:5" x14ac:dyDescent="0.2">
      <c r="A11" s="53">
        <v>2025</v>
      </c>
      <c r="B11" s="130">
        <f>'Energy Prices'!P10</f>
        <v>19.75</v>
      </c>
      <c r="D11" s="53">
        <v>2024</v>
      </c>
      <c r="E11" s="53">
        <v>19.79</v>
      </c>
    </row>
    <row r="12" spans="1:5" x14ac:dyDescent="0.2">
      <c r="A12" s="53">
        <v>2026</v>
      </c>
      <c r="B12" s="130">
        <f>'Energy Prices'!P11</f>
        <v>19.97</v>
      </c>
      <c r="D12" s="53">
        <v>2025</v>
      </c>
      <c r="E12" s="53">
        <v>19.75</v>
      </c>
    </row>
    <row r="13" spans="1:5" x14ac:dyDescent="0.2">
      <c r="A13" s="53">
        <v>2027</v>
      </c>
      <c r="B13" s="130">
        <f>'Energy Prices'!P12</f>
        <v>23.19</v>
      </c>
      <c r="D13" s="53">
        <v>2026</v>
      </c>
      <c r="E13" s="53">
        <v>19.97</v>
      </c>
    </row>
    <row r="14" spans="1:5" x14ac:dyDescent="0.2">
      <c r="A14" s="53">
        <v>2028</v>
      </c>
      <c r="B14" s="130">
        <f>'Energy Prices'!P13</f>
        <v>24.42</v>
      </c>
      <c r="D14" s="53">
        <v>2027</v>
      </c>
      <c r="E14" s="53">
        <v>23.19</v>
      </c>
    </row>
    <row r="15" spans="1:5" x14ac:dyDescent="0.2">
      <c r="A15" s="53">
        <v>2029</v>
      </c>
      <c r="B15" s="130">
        <f>'Energy Prices'!P14</f>
        <v>25.44</v>
      </c>
      <c r="D15" s="53">
        <v>2028</v>
      </c>
      <c r="E15" s="53">
        <v>24.42</v>
      </c>
    </row>
    <row r="16" spans="1:5" x14ac:dyDescent="0.2">
      <c r="A16" s="53">
        <v>2030</v>
      </c>
      <c r="B16" s="130">
        <f>'Energy Prices'!P15</f>
        <v>25.05</v>
      </c>
      <c r="D16" s="53">
        <v>2029</v>
      </c>
      <c r="E16" s="53">
        <v>25.44</v>
      </c>
    </row>
    <row r="17" spans="1:5" x14ac:dyDescent="0.2">
      <c r="A17" s="53">
        <v>2031</v>
      </c>
      <c r="B17" s="130">
        <f>'Energy Prices'!P16</f>
        <v>24.78</v>
      </c>
      <c r="D17" s="53">
        <v>2030</v>
      </c>
      <c r="E17" s="53">
        <v>25.05</v>
      </c>
    </row>
    <row r="18" spans="1:5" x14ac:dyDescent="0.2">
      <c r="A18" s="53">
        <v>2032</v>
      </c>
      <c r="B18" s="130">
        <f>'Energy Prices'!P17</f>
        <v>25.38</v>
      </c>
      <c r="D18" s="53">
        <v>2031</v>
      </c>
      <c r="E18" s="53">
        <v>24.78</v>
      </c>
    </row>
    <row r="19" spans="1:5" x14ac:dyDescent="0.2">
      <c r="A19" s="53">
        <v>2033</v>
      </c>
      <c r="B19" s="130">
        <f>'Energy Prices'!P18</f>
        <v>26.69</v>
      </c>
      <c r="D19" s="53">
        <v>2032</v>
      </c>
      <c r="E19" s="53">
        <v>25.38</v>
      </c>
    </row>
    <row r="20" spans="1:5" x14ac:dyDescent="0.2">
      <c r="A20" s="53">
        <v>2034</v>
      </c>
      <c r="B20" s="130">
        <f>'Energy Prices'!P19</f>
        <v>27.4</v>
      </c>
      <c r="D20" s="53">
        <v>2033</v>
      </c>
      <c r="E20" s="53">
        <v>26.69</v>
      </c>
    </row>
    <row r="21" spans="1:5" x14ac:dyDescent="0.2">
      <c r="A21" s="53">
        <v>2035</v>
      </c>
      <c r="B21" s="130">
        <f>'Energy Prices'!P20</f>
        <v>28.25</v>
      </c>
      <c r="D21" s="53">
        <v>2034</v>
      </c>
      <c r="E21" s="53">
        <v>27.4</v>
      </c>
    </row>
    <row r="22" spans="1:5" x14ac:dyDescent="0.2">
      <c r="A22" s="53">
        <v>2036</v>
      </c>
      <c r="B22" s="130">
        <f>'Energy Prices'!P21</f>
        <v>29.71</v>
      </c>
      <c r="D22" s="53">
        <v>2035</v>
      </c>
      <c r="E22" s="53">
        <v>28.25</v>
      </c>
    </row>
    <row r="23" spans="1:5" x14ac:dyDescent="0.2">
      <c r="A23" s="53">
        <v>2037</v>
      </c>
      <c r="B23" s="130">
        <f>'Energy Prices'!P22</f>
        <v>29.43</v>
      </c>
      <c r="D23" s="53">
        <v>2036</v>
      </c>
      <c r="E23" s="53">
        <v>29.71</v>
      </c>
    </row>
    <row r="24" spans="1:5" x14ac:dyDescent="0.2">
      <c r="A24" s="53">
        <v>2038</v>
      </c>
      <c r="B24" s="130">
        <f>'Energy Prices'!P23</f>
        <v>29.33</v>
      </c>
      <c r="D24" s="53">
        <v>2037</v>
      </c>
      <c r="E24" s="53">
        <v>29.43</v>
      </c>
    </row>
    <row r="25" spans="1:5" x14ac:dyDescent="0.2">
      <c r="A25" s="53">
        <v>2039</v>
      </c>
      <c r="B25" s="130">
        <f>'Energy Prices'!P24</f>
        <v>29.12</v>
      </c>
      <c r="D25" s="53">
        <v>2038</v>
      </c>
      <c r="E25" s="53">
        <v>29.33</v>
      </c>
    </row>
    <row r="26" spans="1:5" x14ac:dyDescent="0.2">
      <c r="A26" s="53">
        <v>2040</v>
      </c>
      <c r="B26" s="130">
        <f>'Energy Prices'!P25</f>
        <v>29.38</v>
      </c>
      <c r="D26" s="53">
        <v>2039</v>
      </c>
      <c r="E26" s="53">
        <v>29.12</v>
      </c>
    </row>
    <row r="27" spans="1:5" ht="15.75" thickBot="1" x14ac:dyDescent="0.25">
      <c r="A27" s="53">
        <v>2041</v>
      </c>
      <c r="B27" s="130">
        <f>'Energy Prices'!P26</f>
        <v>30.39487115211346</v>
      </c>
      <c r="D27" s="53">
        <v>2040</v>
      </c>
      <c r="E27" s="53">
        <v>29.38</v>
      </c>
    </row>
    <row r="28" spans="1:5" ht="16.5" thickBot="1" x14ac:dyDescent="0.3">
      <c r="A28" s="5" t="s">
        <v>145</v>
      </c>
      <c r="B28" s="330">
        <f>-PMT(afdasfasdf,20,NPV(afdasfasdf,B7:B26))</f>
        <v>23.824071369256131</v>
      </c>
      <c r="E28" s="330">
        <f>-PMT(afdasfasdf,20,NPV(afdasfasdf,E7:E26))</f>
        <v>23.309665672276324</v>
      </c>
    </row>
    <row r="31" spans="1:5" ht="15.75" x14ac:dyDescent="0.25">
      <c r="A31" s="5" t="s">
        <v>146</v>
      </c>
    </row>
    <row r="32" spans="1:5" x14ac:dyDescent="0.2">
      <c r="A32" s="53" t="s">
        <v>147</v>
      </c>
      <c r="B32" s="127">
        <v>1</v>
      </c>
      <c r="E32" s="331">
        <v>1</v>
      </c>
    </row>
    <row r="33" spans="1:5" x14ac:dyDescent="0.2">
      <c r="A33" s="53" t="s">
        <v>43</v>
      </c>
      <c r="B33" s="331">
        <f>'Capacity Delivered'!H5</f>
        <v>0.17799999999999999</v>
      </c>
      <c r="E33" s="332">
        <v>0.16</v>
      </c>
    </row>
    <row r="34" spans="1:5" x14ac:dyDescent="0.2">
      <c r="A34" s="53" t="s">
        <v>44</v>
      </c>
      <c r="B34" s="333">
        <f>'Capacity Delivered'!I5</f>
        <v>0.04</v>
      </c>
      <c r="E34" s="331">
        <v>0.02</v>
      </c>
    </row>
    <row r="35" spans="1:5" x14ac:dyDescent="0.2">
      <c r="B35" s="333"/>
      <c r="E35" s="331"/>
    </row>
    <row r="36" spans="1:5" ht="15.75" x14ac:dyDescent="0.25">
      <c r="A36" s="5" t="s">
        <v>148</v>
      </c>
    </row>
    <row r="37" spans="1:5" x14ac:dyDescent="0.2">
      <c r="A37" s="53" t="s">
        <v>43</v>
      </c>
      <c r="B37" s="331">
        <f>'Capacity Delivered'!P5</f>
        <v>0.36699999999999999</v>
      </c>
      <c r="E37" s="332">
        <v>0.3</v>
      </c>
    </row>
    <row r="38" spans="1:5" x14ac:dyDescent="0.2">
      <c r="A38" s="53" t="s">
        <v>44</v>
      </c>
      <c r="B38" s="333">
        <f>'Capacity Delivered'!R5</f>
        <v>0.24199999999999999</v>
      </c>
      <c r="E38" s="331">
        <v>0.26</v>
      </c>
    </row>
    <row r="39" spans="1:5" x14ac:dyDescent="0.2">
      <c r="B39" s="333"/>
      <c r="E39" s="331"/>
    </row>
    <row r="40" spans="1:5" ht="15.75" x14ac:dyDescent="0.25">
      <c r="A40" s="5" t="s">
        <v>149</v>
      </c>
    </row>
    <row r="41" spans="1:5" x14ac:dyDescent="0.2">
      <c r="A41" s="53">
        <v>2021</v>
      </c>
      <c r="B41" s="113">
        <f>'Capacity Delivered'!E7</f>
        <v>95.27</v>
      </c>
      <c r="D41" s="53">
        <v>2020</v>
      </c>
      <c r="E41" s="113">
        <v>89</v>
      </c>
    </row>
    <row r="42" spans="1:5" x14ac:dyDescent="0.2">
      <c r="A42" s="53">
        <v>2022</v>
      </c>
      <c r="B42" s="113">
        <f>'Capacity Delivered'!E8</f>
        <v>95.27</v>
      </c>
      <c r="D42" s="53">
        <v>2021</v>
      </c>
      <c r="E42" s="113">
        <v>89</v>
      </c>
    </row>
    <row r="43" spans="1:5" x14ac:dyDescent="0.2">
      <c r="A43" s="53">
        <v>2023</v>
      </c>
      <c r="B43" s="113">
        <f>'Capacity Delivered'!E9</f>
        <v>95.27</v>
      </c>
      <c r="D43" s="53">
        <v>2022</v>
      </c>
      <c r="E43" s="113">
        <v>93</v>
      </c>
    </row>
    <row r="44" spans="1:5" x14ac:dyDescent="0.2">
      <c r="A44" s="53">
        <v>2024</v>
      </c>
      <c r="B44" s="113">
        <f>'Capacity Delivered'!E10</f>
        <v>95.27</v>
      </c>
      <c r="D44" s="53">
        <v>2023</v>
      </c>
      <c r="E44" s="113">
        <v>93</v>
      </c>
    </row>
    <row r="45" spans="1:5" x14ac:dyDescent="0.2">
      <c r="A45" s="53">
        <v>2025</v>
      </c>
      <c r="B45" s="113">
        <f>'Capacity Delivered'!E11</f>
        <v>95.27</v>
      </c>
      <c r="D45" s="53">
        <v>2024</v>
      </c>
      <c r="E45" s="113">
        <v>80</v>
      </c>
    </row>
    <row r="46" spans="1:5" x14ac:dyDescent="0.2">
      <c r="A46" s="53">
        <v>2026</v>
      </c>
      <c r="B46" s="113">
        <f>'Capacity Delivered'!E12</f>
        <v>95.27</v>
      </c>
      <c r="D46" s="53">
        <v>2025</v>
      </c>
      <c r="E46" s="113">
        <v>80</v>
      </c>
    </row>
    <row r="47" spans="1:5" x14ac:dyDescent="0.2">
      <c r="A47" s="53">
        <v>2027</v>
      </c>
      <c r="B47" s="113">
        <f>'Capacity Delivered'!E13</f>
        <v>95.27</v>
      </c>
      <c r="D47" s="53">
        <v>2026</v>
      </c>
      <c r="E47" s="113">
        <v>80.477938899565444</v>
      </c>
    </row>
    <row r="48" spans="1:5" x14ac:dyDescent="0.2">
      <c r="A48" s="53">
        <v>2028</v>
      </c>
      <c r="B48" s="113">
        <f>'Capacity Delivered'!E14</f>
        <v>95.27</v>
      </c>
      <c r="D48" s="53">
        <v>2027</v>
      </c>
      <c r="E48" s="113">
        <v>80.477938899565444</v>
      </c>
    </row>
    <row r="49" spans="1:5" x14ac:dyDescent="0.2">
      <c r="A49" s="53">
        <v>2029</v>
      </c>
      <c r="B49" s="113">
        <f>'Capacity Delivered'!E15</f>
        <v>95.27</v>
      </c>
      <c r="D49" s="53">
        <v>2028</v>
      </c>
      <c r="E49" s="113">
        <v>80.477938899565444</v>
      </c>
    </row>
    <row r="50" spans="1:5" x14ac:dyDescent="0.2">
      <c r="A50" s="53">
        <v>2030</v>
      </c>
      <c r="B50" s="113">
        <f>'Capacity Delivered'!E16</f>
        <v>95.27</v>
      </c>
      <c r="D50" s="53">
        <v>2029</v>
      </c>
      <c r="E50" s="113">
        <v>80.477938899565444</v>
      </c>
    </row>
    <row r="51" spans="1:5" x14ac:dyDescent="0.2">
      <c r="A51" s="53">
        <v>2031</v>
      </c>
      <c r="B51" s="113">
        <f>'Capacity Delivered'!E17</f>
        <v>95.27</v>
      </c>
      <c r="D51" s="53">
        <v>2030</v>
      </c>
      <c r="E51" s="113">
        <v>84.157096346974001</v>
      </c>
    </row>
    <row r="52" spans="1:5" x14ac:dyDescent="0.2">
      <c r="A52" s="53">
        <v>2032</v>
      </c>
      <c r="B52" s="113">
        <f>'Capacity Delivered'!E18</f>
        <v>95.27</v>
      </c>
      <c r="D52" s="53">
        <v>2031</v>
      </c>
      <c r="E52" s="113">
        <v>84.157096346974001</v>
      </c>
    </row>
    <row r="53" spans="1:5" x14ac:dyDescent="0.2">
      <c r="A53" s="53">
        <v>2033</v>
      </c>
      <c r="B53" s="113">
        <f>'Capacity Delivered'!E19</f>
        <v>95.27</v>
      </c>
      <c r="D53" s="53">
        <v>2032</v>
      </c>
      <c r="E53" s="113">
        <v>84.157096346974001</v>
      </c>
    </row>
    <row r="54" spans="1:5" x14ac:dyDescent="0.2">
      <c r="A54" s="53">
        <v>2034</v>
      </c>
      <c r="B54" s="113">
        <f>'Capacity Delivered'!E20</f>
        <v>95.27</v>
      </c>
      <c r="D54" s="53">
        <v>2033</v>
      </c>
      <c r="E54" s="113">
        <v>88.306829270347322</v>
      </c>
    </row>
    <row r="55" spans="1:5" x14ac:dyDescent="0.2">
      <c r="A55" s="53">
        <v>2035</v>
      </c>
      <c r="B55" s="113">
        <f>'Capacity Delivered'!E21</f>
        <v>95.27</v>
      </c>
      <c r="D55" s="53">
        <v>2034</v>
      </c>
      <c r="E55" s="113">
        <v>88.306829270347322</v>
      </c>
    </row>
    <row r="56" spans="1:5" x14ac:dyDescent="0.2">
      <c r="A56" s="53">
        <v>2036</v>
      </c>
      <c r="B56" s="113">
        <f>'Capacity Delivered'!E22</f>
        <v>95.27</v>
      </c>
      <c r="D56" s="53">
        <v>2035</v>
      </c>
      <c r="E56" s="113">
        <v>91.089450907608253</v>
      </c>
    </row>
    <row r="57" spans="1:5" x14ac:dyDescent="0.2">
      <c r="A57" s="53">
        <v>2037</v>
      </c>
      <c r="B57" s="113">
        <f>'Capacity Delivered'!E23</f>
        <v>95.27</v>
      </c>
      <c r="D57" s="53">
        <v>2036</v>
      </c>
      <c r="E57" s="113">
        <v>91.089450907608253</v>
      </c>
    </row>
    <row r="58" spans="1:5" x14ac:dyDescent="0.2">
      <c r="A58" s="53">
        <v>2038</v>
      </c>
      <c r="B58" s="113">
        <f>'Capacity Delivered'!E24</f>
        <v>95.27</v>
      </c>
      <c r="D58" s="53">
        <v>2037</v>
      </c>
      <c r="E58" s="113">
        <v>91.089450907608253</v>
      </c>
    </row>
    <row r="59" spans="1:5" x14ac:dyDescent="0.2">
      <c r="A59" s="53">
        <v>2039</v>
      </c>
      <c r="B59" s="113">
        <f>'Capacity Delivered'!E25</f>
        <v>95.27</v>
      </c>
      <c r="D59" s="53">
        <v>2038</v>
      </c>
      <c r="E59" s="113">
        <v>91.089450907608253</v>
      </c>
    </row>
    <row r="60" spans="1:5" x14ac:dyDescent="0.2">
      <c r="A60" s="53">
        <v>2040</v>
      </c>
      <c r="B60" s="113">
        <f>'Capacity Delivered'!E26</f>
        <v>95.27</v>
      </c>
      <c r="D60" s="53">
        <v>2039</v>
      </c>
      <c r="E60" s="113">
        <v>91.089450907608253</v>
      </c>
    </row>
    <row r="61" spans="1:5" x14ac:dyDescent="0.2">
      <c r="A61" s="53">
        <v>2041</v>
      </c>
      <c r="B61" s="113">
        <f>'Capacity Delivered'!E27</f>
        <v>95.27</v>
      </c>
      <c r="D61" s="53">
        <v>2040</v>
      </c>
      <c r="E61" s="113">
        <v>91.089450907608253</v>
      </c>
    </row>
    <row r="63" spans="1:5" ht="15.75" x14ac:dyDescent="0.25">
      <c r="A63" s="5" t="s">
        <v>150</v>
      </c>
      <c r="B63" s="113">
        <v>0</v>
      </c>
      <c r="E63" s="113">
        <v>0</v>
      </c>
    </row>
    <row r="65" spans="1:7" ht="15.75" x14ac:dyDescent="0.25">
      <c r="A65" s="5" t="s">
        <v>151</v>
      </c>
    </row>
    <row r="66" spans="1:7" x14ac:dyDescent="0.2">
      <c r="G66" s="113"/>
    </row>
    <row r="67" spans="1:7" ht="15.75" x14ac:dyDescent="0.25">
      <c r="A67" s="5"/>
    </row>
    <row r="68" spans="1:7" x14ac:dyDescent="0.2">
      <c r="A68" s="125"/>
      <c r="B68" s="334" t="s">
        <v>99</v>
      </c>
      <c r="C68" s="125"/>
      <c r="D68" s="129"/>
      <c r="E68" s="334" t="s">
        <v>99</v>
      </c>
    </row>
    <row r="69" spans="1:7" x14ac:dyDescent="0.2">
      <c r="A69" s="335" t="s">
        <v>93</v>
      </c>
      <c r="B69" s="336">
        <f>'Output - Summary'!F6</f>
        <v>30.853090393012806</v>
      </c>
      <c r="C69" s="129"/>
      <c r="D69" s="129"/>
      <c r="E69" s="336">
        <v>30.722770031202074</v>
      </c>
    </row>
    <row r="70" spans="1:7" x14ac:dyDescent="0.2">
      <c r="A70" s="335" t="s">
        <v>94</v>
      </c>
      <c r="B70" s="336">
        <f>'Output - Summary'!F7</f>
        <v>31.852497669631205</v>
      </c>
      <c r="C70" s="129"/>
      <c r="D70" s="129"/>
      <c r="E70" s="336">
        <v>30.891074216965336</v>
      </c>
    </row>
    <row r="71" spans="1:7" x14ac:dyDescent="0.2">
      <c r="A71" s="335" t="s">
        <v>92</v>
      </c>
      <c r="B71" s="336">
        <f>'Output - Summary'!F8</f>
        <v>32.781101110286649</v>
      </c>
      <c r="C71" s="129"/>
      <c r="D71" s="129"/>
      <c r="E71" s="336">
        <v>31.804755583649182</v>
      </c>
    </row>
    <row r="72" spans="1:7" x14ac:dyDescent="0.2">
      <c r="A72" s="125"/>
      <c r="B72" s="126"/>
      <c r="C72" s="337"/>
      <c r="D72" s="129"/>
      <c r="E72" s="126"/>
    </row>
    <row r="73" spans="1:7" x14ac:dyDescent="0.2">
      <c r="A73" s="129"/>
      <c r="B73" s="126"/>
      <c r="C73" s="337"/>
      <c r="D73" s="129"/>
      <c r="E73" s="126"/>
    </row>
    <row r="74" spans="1:7" x14ac:dyDescent="0.2">
      <c r="A74" s="129"/>
      <c r="B74" s="338"/>
      <c r="C74" s="129"/>
      <c r="D74" s="129"/>
      <c r="E74" s="338"/>
    </row>
    <row r="75" spans="1:7" x14ac:dyDescent="0.2">
      <c r="A75" s="125"/>
      <c r="B75" s="334" t="s">
        <v>99</v>
      </c>
      <c r="C75" s="125"/>
      <c r="D75" s="129"/>
      <c r="E75" s="334" t="s">
        <v>99</v>
      </c>
    </row>
    <row r="76" spans="1:7" x14ac:dyDescent="0.2">
      <c r="A76" s="335" t="s">
        <v>95</v>
      </c>
      <c r="B76" s="336">
        <f>'Output - Summary'!F13</f>
        <v>26.419750011835681</v>
      </c>
      <c r="C76" s="129"/>
      <c r="D76" s="129"/>
      <c r="E76" s="336">
        <v>26.434415896230934</v>
      </c>
    </row>
    <row r="77" spans="1:7" x14ac:dyDescent="0.2">
      <c r="A77" s="335" t="s">
        <v>96</v>
      </c>
      <c r="B77" s="336">
        <f>'Output - Summary'!F14</f>
        <v>27.363197025326624</v>
      </c>
      <c r="C77" s="129"/>
      <c r="D77" s="129"/>
      <c r="E77" s="336">
        <v>27.373728955800178</v>
      </c>
    </row>
    <row r="78" spans="1:7" x14ac:dyDescent="0.2">
      <c r="A78" s="129"/>
      <c r="B78" s="129"/>
      <c r="C78" s="129"/>
      <c r="D78" s="129"/>
      <c r="E78" s="129"/>
    </row>
    <row r="79" spans="1:7" x14ac:dyDescent="0.2">
      <c r="A79" s="129"/>
      <c r="B79" s="129"/>
      <c r="C79" s="129"/>
      <c r="D79" s="129"/>
      <c r="E79" s="129"/>
    </row>
    <row r="80" spans="1:7" x14ac:dyDescent="0.2">
      <c r="A80" s="129"/>
      <c r="B80" s="338"/>
      <c r="C80" s="129"/>
      <c r="D80" s="129"/>
      <c r="E80" s="338"/>
    </row>
    <row r="81" spans="1:6" x14ac:dyDescent="0.2">
      <c r="A81" s="125"/>
      <c r="B81" s="334" t="s">
        <v>99</v>
      </c>
      <c r="C81" s="125"/>
      <c r="D81" s="129"/>
      <c r="E81" s="334" t="s">
        <v>99</v>
      </c>
    </row>
    <row r="82" spans="1:6" x14ac:dyDescent="0.2">
      <c r="A82" s="335" t="s">
        <v>97</v>
      </c>
      <c r="B82" s="336">
        <f>'Output - Summary'!F19</f>
        <v>23.046880570872766</v>
      </c>
      <c r="C82" s="129"/>
      <c r="D82" s="129"/>
      <c r="E82" s="336">
        <v>22.075706110018164</v>
      </c>
    </row>
    <row r="83" spans="1:6" x14ac:dyDescent="0.2">
      <c r="A83" s="335" t="s">
        <v>98</v>
      </c>
      <c r="B83" s="336">
        <f>'Output - Summary'!F20</f>
        <v>23.999543074639565</v>
      </c>
      <c r="C83" s="129"/>
      <c r="D83" s="129"/>
      <c r="E83" s="336">
        <v>23.040087528563252</v>
      </c>
    </row>
    <row r="85" spans="1:6" ht="15.75" x14ac:dyDescent="0.25">
      <c r="A85" s="341" t="s">
        <v>152</v>
      </c>
      <c r="B85" s="340">
        <v>0</v>
      </c>
      <c r="C85" s="339"/>
      <c r="E85" s="332">
        <v>2.7E-2</v>
      </c>
      <c r="F85" s="53" t="s">
        <v>166</v>
      </c>
    </row>
  </sheetData>
  <customSheetViews>
    <customSheetView guid="{7616AFB9-3DAD-45EA-BAD3-1A4EF1124EEE}" topLeftCell="A17">
      <selection activeCell="B38" sqref="B38"/>
      <pageMargins left="0.7" right="0.7" top="0.75" bottom="0.75" header="0.3" footer="0.3"/>
      <pageSetup orientation="portrait" horizontalDpi="1200" verticalDpi="1200" r:id="rId1"/>
    </customSheetView>
    <customSheetView guid="{187E4F87-D02E-4E96-857A-1064DDCF8EA8}" topLeftCell="A17">
      <selection activeCell="B38" sqref="B38"/>
      <pageMargins left="0.7" right="0.7" top="0.75" bottom="0.75" header="0.3" footer="0.3"/>
      <pageSetup orientation="portrait" horizontalDpi="1200" verticalDpi="1200" r:id="rId2"/>
    </customSheetView>
  </customSheetViews>
  <pageMargins left="0.7" right="0.7" top="0.75" bottom="0.75" header="0.3" footer="0.3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2:AC41"/>
  <sheetViews>
    <sheetView tabSelected="1" workbookViewId="0">
      <selection activeCell="A17" sqref="A17"/>
    </sheetView>
  </sheetViews>
  <sheetFormatPr defaultColWidth="9.140625" defaultRowHeight="15" x14ac:dyDescent="0.2"/>
  <cols>
    <col min="1" max="1" width="2.7109375" style="53" customWidth="1"/>
    <col min="2" max="2" width="5" style="53" customWidth="1"/>
    <col min="3" max="3" width="46.7109375" style="53" customWidth="1"/>
    <col min="4" max="4" width="2.7109375" style="53" customWidth="1"/>
    <col min="5" max="22" width="12.7109375" style="53" customWidth="1"/>
    <col min="23" max="23" width="2.7109375" style="53" customWidth="1"/>
    <col min="24" max="28" width="12.28515625" style="53" customWidth="1"/>
    <col min="29" max="16384" width="9.140625" style="53"/>
  </cols>
  <sheetData>
    <row r="2" spans="2:29" ht="19.5" customHeight="1" x14ac:dyDescent="0.25">
      <c r="C2" s="209" t="s">
        <v>118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29" ht="15.75" x14ac:dyDescent="0.25">
      <c r="C3" s="42"/>
    </row>
    <row r="4" spans="2:29" ht="15.75" x14ac:dyDescent="0.25">
      <c r="C4" s="5" t="s">
        <v>101</v>
      </c>
      <c r="W4" s="40"/>
      <c r="X4" s="40"/>
      <c r="Y4" s="40"/>
      <c r="Z4" s="40"/>
    </row>
    <row r="5" spans="2:29" x14ac:dyDescent="0.2">
      <c r="B5" s="114"/>
      <c r="C5" s="114"/>
      <c r="D5" s="112"/>
      <c r="E5" s="114"/>
      <c r="F5" s="124" t="s">
        <v>99</v>
      </c>
      <c r="Y5" s="126"/>
      <c r="Z5" s="126"/>
      <c r="AC5" s="127"/>
    </row>
    <row r="6" spans="2:29" x14ac:dyDescent="0.2">
      <c r="B6" s="114"/>
      <c r="C6" s="205" t="s">
        <v>93</v>
      </c>
      <c r="D6" s="114"/>
      <c r="F6" s="156">
        <f>'Output - 5yr Baseload'!F9</f>
        <v>30.853090393012806</v>
      </c>
      <c r="H6" s="284"/>
      <c r="Y6" s="126"/>
      <c r="Z6" s="126"/>
      <c r="AC6" s="127"/>
    </row>
    <row r="7" spans="2:29" x14ac:dyDescent="0.2">
      <c r="B7" s="114"/>
      <c r="C7" s="205" t="s">
        <v>94</v>
      </c>
      <c r="D7" s="114"/>
      <c r="F7" s="156">
        <f>'Output - 10yr Baseload'!F9</f>
        <v>31.852497669631205</v>
      </c>
      <c r="H7" s="284"/>
      <c r="Y7" s="126"/>
      <c r="Z7" s="126"/>
      <c r="AC7" s="127"/>
    </row>
    <row r="8" spans="2:29" x14ac:dyDescent="0.2">
      <c r="C8" s="205" t="s">
        <v>92</v>
      </c>
      <c r="D8" s="114"/>
      <c r="F8" s="156">
        <f>'Output - 15yr Baseload'!F9</f>
        <v>32.781101110286649</v>
      </c>
      <c r="H8" s="284"/>
      <c r="Y8" s="120"/>
      <c r="Z8" s="120"/>
      <c r="AA8" s="119"/>
      <c r="AB8" s="114"/>
    </row>
    <row r="9" spans="2:29" x14ac:dyDescent="0.2">
      <c r="C9" s="125"/>
      <c r="E9" s="128"/>
      <c r="F9" s="126"/>
      <c r="H9" s="284"/>
      <c r="Y9" s="120"/>
      <c r="Z9" s="120"/>
      <c r="AA9" s="120"/>
    </row>
    <row r="10" spans="2:29" x14ac:dyDescent="0.2">
      <c r="C10" s="129"/>
      <c r="E10" s="128"/>
      <c r="F10" s="126"/>
      <c r="H10" s="284"/>
    </row>
    <row r="11" spans="2:29" x14ac:dyDescent="0.2">
      <c r="F11" s="204"/>
      <c r="H11" s="284"/>
    </row>
    <row r="12" spans="2:29" x14ac:dyDescent="0.2">
      <c r="C12" s="114"/>
      <c r="D12" s="112"/>
      <c r="E12" s="114"/>
      <c r="F12" s="124" t="s">
        <v>99</v>
      </c>
      <c r="H12" s="284"/>
    </row>
    <row r="13" spans="2:29" x14ac:dyDescent="0.2">
      <c r="C13" s="205" t="s">
        <v>95</v>
      </c>
      <c r="D13" s="114"/>
      <c r="F13" s="156">
        <f>'Output - 10yr Wind'!F9</f>
        <v>26.419750011835681</v>
      </c>
      <c r="H13" s="284"/>
    </row>
    <row r="14" spans="2:29" x14ac:dyDescent="0.2">
      <c r="C14" s="205" t="s">
        <v>96</v>
      </c>
      <c r="D14" s="114"/>
      <c r="F14" s="156">
        <f>'Output - 15yr Wind'!F9</f>
        <v>27.363197025326624</v>
      </c>
      <c r="H14" s="284"/>
    </row>
    <row r="15" spans="2:29" x14ac:dyDescent="0.2">
      <c r="H15" s="284"/>
    </row>
    <row r="16" spans="2:29" x14ac:dyDescent="0.2">
      <c r="H16" s="284"/>
    </row>
    <row r="17" spans="3:22" x14ac:dyDescent="0.2">
      <c r="F17" s="204"/>
      <c r="H17" s="284"/>
    </row>
    <row r="18" spans="3:22" x14ac:dyDescent="0.2">
      <c r="C18" s="114"/>
      <c r="D18" s="112"/>
      <c r="E18" s="114"/>
      <c r="F18" s="124" t="s">
        <v>99</v>
      </c>
      <c r="H18" s="284"/>
    </row>
    <row r="19" spans="3:22" x14ac:dyDescent="0.2">
      <c r="C19" s="205" t="s">
        <v>97</v>
      </c>
      <c r="D19" s="114"/>
      <c r="F19" s="156">
        <f>'Output - 10yr Solar'!F9</f>
        <v>23.046880570872766</v>
      </c>
      <c r="H19" s="284"/>
    </row>
    <row r="20" spans="3:22" x14ac:dyDescent="0.2">
      <c r="C20" s="205" t="s">
        <v>98</v>
      </c>
      <c r="D20" s="114"/>
      <c r="F20" s="156">
        <f>'Output - 15yr Solar'!F9</f>
        <v>23.999543074639565</v>
      </c>
      <c r="H20" s="284"/>
    </row>
    <row r="24" spans="3:22" ht="15.75" x14ac:dyDescent="0.25">
      <c r="C24" s="5" t="s">
        <v>100</v>
      </c>
    </row>
    <row r="25" spans="3:22" x14ac:dyDescent="0.2">
      <c r="F25" s="204">
        <v>1</v>
      </c>
      <c r="G25" s="204">
        <v>2</v>
      </c>
      <c r="H25" s="204">
        <v>3</v>
      </c>
      <c r="I25" s="204">
        <v>4</v>
      </c>
      <c r="J25" s="204">
        <v>5</v>
      </c>
      <c r="K25" s="204">
        <v>6</v>
      </c>
      <c r="L25" s="204">
        <v>7</v>
      </c>
      <c r="M25" s="204">
        <v>8</v>
      </c>
      <c r="N25" s="204">
        <v>9</v>
      </c>
      <c r="O25" s="204">
        <v>10</v>
      </c>
      <c r="P25" s="204">
        <v>11</v>
      </c>
      <c r="Q25" s="204">
        <v>12</v>
      </c>
      <c r="R25" s="204">
        <v>13</v>
      </c>
      <c r="S25" s="204">
        <v>14</v>
      </c>
      <c r="T25" s="204">
        <v>15</v>
      </c>
      <c r="U25" s="204">
        <v>16</v>
      </c>
      <c r="V25" s="204">
        <v>17</v>
      </c>
    </row>
    <row r="26" spans="3:22" x14ac:dyDescent="0.2">
      <c r="C26" s="290"/>
      <c r="D26" s="112"/>
      <c r="E26" s="114"/>
      <c r="F26" s="124">
        <f>'Energy Prices'!$C$6</f>
        <v>2021</v>
      </c>
      <c r="G26" s="124">
        <f>F26+1</f>
        <v>2022</v>
      </c>
      <c r="H26" s="124">
        <f>G26+1</f>
        <v>2023</v>
      </c>
      <c r="I26" s="124">
        <f t="shared" ref="I26:T26" si="0">H26+1</f>
        <v>2024</v>
      </c>
      <c r="J26" s="124">
        <f t="shared" si="0"/>
        <v>2025</v>
      </c>
      <c r="K26" s="124">
        <f t="shared" si="0"/>
        <v>2026</v>
      </c>
      <c r="L26" s="124">
        <f t="shared" si="0"/>
        <v>2027</v>
      </c>
      <c r="M26" s="124">
        <f t="shared" si="0"/>
        <v>2028</v>
      </c>
      <c r="N26" s="124">
        <f t="shared" si="0"/>
        <v>2029</v>
      </c>
      <c r="O26" s="124">
        <f t="shared" si="0"/>
        <v>2030</v>
      </c>
      <c r="P26" s="124">
        <f t="shared" si="0"/>
        <v>2031</v>
      </c>
      <c r="Q26" s="124">
        <f t="shared" si="0"/>
        <v>2032</v>
      </c>
      <c r="R26" s="124">
        <f t="shared" si="0"/>
        <v>2033</v>
      </c>
      <c r="S26" s="124">
        <f t="shared" si="0"/>
        <v>2034</v>
      </c>
      <c r="T26" s="124">
        <f t="shared" si="0"/>
        <v>2035</v>
      </c>
      <c r="U26" s="124">
        <f>T26+1</f>
        <v>2036</v>
      </c>
      <c r="V26" s="124">
        <f>U26+1</f>
        <v>2037</v>
      </c>
    </row>
    <row r="27" spans="3:22" x14ac:dyDescent="0.2">
      <c r="C27" s="205" t="s">
        <v>93</v>
      </c>
      <c r="D27" s="114"/>
      <c r="F27" s="156">
        <f>'Output - 5yr Baseload'!F13</f>
        <v>29.451899771588938</v>
      </c>
      <c r="G27" s="156">
        <f>'Output - 5yr Baseload'!G13</f>
        <v>30.188197265878657</v>
      </c>
      <c r="H27" s="156">
        <f>'Output - 5yr Baseload'!H13</f>
        <v>30.942902197525619</v>
      </c>
      <c r="I27" s="156">
        <f>'Output - 5yr Baseload'!I13</f>
        <v>31.716474752463757</v>
      </c>
      <c r="J27" s="156">
        <f>'Output - 5yr Baseload'!J13</f>
        <v>32.509386621275354</v>
      </c>
      <c r="K27" s="201">
        <f>'Output - 5yr Baseload'!K13</f>
        <v>33.322121286807231</v>
      </c>
      <c r="L27" s="201">
        <f>'Output - 5yr Baseload'!L13</f>
        <v>34.155174318977409</v>
      </c>
      <c r="M27" s="201"/>
      <c r="N27" s="201"/>
      <c r="O27" s="201"/>
      <c r="P27" s="201"/>
      <c r="Q27" s="201"/>
      <c r="R27" s="201"/>
      <c r="S27" s="201"/>
      <c r="T27" s="201"/>
      <c r="U27" s="201"/>
      <c r="V27" s="201"/>
    </row>
    <row r="28" spans="3:22" x14ac:dyDescent="0.2">
      <c r="C28" s="205" t="s">
        <v>94</v>
      </c>
      <c r="D28" s="114"/>
      <c r="F28" s="156">
        <f>'Output - 10yr Baseload'!F13</f>
        <v>28.844964319992343</v>
      </c>
      <c r="G28" s="156">
        <f>'Output - 10yr Baseload'!G13</f>
        <v>29.566088427992145</v>
      </c>
      <c r="H28" s="156">
        <f>'Output - 10yr Baseload'!H13</f>
        <v>30.305240638691945</v>
      </c>
      <c r="I28" s="156">
        <f>'Output - 10yr Baseload'!I13</f>
        <v>31.062871654659244</v>
      </c>
      <c r="J28" s="156">
        <f>'Output - 10yr Baseload'!J13</f>
        <v>31.839443446025722</v>
      </c>
      <c r="K28" s="156">
        <f>'Output - 10yr Baseload'!K13</f>
        <v>32.635429532176367</v>
      </c>
      <c r="L28" s="156">
        <f>'Output - 10yr Baseload'!L13</f>
        <v>33.451315270480769</v>
      </c>
      <c r="M28" s="156">
        <f>'Output - 10yr Baseload'!M13</f>
        <v>34.287598152242779</v>
      </c>
      <c r="N28" s="156">
        <f>'Output - 10yr Baseload'!N13</f>
        <v>35.14478810604885</v>
      </c>
      <c r="O28" s="156">
        <f>'Output - 10yr Baseload'!O13</f>
        <v>36.023407808700064</v>
      </c>
      <c r="P28" s="201">
        <f>'Output - 10yr Baseload'!P13</f>
        <v>36.923993003917559</v>
      </c>
      <c r="Q28" s="201">
        <f>'Output - 10yr Baseload'!Q13</f>
        <v>37.847092829015494</v>
      </c>
      <c r="R28" s="201"/>
      <c r="S28" s="201"/>
      <c r="T28" s="201"/>
      <c r="U28" s="201"/>
      <c r="V28" s="201"/>
    </row>
    <row r="29" spans="3:22" x14ac:dyDescent="0.2">
      <c r="C29" s="205" t="s">
        <v>92</v>
      </c>
      <c r="D29" s="114"/>
      <c r="F29" s="156">
        <f>'Output - 15yr Baseload'!F13</f>
        <v>28.326904720994751</v>
      </c>
      <c r="G29" s="157">
        <f>'Output - 15yr Baseload'!G13</f>
        <v>29.035077339019615</v>
      </c>
      <c r="H29" s="158">
        <f>'Output - 15yr Baseload'!H13</f>
        <v>29.760954272495102</v>
      </c>
      <c r="I29" s="158">
        <f>'Output - 15yr Baseload'!I13</f>
        <v>30.504978129307478</v>
      </c>
      <c r="J29" s="158">
        <f>'Output - 15yr Baseload'!J13</f>
        <v>31.267602582540164</v>
      </c>
      <c r="K29" s="158">
        <f>'Output - 15yr Baseload'!K13</f>
        <v>32.049292647103663</v>
      </c>
      <c r="L29" s="158">
        <f>'Output - 15yr Baseload'!L13</f>
        <v>32.850524963281252</v>
      </c>
      <c r="M29" s="158">
        <f>'Output - 15yr Baseload'!M13</f>
        <v>33.671788087363282</v>
      </c>
      <c r="N29" s="158">
        <f>'Output - 15yr Baseload'!N13</f>
        <v>34.513582789547357</v>
      </c>
      <c r="O29" s="158">
        <f>'Output - 15yr Baseload'!O13</f>
        <v>35.376422359286046</v>
      </c>
      <c r="P29" s="158">
        <f>'Output - 15yr Baseload'!P13</f>
        <v>36.260832918268186</v>
      </c>
      <c r="Q29" s="158">
        <f>'Output - 15yr Baseload'!Q13</f>
        <v>37.167353741224886</v>
      </c>
      <c r="R29" s="158">
        <f>'Output - 15yr Baseload'!R13</f>
        <v>38.096537584755502</v>
      </c>
      <c r="S29" s="158">
        <f>'Output - 15yr Baseload'!S13</f>
        <v>39.048951024374382</v>
      </c>
      <c r="T29" s="158">
        <f>'Output - 15yr Baseload'!T13</f>
        <v>40.025174799983745</v>
      </c>
      <c r="U29" s="201">
        <f>'Output - 15yr Baseload'!U13</f>
        <v>41.025804169983331</v>
      </c>
      <c r="V29" s="201">
        <f>'Output - 15yr Baseload'!V13</f>
        <v>42.051449274232908</v>
      </c>
    </row>
    <row r="30" spans="3:22" x14ac:dyDescent="0.2">
      <c r="C30" s="125"/>
      <c r="E30" s="128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</row>
    <row r="31" spans="3:22" x14ac:dyDescent="0.2">
      <c r="C31" s="129"/>
      <c r="E31" s="128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</row>
    <row r="32" spans="3:22" x14ac:dyDescent="0.2">
      <c r="F32" s="204">
        <v>1</v>
      </c>
      <c r="G32" s="204">
        <v>2</v>
      </c>
      <c r="H32" s="204">
        <v>3</v>
      </c>
      <c r="I32" s="204">
        <v>4</v>
      </c>
      <c r="J32" s="204">
        <v>5</v>
      </c>
      <c r="K32" s="204">
        <v>6</v>
      </c>
      <c r="L32" s="204">
        <v>7</v>
      </c>
      <c r="M32" s="204">
        <v>8</v>
      </c>
      <c r="N32" s="204">
        <v>9</v>
      </c>
      <c r="O32" s="204">
        <v>10</v>
      </c>
      <c r="P32" s="204">
        <v>11</v>
      </c>
      <c r="Q32" s="204">
        <v>12</v>
      </c>
      <c r="R32" s="204">
        <v>13</v>
      </c>
      <c r="S32" s="204">
        <v>14</v>
      </c>
      <c r="T32" s="204">
        <v>15</v>
      </c>
      <c r="U32" s="204">
        <v>16</v>
      </c>
      <c r="V32" s="204">
        <v>17</v>
      </c>
    </row>
    <row r="33" spans="3:22" x14ac:dyDescent="0.2">
      <c r="C33" s="114"/>
      <c r="D33" s="112"/>
      <c r="E33" s="114"/>
      <c r="F33" s="124">
        <f>'Energy Prices'!$C$6</f>
        <v>2021</v>
      </c>
      <c r="G33" s="124">
        <f>F33+1</f>
        <v>2022</v>
      </c>
      <c r="H33" s="124">
        <f>G33+1</f>
        <v>2023</v>
      </c>
      <c r="I33" s="124">
        <f t="shared" ref="I33" si="1">H33+1</f>
        <v>2024</v>
      </c>
      <c r="J33" s="124">
        <f t="shared" ref="J33" si="2">I33+1</f>
        <v>2025</v>
      </c>
      <c r="K33" s="124">
        <f t="shared" ref="K33" si="3">J33+1</f>
        <v>2026</v>
      </c>
      <c r="L33" s="124">
        <f t="shared" ref="L33" si="4">K33+1</f>
        <v>2027</v>
      </c>
      <c r="M33" s="124">
        <f t="shared" ref="M33" si="5">L33+1</f>
        <v>2028</v>
      </c>
      <c r="N33" s="124">
        <f t="shared" ref="N33" si="6">M33+1</f>
        <v>2029</v>
      </c>
      <c r="O33" s="124">
        <f t="shared" ref="O33" si="7">N33+1</f>
        <v>2030</v>
      </c>
      <c r="P33" s="124">
        <f t="shared" ref="P33" si="8">O33+1</f>
        <v>2031</v>
      </c>
      <c r="Q33" s="124">
        <f t="shared" ref="Q33" si="9">P33+1</f>
        <v>2032</v>
      </c>
      <c r="R33" s="124">
        <f t="shared" ref="R33" si="10">Q33+1</f>
        <v>2033</v>
      </c>
      <c r="S33" s="124">
        <f t="shared" ref="S33" si="11">R33+1</f>
        <v>2034</v>
      </c>
      <c r="T33" s="124">
        <f t="shared" ref="T33" si="12">S33+1</f>
        <v>2035</v>
      </c>
      <c r="U33" s="124">
        <f>T33+1</f>
        <v>2036</v>
      </c>
      <c r="V33" s="124">
        <f>U33+1</f>
        <v>2037</v>
      </c>
    </row>
    <row r="34" spans="3:22" x14ac:dyDescent="0.2">
      <c r="C34" s="205" t="s">
        <v>95</v>
      </c>
      <c r="D34" s="114"/>
      <c r="F34" s="156">
        <f>'Output - 10yr Wind'!F13</f>
        <v>23.925180195871935</v>
      </c>
      <c r="G34" s="156">
        <f>'Output - 10yr Wind'!G13</f>
        <v>24.523309700768731</v>
      </c>
      <c r="H34" s="156">
        <f>'Output - 10yr Wind'!H13</f>
        <v>25.136392443287946</v>
      </c>
      <c r="I34" s="156">
        <f>'Output - 10yr Wind'!I13</f>
        <v>25.764802254370142</v>
      </c>
      <c r="J34" s="156">
        <f>'Output - 10yr Wind'!J13</f>
        <v>26.408922310729395</v>
      </c>
      <c r="K34" s="156">
        <f>'Output - 10yr Wind'!K13</f>
        <v>27.06914536849763</v>
      </c>
      <c r="L34" s="156">
        <f>'Output - 10yr Wind'!L13</f>
        <v>27.745874002710067</v>
      </c>
      <c r="M34" s="156">
        <f>'Output - 10yr Wind'!M13</f>
        <v>28.439520852777811</v>
      </c>
      <c r="N34" s="156">
        <f>'Output - 10yr Wind'!N13</f>
        <v>29.150508874097255</v>
      </c>
      <c r="O34" s="156">
        <f>'Output - 10yr Wind'!O13</f>
        <v>29.879271595949682</v>
      </c>
      <c r="P34" s="201">
        <f>'Output - 10yr Wind'!P13</f>
        <v>30.626253385848422</v>
      </c>
      <c r="Q34" s="201">
        <f>'Output - 10yr Wind'!Q13</f>
        <v>31.391909720494631</v>
      </c>
      <c r="R34" s="201"/>
      <c r="S34" s="201"/>
      <c r="T34" s="201"/>
      <c r="U34" s="201"/>
      <c r="V34" s="201"/>
    </row>
    <row r="35" spans="3:22" x14ac:dyDescent="0.2">
      <c r="C35" s="205" t="s">
        <v>96</v>
      </c>
      <c r="D35" s="114"/>
      <c r="F35" s="156">
        <f>'Output - 15yr Wind'!F13</f>
        <v>23.645168976798182</v>
      </c>
      <c r="G35" s="157">
        <f>'Output - 15yr Wind'!G13</f>
        <v>24.236298201218133</v>
      </c>
      <c r="H35" s="158">
        <f>'Output - 15yr Wind'!H13</f>
        <v>24.842205656248584</v>
      </c>
      <c r="I35" s="158">
        <f>'Output - 15yr Wind'!I13</f>
        <v>25.463260797654797</v>
      </c>
      <c r="J35" s="158">
        <f>'Output - 15yr Wind'!J13</f>
        <v>26.099842317596163</v>
      </c>
      <c r="K35" s="158">
        <f>'Output - 15yr Wind'!K13</f>
        <v>26.752338375536066</v>
      </c>
      <c r="L35" s="158">
        <f>'Output - 15yr Wind'!L13</f>
        <v>27.421146834924464</v>
      </c>
      <c r="M35" s="158">
        <f>'Output - 15yr Wind'!M13</f>
        <v>28.106675505797575</v>
      </c>
      <c r="N35" s="158">
        <f>'Output - 15yr Wind'!N13</f>
        <v>28.80934239344251</v>
      </c>
      <c r="O35" s="158">
        <f>'Output - 15yr Wind'!O13</f>
        <v>29.52957595327857</v>
      </c>
      <c r="P35" s="158">
        <f>'Output - 15yr Wind'!P13</f>
        <v>30.267815352110532</v>
      </c>
      <c r="Q35" s="158">
        <f>'Output - 15yr Wind'!Q13</f>
        <v>31.024510735913289</v>
      </c>
      <c r="R35" s="158">
        <f>'Output - 15yr Wind'!R13</f>
        <v>31.800123504311117</v>
      </c>
      <c r="S35" s="158">
        <f>'Output - 15yr Wind'!S13</f>
        <v>32.595126591918891</v>
      </c>
      <c r="T35" s="158">
        <f>'Output - 15yr Wind'!T13</f>
        <v>33.410004756716859</v>
      </c>
      <c r="U35" s="201">
        <f>'Output - 15yr Wind'!U13</f>
        <v>34.245254875634778</v>
      </c>
      <c r="V35" s="201">
        <f>'Output - 15yr Wind'!V13</f>
        <v>35.101386247525646</v>
      </c>
    </row>
    <row r="38" spans="3:22" x14ac:dyDescent="0.2">
      <c r="F38" s="204">
        <v>1</v>
      </c>
      <c r="G38" s="204">
        <v>2</v>
      </c>
      <c r="H38" s="204">
        <v>3</v>
      </c>
      <c r="I38" s="204">
        <v>4</v>
      </c>
      <c r="J38" s="204">
        <v>5</v>
      </c>
      <c r="K38" s="204">
        <v>6</v>
      </c>
      <c r="L38" s="204">
        <v>7</v>
      </c>
      <c r="M38" s="204">
        <v>8</v>
      </c>
      <c r="N38" s="204">
        <v>9</v>
      </c>
      <c r="O38" s="204">
        <v>10</v>
      </c>
      <c r="P38" s="204">
        <v>11</v>
      </c>
      <c r="Q38" s="204">
        <v>12</v>
      </c>
      <c r="R38" s="204">
        <v>13</v>
      </c>
      <c r="S38" s="204">
        <v>14</v>
      </c>
      <c r="T38" s="204">
        <v>15</v>
      </c>
      <c r="U38" s="204">
        <v>16</v>
      </c>
      <c r="V38" s="204">
        <v>17</v>
      </c>
    </row>
    <row r="39" spans="3:22" x14ac:dyDescent="0.2">
      <c r="C39" s="114"/>
      <c r="D39" s="112"/>
      <c r="E39" s="114"/>
      <c r="F39" s="124">
        <f>'Energy Prices'!$C$6</f>
        <v>2021</v>
      </c>
      <c r="G39" s="124">
        <f>F39+1</f>
        <v>2022</v>
      </c>
      <c r="H39" s="124">
        <f>G39+1</f>
        <v>2023</v>
      </c>
      <c r="I39" s="124">
        <f t="shared" ref="I39" si="13">H39+1</f>
        <v>2024</v>
      </c>
      <c r="J39" s="124">
        <f t="shared" ref="J39" si="14">I39+1</f>
        <v>2025</v>
      </c>
      <c r="K39" s="124">
        <f t="shared" ref="K39" si="15">J39+1</f>
        <v>2026</v>
      </c>
      <c r="L39" s="124">
        <f t="shared" ref="L39" si="16">K39+1</f>
        <v>2027</v>
      </c>
      <c r="M39" s="124">
        <f t="shared" ref="M39" si="17">L39+1</f>
        <v>2028</v>
      </c>
      <c r="N39" s="124">
        <f t="shared" ref="N39" si="18">M39+1</f>
        <v>2029</v>
      </c>
      <c r="O39" s="124">
        <f t="shared" ref="O39" si="19">N39+1</f>
        <v>2030</v>
      </c>
      <c r="P39" s="124">
        <f t="shared" ref="P39" si="20">O39+1</f>
        <v>2031</v>
      </c>
      <c r="Q39" s="124">
        <f t="shared" ref="Q39" si="21">P39+1</f>
        <v>2032</v>
      </c>
      <c r="R39" s="124">
        <f t="shared" ref="R39" si="22">Q39+1</f>
        <v>2033</v>
      </c>
      <c r="S39" s="124">
        <f t="shared" ref="S39" si="23">R39+1</f>
        <v>2034</v>
      </c>
      <c r="T39" s="124">
        <f t="shared" ref="T39" si="24">S39+1</f>
        <v>2035</v>
      </c>
      <c r="U39" s="124">
        <f>T39+1</f>
        <v>2036</v>
      </c>
      <c r="V39" s="124">
        <f>U39+1</f>
        <v>2037</v>
      </c>
    </row>
    <row r="40" spans="3:22" x14ac:dyDescent="0.2">
      <c r="C40" s="205" t="s">
        <v>97</v>
      </c>
      <c r="D40" s="114"/>
      <c r="F40" s="156">
        <f>'Output - 10yr Solar'!F13</f>
        <v>20.87077926035829</v>
      </c>
      <c r="G40" s="156">
        <f>'Output - 10yr Solar'!G13</f>
        <v>21.392548741867245</v>
      </c>
      <c r="H40" s="156">
        <f>'Output - 10yr Solar'!H13</f>
        <v>21.927362460413921</v>
      </c>
      <c r="I40" s="156">
        <f>'Output - 10yr Solar'!I13</f>
        <v>22.475546521924269</v>
      </c>
      <c r="J40" s="156">
        <f>'Output - 10yr Solar'!J13</f>
        <v>23.037435184972374</v>
      </c>
      <c r="K40" s="156">
        <f>'Output - 10yr Solar'!K13</f>
        <v>23.613371064596681</v>
      </c>
      <c r="L40" s="156">
        <f>'Output - 10yr Solar'!L13</f>
        <v>24.203705341211595</v>
      </c>
      <c r="M40" s="156">
        <f>'Output - 10yr Solar'!M13</f>
        <v>24.808797974741879</v>
      </c>
      <c r="N40" s="156">
        <f>'Output - 10yr Solar'!N13</f>
        <v>25.429017924110425</v>
      </c>
      <c r="O40" s="156">
        <f>'Output - 10yr Solar'!O13</f>
        <v>26.064743372213183</v>
      </c>
      <c r="P40" s="201">
        <f>'Output - 10yr Solar'!P13</f>
        <v>26.716361956518512</v>
      </c>
      <c r="Q40" s="201">
        <f>'Output - 10yr Solar'!Q13</f>
        <v>27.384271005431472</v>
      </c>
      <c r="R40" s="201"/>
      <c r="S40" s="201"/>
      <c r="T40" s="201"/>
      <c r="U40" s="201"/>
      <c r="V40" s="201"/>
    </row>
    <row r="41" spans="3:22" x14ac:dyDescent="0.2">
      <c r="C41" s="205" t="s">
        <v>98</v>
      </c>
      <c r="D41" s="114"/>
      <c r="F41" s="156">
        <f>'Output - 15yr Solar'!F13</f>
        <v>20.738558101984992</v>
      </c>
      <c r="G41" s="157">
        <f>'Output - 15yr Solar'!G13</f>
        <v>21.257022054534612</v>
      </c>
      <c r="H41" s="158">
        <f>'Output - 15yr Solar'!H13</f>
        <v>21.788447605897975</v>
      </c>
      <c r="I41" s="158">
        <f>'Output - 15yr Solar'!I13</f>
        <v>22.333158796045424</v>
      </c>
      <c r="J41" s="158">
        <f>'Output - 15yr Solar'!J13</f>
        <v>22.891487765946557</v>
      </c>
      <c r="K41" s="158">
        <f>'Output - 15yr Solar'!K13</f>
        <v>23.463774960095218</v>
      </c>
      <c r="L41" s="158">
        <f>'Output - 15yr Solar'!L13</f>
        <v>24.050369334097596</v>
      </c>
      <c r="M41" s="158">
        <f>'Output - 15yr Solar'!M13</f>
        <v>24.651628567450036</v>
      </c>
      <c r="N41" s="158">
        <f>'Output - 15yr Solar'!N13</f>
        <v>25.267919281636285</v>
      </c>
      <c r="O41" s="158">
        <f>'Output - 15yr Solar'!O13</f>
        <v>25.89961726367719</v>
      </c>
      <c r="P41" s="158">
        <f>'Output - 15yr Solar'!P13</f>
        <v>26.547107695269116</v>
      </c>
      <c r="Q41" s="158">
        <f>'Output - 15yr Solar'!Q13</f>
        <v>27.210785387650837</v>
      </c>
      <c r="R41" s="158">
        <f>'Output - 15yr Solar'!R13</f>
        <v>27.891055022342108</v>
      </c>
      <c r="S41" s="158">
        <f>'Output - 15yr Solar'!S13</f>
        <v>28.588331397900657</v>
      </c>
      <c r="T41" s="158">
        <f>'Output - 15yr Solar'!T13</f>
        <v>29.303039682848169</v>
      </c>
      <c r="U41" s="201">
        <f>'Output - 15yr Solar'!U13</f>
        <v>30.03561567491937</v>
      </c>
      <c r="V41" s="201">
        <f>'Output - 15yr Solar'!V13</f>
        <v>30.786506066792352</v>
      </c>
    </row>
  </sheetData>
  <customSheetViews>
    <customSheetView guid="{7616AFB9-3DAD-45EA-BAD3-1A4EF1124EEE}" fitToPage="1">
      <selection activeCell="A17" sqref="A17"/>
      <pageMargins left="0.75" right="0.5" top="0.76" bottom="0.79" header="0.5" footer="0.26"/>
      <pageSetup scale="36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 topLeftCell="A11">
      <selection activeCell="A17" sqref="A17"/>
      <pageMargins left="0.75" right="0.5" top="0.76" bottom="0.79" header="0.5" footer="0.26"/>
      <pageSetup scale="36" orientation="landscape" r:id="rId2"/>
      <headerFooter alignWithMargins="0">
        <oddFooter>&amp;L&amp;F&amp;C&amp;A&amp;RPSE Advice No. 2018-48 &amp;D
Page &amp;P of &amp;N</oddFooter>
      </headerFooter>
    </customSheetView>
  </customSheetViews>
  <pageMargins left="0.75" right="0.5" top="0.76" bottom="0.79" header="0.5" footer="0.26"/>
  <pageSetup scale="36" orientation="landscape" r:id="rId3"/>
  <headerFooter alignWithMargins="0">
    <oddFooter>&amp;L&amp;F&amp;C&amp;A&amp;RPSE Advice No. 2018-48 &amp;D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2:AC40"/>
  <sheetViews>
    <sheetView topLeftCell="A6" workbookViewId="0">
      <selection activeCell="F20" sqref="F20"/>
    </sheetView>
  </sheetViews>
  <sheetFormatPr defaultColWidth="9.140625" defaultRowHeight="15" x14ac:dyDescent="0.2"/>
  <cols>
    <col min="1" max="1" width="2.7109375" style="53" customWidth="1"/>
    <col min="2" max="2" width="5" style="53" customWidth="1"/>
    <col min="3" max="3" width="46.7109375" style="53" customWidth="1"/>
    <col min="4" max="4" width="2.7109375" style="53" customWidth="1"/>
    <col min="5" max="22" width="12.7109375" style="53" customWidth="1"/>
    <col min="23" max="23" width="2.7109375" style="53" customWidth="1"/>
    <col min="24" max="25" width="12.7109375" style="53" customWidth="1"/>
    <col min="26" max="29" width="12.28515625" style="53" customWidth="1"/>
    <col min="30" max="16384" width="9.140625" style="53"/>
  </cols>
  <sheetData>
    <row r="2" spans="2:29" ht="19.5" customHeight="1" x14ac:dyDescent="0.25">
      <c r="C2" s="209" t="s">
        <v>84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29" ht="15.75" x14ac:dyDescent="0.25">
      <c r="C3" s="42" t="s">
        <v>85</v>
      </c>
    </row>
    <row r="4" spans="2:29" s="111" customFormat="1" ht="45" x14ac:dyDescent="0.2">
      <c r="B4" s="110"/>
      <c r="C4" s="145" t="s">
        <v>0</v>
      </c>
      <c r="D4" s="145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5</v>
      </c>
      <c r="J4" s="145" t="s">
        <v>6</v>
      </c>
      <c r="K4" s="145" t="s">
        <v>7</v>
      </c>
      <c r="L4" s="146" t="s">
        <v>14</v>
      </c>
      <c r="M4" s="146"/>
    </row>
    <row r="5" spans="2:29" x14ac:dyDescent="0.2">
      <c r="C5" s="148"/>
      <c r="D5" s="149"/>
      <c r="E5" s="150">
        <v>5</v>
      </c>
      <c r="F5" s="266">
        <f>+'Capacity Delivered'!$G$5</f>
        <v>1</v>
      </c>
      <c r="G5" s="151" t="s">
        <v>8</v>
      </c>
      <c r="H5" s="152">
        <f>'Electric EES CE Std Energy'!D13</f>
        <v>2.0931738907262656E-2</v>
      </c>
      <c r="I5" s="153">
        <f>'Baseload Avoided Capacity Calcs'!Y11</f>
        <v>1.0875570776255705E-2</v>
      </c>
      <c r="J5" s="153">
        <f>H5+I5</f>
        <v>3.1807309683518359E-2</v>
      </c>
      <c r="K5" s="154">
        <f>J5</f>
        <v>3.1807309683518359E-2</v>
      </c>
      <c r="L5" s="155">
        <f>K5*1000</f>
        <v>31.807309683518358</v>
      </c>
      <c r="M5" s="139"/>
    </row>
    <row r="6" spans="2:29" x14ac:dyDescent="0.2">
      <c r="C6" s="147"/>
      <c r="D6" s="147"/>
      <c r="E6" s="114"/>
      <c r="F6" s="114"/>
      <c r="G6" s="114"/>
      <c r="H6" s="32">
        <f>H5*1000</f>
        <v>20.931738907262655</v>
      </c>
      <c r="I6" s="32">
        <f t="shared" ref="I6:K6" si="0">I5*1000</f>
        <v>10.875570776255705</v>
      </c>
      <c r="J6" s="32">
        <f t="shared" si="0"/>
        <v>31.807309683518358</v>
      </c>
      <c r="K6" s="32">
        <f t="shared" si="0"/>
        <v>31.807309683518358</v>
      </c>
      <c r="L6" s="116">
        <f>L5*(1-M6)</f>
        <v>30.853090393012806</v>
      </c>
      <c r="M6" s="221">
        <v>0.03</v>
      </c>
      <c r="N6" s="117" t="s">
        <v>37</v>
      </c>
    </row>
    <row r="7" spans="2:29" x14ac:dyDescent="0.2">
      <c r="C7" s="118"/>
      <c r="D7" s="115"/>
      <c r="H7" s="40"/>
      <c r="I7" s="113"/>
      <c r="J7" s="40"/>
      <c r="K7" s="113"/>
      <c r="L7" s="113"/>
      <c r="M7" s="114"/>
    </row>
    <row r="8" spans="2:29" x14ac:dyDescent="0.2">
      <c r="C8" s="114"/>
      <c r="D8" s="114"/>
      <c r="E8" s="114"/>
      <c r="F8" s="114"/>
      <c r="G8" s="114"/>
      <c r="H8" s="119"/>
      <c r="I8" s="119"/>
      <c r="J8" s="119"/>
      <c r="K8" s="119"/>
      <c r="L8" s="119"/>
      <c r="M8" s="119"/>
      <c r="N8" s="119"/>
      <c r="O8" s="119"/>
      <c r="P8" s="119"/>
      <c r="S8" s="119"/>
      <c r="T8" s="119"/>
      <c r="U8" s="120"/>
      <c r="V8" s="120"/>
      <c r="X8" s="199" t="s">
        <v>74</v>
      </c>
      <c r="Y8" s="119"/>
      <c r="Z8" s="120"/>
      <c r="AA8" s="120"/>
      <c r="AB8" s="119"/>
      <c r="AC8" s="114"/>
    </row>
    <row r="9" spans="2:29" x14ac:dyDescent="0.2">
      <c r="C9" s="121" t="s">
        <v>9</v>
      </c>
      <c r="D9" s="121"/>
      <c r="E9" s="121"/>
      <c r="F9" s="122">
        <f>+L6</f>
        <v>30.853090393012806</v>
      </c>
      <c r="G9" s="122">
        <f t="shared" ref="G9:J9" si="1">F9</f>
        <v>30.853090393012806</v>
      </c>
      <c r="H9" s="122">
        <f t="shared" si="1"/>
        <v>30.853090393012806</v>
      </c>
      <c r="I9" s="122">
        <f t="shared" si="1"/>
        <v>30.853090393012806</v>
      </c>
      <c r="J9" s="122">
        <f t="shared" si="1"/>
        <v>30.853090393012806</v>
      </c>
      <c r="K9" s="119"/>
      <c r="L9" s="119"/>
      <c r="M9" s="119"/>
      <c r="N9" s="119"/>
      <c r="O9" s="120"/>
      <c r="P9" s="40"/>
      <c r="S9" s="40"/>
      <c r="T9" s="40"/>
      <c r="U9" s="40"/>
      <c r="X9" s="198">
        <f>NPV(Rate_of_Return,F9:J9)</f>
        <v>125.19366333600416</v>
      </c>
      <c r="Y9" s="198">
        <f>-PMT(Rate_of_Return,E5,X9)</f>
        <v>30.853090393012796</v>
      </c>
    </row>
    <row r="10" spans="2:29" x14ac:dyDescent="0.2">
      <c r="C10" s="114"/>
      <c r="D10" s="114"/>
      <c r="E10" s="114"/>
      <c r="F10" s="123"/>
      <c r="G10" s="123"/>
      <c r="H10" s="123"/>
      <c r="I10" s="123"/>
      <c r="J10" s="123"/>
      <c r="K10" s="119"/>
      <c r="L10" s="119"/>
      <c r="M10" s="119"/>
      <c r="N10" s="119"/>
      <c r="O10" s="120"/>
      <c r="P10" s="40"/>
      <c r="S10" s="40"/>
      <c r="T10" s="40"/>
      <c r="U10" s="40"/>
      <c r="X10" s="32"/>
      <c r="Y10" s="32"/>
    </row>
    <row r="11" spans="2:29" x14ac:dyDescent="0.2">
      <c r="C11" s="53" t="s">
        <v>56</v>
      </c>
      <c r="F11" s="204">
        <v>1</v>
      </c>
      <c r="G11" s="204">
        <v>2</v>
      </c>
      <c r="H11" s="204">
        <v>3</v>
      </c>
      <c r="I11" s="204">
        <v>4</v>
      </c>
      <c r="J11" s="204">
        <v>5</v>
      </c>
      <c r="K11" s="204">
        <v>6</v>
      </c>
      <c r="L11" s="204">
        <v>7</v>
      </c>
      <c r="M11" s="119"/>
      <c r="N11" s="119"/>
      <c r="O11" s="120"/>
      <c r="P11" s="40"/>
      <c r="S11" s="40"/>
      <c r="T11" s="40"/>
      <c r="U11" s="40"/>
      <c r="X11" s="40"/>
      <c r="Y11" s="40"/>
    </row>
    <row r="12" spans="2:29" x14ac:dyDescent="0.2">
      <c r="C12" s="114"/>
      <c r="D12" s="112"/>
      <c r="E12" s="114"/>
      <c r="F12" s="124">
        <f>'Energy Prices'!$C$6</f>
        <v>2021</v>
      </c>
      <c r="G12" s="124">
        <f>F12+1</f>
        <v>2022</v>
      </c>
      <c r="H12" s="124">
        <f>G12+1</f>
        <v>2023</v>
      </c>
      <c r="I12" s="124">
        <f t="shared" ref="I12:L12" si="2">H12+1</f>
        <v>2024</v>
      </c>
      <c r="J12" s="124">
        <f t="shared" si="2"/>
        <v>2025</v>
      </c>
      <c r="K12" s="124">
        <f t="shared" si="2"/>
        <v>2026</v>
      </c>
      <c r="L12" s="124">
        <f t="shared" si="2"/>
        <v>2027</v>
      </c>
      <c r="M12" s="119"/>
      <c r="N12" s="119"/>
      <c r="O12" s="120"/>
      <c r="P12" s="202"/>
      <c r="S12" s="120"/>
      <c r="T12" s="120"/>
      <c r="U12" s="120"/>
      <c r="X12" s="199" t="s">
        <v>74</v>
      </c>
      <c r="Y12" s="32"/>
    </row>
    <row r="13" spans="2:29" ht="52.9" customHeight="1" x14ac:dyDescent="0.2">
      <c r="B13" s="114"/>
      <c r="C13" s="205" t="s">
        <v>91</v>
      </c>
      <c r="D13" s="114"/>
      <c r="F13" s="156">
        <f>F$9*F$20</f>
        <v>29.451899771588938</v>
      </c>
      <c r="G13" s="157">
        <f t="shared" ref="G13:J13" si="3">G$9*G$20</f>
        <v>30.188197265878657</v>
      </c>
      <c r="H13" s="158">
        <f t="shared" si="3"/>
        <v>30.942902197525619</v>
      </c>
      <c r="I13" s="158">
        <f t="shared" si="3"/>
        <v>31.716474752463757</v>
      </c>
      <c r="J13" s="158">
        <f t="shared" si="3"/>
        <v>32.509386621275354</v>
      </c>
      <c r="K13" s="201">
        <f>J13*1.025</f>
        <v>33.322121286807231</v>
      </c>
      <c r="L13" s="201">
        <f>K13*1.025</f>
        <v>34.155174318977409</v>
      </c>
      <c r="M13" s="119"/>
      <c r="N13" s="119"/>
      <c r="O13" s="120"/>
      <c r="P13" s="126"/>
      <c r="S13" s="126"/>
      <c r="T13" s="126"/>
      <c r="U13" s="126"/>
      <c r="X13" s="198">
        <f>NPV(Rate_of_Return,F13:J13)</f>
        <v>125.19366333600419</v>
      </c>
      <c r="Y13" s="198">
        <f>-PMT(Rate_of_Return,E5,X13)</f>
        <v>30.853090393012806</v>
      </c>
    </row>
    <row r="14" spans="2:29" x14ac:dyDescent="0.2">
      <c r="C14" s="125"/>
      <c r="E14" s="128"/>
      <c r="F14" s="126"/>
      <c r="G14" s="126"/>
      <c r="H14" s="126"/>
      <c r="I14" s="126"/>
      <c r="J14" s="126"/>
      <c r="K14" s="119"/>
      <c r="L14" s="119"/>
      <c r="M14" s="119"/>
      <c r="N14" s="119"/>
      <c r="O14" s="120"/>
      <c r="P14" s="126"/>
      <c r="S14" s="120"/>
      <c r="T14" s="120"/>
      <c r="U14" s="120"/>
      <c r="V14" s="119"/>
      <c r="W14" s="114"/>
      <c r="X14" s="120"/>
      <c r="Y14" s="120"/>
    </row>
    <row r="15" spans="2:29" x14ac:dyDescent="0.2">
      <c r="C15" s="129"/>
      <c r="E15" s="128"/>
      <c r="F15" s="126"/>
      <c r="G15" s="126"/>
      <c r="H15" s="126"/>
      <c r="I15" s="126"/>
      <c r="J15" s="126"/>
      <c r="K15" s="119"/>
      <c r="L15" s="119"/>
      <c r="M15" s="119"/>
      <c r="N15" s="119"/>
      <c r="O15" s="120"/>
      <c r="P15" s="126"/>
      <c r="S15" s="120"/>
      <c r="T15" s="120"/>
      <c r="U15" s="120"/>
      <c r="V15" s="120"/>
      <c r="X15" s="120"/>
      <c r="Y15" s="120"/>
    </row>
    <row r="16" spans="2:29" x14ac:dyDescent="0.2">
      <c r="C16" s="53" t="s">
        <v>10</v>
      </c>
      <c r="K16" s="119"/>
      <c r="L16" s="119"/>
      <c r="M16" s="119"/>
      <c r="N16" s="119"/>
      <c r="O16" s="120"/>
    </row>
    <row r="17" spans="2:25" x14ac:dyDescent="0.2">
      <c r="K17" s="119"/>
      <c r="L17" s="119"/>
      <c r="M17" s="119"/>
      <c r="N17" s="119"/>
      <c r="O17" s="120"/>
    </row>
    <row r="18" spans="2:25" x14ac:dyDescent="0.2">
      <c r="C18" s="114"/>
      <c r="D18" s="114"/>
      <c r="E18" s="114"/>
      <c r="F18" s="114"/>
      <c r="G18" s="114"/>
      <c r="H18" s="114"/>
      <c r="I18" s="114"/>
      <c r="J18" s="114"/>
      <c r="K18" s="119"/>
      <c r="L18" s="119"/>
      <c r="M18" s="119"/>
      <c r="N18" s="119"/>
      <c r="O18" s="120"/>
      <c r="X18" s="199" t="s">
        <v>74</v>
      </c>
      <c r="Y18" s="114"/>
    </row>
    <row r="19" spans="2:25" x14ac:dyDescent="0.2">
      <c r="C19" s="121" t="s">
        <v>11</v>
      </c>
      <c r="D19" s="121"/>
      <c r="E19" s="121"/>
      <c r="F19" s="140">
        <v>100</v>
      </c>
      <c r="G19" s="140">
        <f t="shared" ref="G19:J19" si="4">F19*1.025</f>
        <v>102.49999999999999</v>
      </c>
      <c r="H19" s="140">
        <f t="shared" si="4"/>
        <v>105.06249999999997</v>
      </c>
      <c r="I19" s="140">
        <f t="shared" si="4"/>
        <v>107.68906249999996</v>
      </c>
      <c r="J19" s="140">
        <f t="shared" si="4"/>
        <v>110.38128906249996</v>
      </c>
      <c r="K19" s="119"/>
      <c r="L19" s="119"/>
      <c r="M19" s="119"/>
      <c r="N19" s="119"/>
      <c r="O19" s="120"/>
      <c r="P19" s="130"/>
      <c r="S19" s="120"/>
      <c r="T19" s="120"/>
      <c r="U19" s="120"/>
      <c r="X19" s="160">
        <f>NPV(Rate_of_Return,F19:J19)</f>
        <v>425.07839666347598</v>
      </c>
      <c r="Y19" s="160">
        <f>-PMT(Rate_of_Return,E5,X19)</f>
        <v>104.75755598888578</v>
      </c>
    </row>
    <row r="20" spans="2:25" x14ac:dyDescent="0.2">
      <c r="C20" s="143" t="s">
        <v>12</v>
      </c>
      <c r="D20" s="143"/>
      <c r="E20" s="143"/>
      <c r="F20" s="144">
        <f>F19/$Y$19</f>
        <v>0.95458508034121625</v>
      </c>
      <c r="G20" s="144">
        <f>G19/$Y$19</f>
        <v>0.97844970734974657</v>
      </c>
      <c r="H20" s="144">
        <f>H19/$Y$19</f>
        <v>1.0029109500334901</v>
      </c>
      <c r="I20" s="144">
        <f>I19/$Y$19</f>
        <v>1.0279837237843272</v>
      </c>
      <c r="J20" s="144">
        <f>J19/$Y$19</f>
        <v>1.0536833168789355</v>
      </c>
      <c r="K20" s="119"/>
      <c r="L20" s="119"/>
      <c r="M20" s="119"/>
      <c r="N20" s="119"/>
      <c r="O20" s="120"/>
      <c r="P20" s="131"/>
      <c r="S20" s="120"/>
      <c r="T20" s="120"/>
      <c r="U20" s="120"/>
      <c r="X20" s="159">
        <f>NPV(Rate_of_Return,F20:J20)</f>
        <v>4.0577349543031964</v>
      </c>
      <c r="Y20" s="159">
        <f>-PMT(Rate_of_Return,E5,X20)</f>
        <v>1</v>
      </c>
    </row>
    <row r="21" spans="2:25" x14ac:dyDescent="0.2">
      <c r="C21" s="114"/>
      <c r="D21" s="114"/>
      <c r="E21" s="141"/>
      <c r="F21" s="141"/>
      <c r="G21" s="141"/>
      <c r="H21" s="141"/>
      <c r="I21" s="141"/>
      <c r="J21" s="141"/>
      <c r="K21" s="141"/>
      <c r="L21" s="141"/>
      <c r="M21" s="142"/>
      <c r="N21" s="142"/>
      <c r="O21" s="142"/>
      <c r="P21" s="119"/>
      <c r="S21" s="119"/>
      <c r="T21" s="119"/>
      <c r="U21" s="120"/>
      <c r="W21" s="114"/>
      <c r="X21" s="119"/>
      <c r="Y21" s="119"/>
    </row>
    <row r="22" spans="2:25" x14ac:dyDescent="0.2">
      <c r="B22" s="132" t="s">
        <v>13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Y22" s="129"/>
    </row>
    <row r="23" spans="2:25" x14ac:dyDescent="0.2">
      <c r="B23" s="135">
        <v>1</v>
      </c>
      <c r="C23" s="263" t="s">
        <v>113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Y23" s="125"/>
    </row>
    <row r="24" spans="2:25" x14ac:dyDescent="0.2">
      <c r="B24" s="135">
        <v>2</v>
      </c>
      <c r="C24" s="134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Y24" s="126"/>
    </row>
    <row r="25" spans="2:25" x14ac:dyDescent="0.2">
      <c r="B25" s="135">
        <v>3</v>
      </c>
      <c r="C25" s="134" t="s">
        <v>45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Y25" s="136"/>
    </row>
    <row r="26" spans="2:25" x14ac:dyDescent="0.2">
      <c r="B26" s="135">
        <v>4</v>
      </c>
      <c r="C26" s="134" t="s">
        <v>119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Y26" s="136"/>
    </row>
    <row r="27" spans="2:25" x14ac:dyDescent="0.2">
      <c r="B27" s="135">
        <v>5</v>
      </c>
      <c r="C27" s="134" t="s">
        <v>79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Y27" s="125"/>
    </row>
    <row r="28" spans="2:25" x14ac:dyDescent="0.2">
      <c r="B28" s="135">
        <v>6</v>
      </c>
      <c r="C28" s="134" t="s">
        <v>80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Y28" s="126"/>
    </row>
    <row r="29" spans="2:25" x14ac:dyDescent="0.2">
      <c r="B29" s="135">
        <v>7</v>
      </c>
      <c r="C29" s="134" t="s">
        <v>81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2:25" x14ac:dyDescent="0.2">
      <c r="B30" s="135">
        <v>8</v>
      </c>
      <c r="C30" s="134" t="s">
        <v>51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25" x14ac:dyDescent="0.2">
      <c r="B31" s="135">
        <v>9</v>
      </c>
      <c r="C31" s="134" t="s">
        <v>82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25" x14ac:dyDescent="0.2">
      <c r="B32" s="135">
        <v>10</v>
      </c>
      <c r="C32" s="53" t="s">
        <v>83</v>
      </c>
    </row>
    <row r="33" spans="2:20" x14ac:dyDescent="0.2">
      <c r="B33" s="135">
        <v>11</v>
      </c>
      <c r="C33" s="53" t="s">
        <v>102</v>
      </c>
    </row>
    <row r="34" spans="2:20" ht="15.75" x14ac:dyDescent="0.25">
      <c r="B34" s="137"/>
      <c r="C34" s="5"/>
      <c r="D34" s="5"/>
      <c r="E34" s="5"/>
      <c r="F34" s="5"/>
    </row>
    <row r="35" spans="2:20" ht="15.75" x14ac:dyDescent="0.25">
      <c r="B35" s="137"/>
      <c r="C35" s="5"/>
      <c r="D35" s="5"/>
      <c r="E35" s="5"/>
      <c r="F35" s="5"/>
    </row>
    <row r="37" spans="2:20" x14ac:dyDescent="0.2">
      <c r="F37" s="120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</row>
    <row r="38" spans="2:20" x14ac:dyDescent="0.2"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</row>
    <row r="39" spans="2:20" x14ac:dyDescent="0.2"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</row>
    <row r="40" spans="2:20" x14ac:dyDescent="0.2">
      <c r="D40" s="130"/>
    </row>
  </sheetData>
  <customSheetViews>
    <customSheetView guid="{7616AFB9-3DAD-45EA-BAD3-1A4EF1124EEE}" fitToPage="1" topLeftCell="A6">
      <selection activeCell="F20" sqref="F20"/>
      <pageMargins left="0.75" right="0.5" top="0.76" bottom="0.79" header="0.5" footer="0.26"/>
      <pageSetup scale="35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 topLeftCell="A6">
      <selection activeCell="F20" sqref="F20"/>
      <pageMargins left="0.75" right="0.5" top="0.76" bottom="0.79" header="0.5" footer="0.26"/>
      <pageSetup scale="35" orientation="landscape" r:id="rId2"/>
      <headerFooter alignWithMargins="0">
        <oddFooter>&amp;L&amp;F&amp;C&amp;A&amp;RPSE Advice No. 2018-48 &amp;D
Page &amp;P of &amp;N</oddFooter>
      </headerFooter>
    </customSheetView>
  </customSheetViews>
  <dataValidations count="3">
    <dataValidation type="list" allowBlank="1" showInputMessage="1" showErrorMessage="1" sqref="E5">
      <formula1>"1,2,3,4,5,6,7,8,9,10,11,12,13,14,15,16,17,18,19,20,21,22,23,24,25,26,27,28,29,30"</formula1>
    </dataValidation>
    <dataValidation type="list" allowBlank="1" showInputMessage="1" showErrorMessage="1" sqref="G5">
      <formula1>MeasureList</formula1>
    </dataValidation>
    <dataValidation type="decimal" operator="greaterThan" allowBlank="1" showInputMessage="1" showErrorMessage="1" sqref="C5:D5">
      <formula1>0</formula1>
    </dataValidation>
  </dataValidations>
  <pageMargins left="0.75" right="0.5" top="0.76" bottom="0.79" header="0.5" footer="0.26"/>
  <pageSetup scale="35" orientation="landscape" r:id="rId3"/>
  <headerFooter alignWithMargins="0">
    <oddFooter>&amp;L&amp;F&amp;C&amp;A&amp;RPSE Advice No. 2018-48 &amp;D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2:AD40"/>
  <sheetViews>
    <sheetView workbookViewId="0">
      <selection activeCell="C26" sqref="C26"/>
    </sheetView>
  </sheetViews>
  <sheetFormatPr defaultColWidth="9.140625" defaultRowHeight="15" x14ac:dyDescent="0.2"/>
  <cols>
    <col min="1" max="1" width="2.7109375" style="53" customWidth="1"/>
    <col min="2" max="2" width="5" style="53" customWidth="1"/>
    <col min="3" max="3" width="46.7109375" style="53" customWidth="1"/>
    <col min="4" max="4" width="2.7109375" style="53" customWidth="1"/>
    <col min="5" max="22" width="12.7109375" style="53" customWidth="1"/>
    <col min="23" max="23" width="2.7109375" style="53" customWidth="1"/>
    <col min="24" max="25" width="12.7109375" style="53" customWidth="1"/>
    <col min="26" max="29" width="12.28515625" style="53" customWidth="1"/>
    <col min="30" max="16384" width="9.140625" style="53"/>
  </cols>
  <sheetData>
    <row r="2" spans="2:30" ht="19.5" customHeight="1" x14ac:dyDescent="0.25">
      <c r="C2" s="209" t="s">
        <v>84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30" ht="15.75" x14ac:dyDescent="0.25">
      <c r="C3" s="42" t="s">
        <v>85</v>
      </c>
    </row>
    <row r="4" spans="2:30" s="111" customFormat="1" ht="45" x14ac:dyDescent="0.2">
      <c r="B4" s="110"/>
      <c r="C4" s="145" t="s">
        <v>0</v>
      </c>
      <c r="D4" s="145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5</v>
      </c>
      <c r="J4" s="145" t="s">
        <v>6</v>
      </c>
      <c r="K4" s="145" t="s">
        <v>7</v>
      </c>
      <c r="L4" s="146" t="s">
        <v>14</v>
      </c>
      <c r="M4" s="146"/>
    </row>
    <row r="5" spans="2:30" x14ac:dyDescent="0.2">
      <c r="C5" s="148"/>
      <c r="D5" s="149"/>
      <c r="E5" s="150">
        <v>10</v>
      </c>
      <c r="F5" s="266">
        <f>+'Capacity Delivered'!$G$5</f>
        <v>1</v>
      </c>
      <c r="G5" s="151" t="s">
        <v>8</v>
      </c>
      <c r="H5" s="152">
        <f>'Electric EES CE Std Energy'!D18</f>
        <v>2.1962055687281625E-2</v>
      </c>
      <c r="I5" s="153">
        <f>'Baseload Avoided Capacity Calcs'!Y16</f>
        <v>1.0875570776255703E-2</v>
      </c>
      <c r="J5" s="153">
        <f>H5+I5</f>
        <v>3.2837626463537328E-2</v>
      </c>
      <c r="K5" s="154">
        <f>J5</f>
        <v>3.2837626463537328E-2</v>
      </c>
      <c r="L5" s="155">
        <f>K5*1000</f>
        <v>32.837626463537326</v>
      </c>
      <c r="M5" s="139"/>
    </row>
    <row r="6" spans="2:30" x14ac:dyDescent="0.2">
      <c r="C6" s="147"/>
      <c r="D6" s="147"/>
      <c r="E6" s="114"/>
      <c r="F6" s="114"/>
      <c r="G6" s="114"/>
      <c r="H6" s="32">
        <f>H5*1000</f>
        <v>21.962055687281627</v>
      </c>
      <c r="I6" s="32">
        <f t="shared" ref="I6:K6" si="0">I5*1000</f>
        <v>10.875570776255703</v>
      </c>
      <c r="J6" s="32">
        <f t="shared" si="0"/>
        <v>32.837626463537326</v>
      </c>
      <c r="K6" s="32">
        <f t="shared" si="0"/>
        <v>32.837626463537326</v>
      </c>
      <c r="L6" s="116">
        <f>L5*(1-M6)</f>
        <v>31.852497669631205</v>
      </c>
      <c r="M6" s="221">
        <v>0.03</v>
      </c>
      <c r="N6" s="117" t="s">
        <v>37</v>
      </c>
    </row>
    <row r="7" spans="2:30" x14ac:dyDescent="0.2">
      <c r="C7" s="118"/>
      <c r="D7" s="115"/>
      <c r="H7" s="40"/>
      <c r="I7" s="113"/>
      <c r="J7" s="40"/>
      <c r="K7" s="113"/>
      <c r="L7" s="113"/>
      <c r="M7" s="114"/>
    </row>
    <row r="8" spans="2:30" x14ac:dyDescent="0.2">
      <c r="C8" s="114"/>
      <c r="D8" s="114"/>
      <c r="E8" s="114"/>
      <c r="F8" s="114"/>
      <c r="G8" s="114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U8" s="120"/>
      <c r="V8" s="120"/>
      <c r="X8" s="199" t="s">
        <v>74</v>
      </c>
      <c r="Y8" s="120"/>
      <c r="Z8" s="120"/>
      <c r="AA8" s="120"/>
      <c r="AB8" s="119"/>
      <c r="AC8" s="114"/>
    </row>
    <row r="9" spans="2:30" x14ac:dyDescent="0.2">
      <c r="C9" s="121" t="s">
        <v>9</v>
      </c>
      <c r="D9" s="121"/>
      <c r="E9" s="121"/>
      <c r="F9" s="122">
        <f>+L6</f>
        <v>31.852497669631205</v>
      </c>
      <c r="G9" s="122">
        <f t="shared" ref="G9:O9" si="1">F9</f>
        <v>31.852497669631205</v>
      </c>
      <c r="H9" s="122">
        <f t="shared" si="1"/>
        <v>31.852497669631205</v>
      </c>
      <c r="I9" s="122">
        <f t="shared" si="1"/>
        <v>31.852497669631205</v>
      </c>
      <c r="J9" s="122">
        <f t="shared" si="1"/>
        <v>31.852497669631205</v>
      </c>
      <c r="K9" s="122">
        <f t="shared" si="1"/>
        <v>31.852497669631205</v>
      </c>
      <c r="L9" s="122">
        <f t="shared" si="1"/>
        <v>31.852497669631205</v>
      </c>
      <c r="M9" s="122">
        <f t="shared" si="1"/>
        <v>31.852497669631205</v>
      </c>
      <c r="N9" s="122">
        <f t="shared" si="1"/>
        <v>31.852497669631205</v>
      </c>
      <c r="O9" s="122">
        <f t="shared" si="1"/>
        <v>31.852497669631205</v>
      </c>
      <c r="P9" s="119"/>
      <c r="Q9" s="119"/>
      <c r="R9" s="119"/>
      <c r="U9" s="120"/>
      <c r="V9" s="40"/>
      <c r="X9" s="198">
        <f>NPV(Rate_of_Return,F9:O9)</f>
        <v>219.74052851862442</v>
      </c>
      <c r="Y9" s="198">
        <f>-PMT(Rate_of_Return,10,X9)</f>
        <v>31.852497669631195</v>
      </c>
      <c r="Z9" s="40"/>
      <c r="AA9" s="40"/>
    </row>
    <row r="10" spans="2:30" x14ac:dyDescent="0.2">
      <c r="C10" s="114"/>
      <c r="D10" s="114"/>
      <c r="E10" s="114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19"/>
      <c r="Q10" s="119"/>
      <c r="R10" s="119"/>
      <c r="U10" s="120"/>
      <c r="V10" s="40"/>
      <c r="X10" s="32"/>
      <c r="Y10" s="32"/>
      <c r="Z10" s="40"/>
      <c r="AA10" s="40"/>
    </row>
    <row r="11" spans="2:30" x14ac:dyDescent="0.2">
      <c r="C11" s="53" t="s">
        <v>56</v>
      </c>
      <c r="F11" s="204">
        <v>1</v>
      </c>
      <c r="G11" s="204">
        <v>2</v>
      </c>
      <c r="H11" s="204">
        <v>3</v>
      </c>
      <c r="I11" s="204">
        <v>4</v>
      </c>
      <c r="J11" s="204">
        <v>5</v>
      </c>
      <c r="K11" s="204">
        <v>6</v>
      </c>
      <c r="L11" s="204">
        <v>7</v>
      </c>
      <c r="M11" s="204">
        <v>8</v>
      </c>
      <c r="N11" s="204">
        <v>9</v>
      </c>
      <c r="O11" s="204">
        <v>10</v>
      </c>
      <c r="P11" s="204">
        <v>11</v>
      </c>
      <c r="Q11" s="204">
        <v>12</v>
      </c>
      <c r="R11" s="119"/>
      <c r="U11" s="120"/>
      <c r="V11" s="40"/>
      <c r="X11" s="40"/>
      <c r="Y11" s="40"/>
      <c r="Z11" s="40"/>
      <c r="AA11" s="40"/>
    </row>
    <row r="12" spans="2:30" x14ac:dyDescent="0.2">
      <c r="C12" s="114"/>
      <c r="D12" s="112"/>
      <c r="E12" s="114"/>
      <c r="F12" s="124">
        <f>'Energy Prices'!$C$6</f>
        <v>2021</v>
      </c>
      <c r="G12" s="124">
        <f>F12+1</f>
        <v>2022</v>
      </c>
      <c r="H12" s="124">
        <f>G12+1</f>
        <v>2023</v>
      </c>
      <c r="I12" s="124">
        <f t="shared" ref="I12:O12" si="2">H12+1</f>
        <v>2024</v>
      </c>
      <c r="J12" s="124">
        <f t="shared" si="2"/>
        <v>2025</v>
      </c>
      <c r="K12" s="124">
        <f t="shared" si="2"/>
        <v>2026</v>
      </c>
      <c r="L12" s="124">
        <f t="shared" si="2"/>
        <v>2027</v>
      </c>
      <c r="M12" s="124">
        <f t="shared" si="2"/>
        <v>2028</v>
      </c>
      <c r="N12" s="124">
        <f t="shared" si="2"/>
        <v>2029</v>
      </c>
      <c r="O12" s="124">
        <f t="shared" si="2"/>
        <v>2030</v>
      </c>
      <c r="P12" s="124">
        <f t="shared" ref="P12:Q12" si="3">O12+1</f>
        <v>2031</v>
      </c>
      <c r="Q12" s="124">
        <f t="shared" si="3"/>
        <v>2032</v>
      </c>
      <c r="R12" s="119"/>
      <c r="U12" s="120"/>
      <c r="V12" s="202"/>
      <c r="X12" s="199" t="s">
        <v>74</v>
      </c>
      <c r="Y12" s="32"/>
      <c r="Z12" s="120"/>
      <c r="AA12" s="120"/>
    </row>
    <row r="13" spans="2:30" ht="52.9" customHeight="1" x14ac:dyDescent="0.2">
      <c r="B13" s="114"/>
      <c r="C13" s="205" t="s">
        <v>91</v>
      </c>
      <c r="D13" s="114"/>
      <c r="F13" s="156">
        <f>F$9*F$20</f>
        <v>28.844964319992343</v>
      </c>
      <c r="G13" s="157">
        <f t="shared" ref="G13:O13" si="4">G$9*G$20</f>
        <v>29.566088427992145</v>
      </c>
      <c r="H13" s="158">
        <f t="shared" si="4"/>
        <v>30.305240638691945</v>
      </c>
      <c r="I13" s="158">
        <f t="shared" si="4"/>
        <v>31.062871654659244</v>
      </c>
      <c r="J13" s="158">
        <f t="shared" si="4"/>
        <v>31.839443446025722</v>
      </c>
      <c r="K13" s="158">
        <f t="shared" si="4"/>
        <v>32.635429532176367</v>
      </c>
      <c r="L13" s="158">
        <f t="shared" si="4"/>
        <v>33.451315270480769</v>
      </c>
      <c r="M13" s="158">
        <f t="shared" si="4"/>
        <v>34.287598152242779</v>
      </c>
      <c r="N13" s="158">
        <f t="shared" si="4"/>
        <v>35.14478810604885</v>
      </c>
      <c r="O13" s="158">
        <f t="shared" si="4"/>
        <v>36.023407808700064</v>
      </c>
      <c r="P13" s="201">
        <f>O13*1.025</f>
        <v>36.923993003917559</v>
      </c>
      <c r="Q13" s="201">
        <f>P13*1.025</f>
        <v>37.847092829015494</v>
      </c>
      <c r="R13" s="119"/>
      <c r="U13" s="120"/>
      <c r="V13" s="126"/>
      <c r="X13" s="198">
        <f>NPV(Rate_of_Return,F13:O13)</f>
        <v>219.74052851862453</v>
      </c>
      <c r="Y13" s="198">
        <f>-PMT(Rate_of_Return,10,X13)</f>
        <v>31.852497669631209</v>
      </c>
      <c r="Z13" s="126"/>
      <c r="AA13" s="126"/>
      <c r="AD13" s="127"/>
    </row>
    <row r="14" spans="2:30" x14ac:dyDescent="0.2">
      <c r="C14" s="125"/>
      <c r="E14" s="12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19"/>
      <c r="Q14" s="119"/>
      <c r="R14" s="119"/>
      <c r="U14" s="120"/>
      <c r="V14" s="126"/>
      <c r="X14" s="120"/>
      <c r="Y14" s="120"/>
      <c r="Z14" s="120"/>
      <c r="AA14" s="120"/>
      <c r="AB14" s="119"/>
      <c r="AC14" s="114"/>
    </row>
    <row r="15" spans="2:30" x14ac:dyDescent="0.2">
      <c r="C15" s="129"/>
      <c r="E15" s="128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19"/>
      <c r="Q15" s="119"/>
      <c r="R15" s="119"/>
      <c r="U15" s="120"/>
      <c r="V15" s="126"/>
      <c r="X15" s="120"/>
      <c r="Y15" s="120"/>
      <c r="Z15" s="120"/>
      <c r="AA15" s="120"/>
      <c r="AB15" s="120"/>
    </row>
    <row r="16" spans="2:30" x14ac:dyDescent="0.2">
      <c r="C16" s="53" t="s">
        <v>10</v>
      </c>
      <c r="P16" s="119"/>
      <c r="Q16" s="119"/>
      <c r="R16" s="119"/>
      <c r="U16" s="120"/>
    </row>
    <row r="17" spans="2:27" x14ac:dyDescent="0.2">
      <c r="P17" s="119"/>
      <c r="Q17" s="119"/>
      <c r="R17" s="119"/>
      <c r="U17" s="120"/>
    </row>
    <row r="18" spans="2:27" x14ac:dyDescent="0.2"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9"/>
      <c r="Q18" s="119"/>
      <c r="R18" s="119"/>
      <c r="U18" s="120"/>
      <c r="X18" s="199" t="s">
        <v>74</v>
      </c>
      <c r="Y18" s="114"/>
    </row>
    <row r="19" spans="2:27" x14ac:dyDescent="0.2">
      <c r="C19" s="121" t="s">
        <v>11</v>
      </c>
      <c r="D19" s="121"/>
      <c r="E19" s="121"/>
      <c r="F19" s="140">
        <v>100</v>
      </c>
      <c r="G19" s="140">
        <f t="shared" ref="G19:O19" si="5">F19*1.025</f>
        <v>102.49999999999999</v>
      </c>
      <c r="H19" s="140">
        <f t="shared" si="5"/>
        <v>105.06249999999997</v>
      </c>
      <c r="I19" s="140">
        <f t="shared" si="5"/>
        <v>107.68906249999996</v>
      </c>
      <c r="J19" s="140">
        <f t="shared" si="5"/>
        <v>110.38128906249996</v>
      </c>
      <c r="K19" s="140">
        <f t="shared" si="5"/>
        <v>113.14082128906244</v>
      </c>
      <c r="L19" s="140">
        <f t="shared" si="5"/>
        <v>115.96934182128899</v>
      </c>
      <c r="M19" s="140">
        <f t="shared" si="5"/>
        <v>118.8685753668212</v>
      </c>
      <c r="N19" s="140">
        <f t="shared" si="5"/>
        <v>121.84028975099173</v>
      </c>
      <c r="O19" s="140">
        <f t="shared" si="5"/>
        <v>124.88629699476651</v>
      </c>
      <c r="P19" s="119"/>
      <c r="Q19" s="119"/>
      <c r="R19" s="119"/>
      <c r="U19" s="120"/>
      <c r="V19" s="130"/>
      <c r="X19" s="160">
        <f>NPV(Rate_of_Return,F19:O19)</f>
        <v>761.7985797483658</v>
      </c>
      <c r="Y19" s="160">
        <f>-PMT(Rate_of_Return,10,X19)</f>
        <v>110.42654557057071</v>
      </c>
      <c r="Z19" s="120"/>
      <c r="AA19" s="120"/>
    </row>
    <row r="20" spans="2:27" x14ac:dyDescent="0.2">
      <c r="C20" s="143" t="s">
        <v>12</v>
      </c>
      <c r="D20" s="143"/>
      <c r="E20" s="143"/>
      <c r="F20" s="144">
        <f t="shared" ref="F20:O20" si="6">F19/$Y$19</f>
        <v>0.90557935579079241</v>
      </c>
      <c r="G20" s="144">
        <f t="shared" si="6"/>
        <v>0.92821883968556207</v>
      </c>
      <c r="H20" s="144">
        <f t="shared" si="6"/>
        <v>0.95142431067770095</v>
      </c>
      <c r="I20" s="144">
        <f t="shared" si="6"/>
        <v>0.97520991844464344</v>
      </c>
      <c r="J20" s="144">
        <f t="shared" si="6"/>
        <v>0.99959016640575948</v>
      </c>
      <c r="K20" s="144">
        <f t="shared" si="6"/>
        <v>1.0245799205659034</v>
      </c>
      <c r="L20" s="144">
        <f t="shared" si="6"/>
        <v>1.0501944185800509</v>
      </c>
      <c r="M20" s="144">
        <f t="shared" si="6"/>
        <v>1.0764492790445519</v>
      </c>
      <c r="N20" s="144">
        <f t="shared" si="6"/>
        <v>1.1033605110206657</v>
      </c>
      <c r="O20" s="144">
        <f t="shared" si="6"/>
        <v>1.1309445237961822</v>
      </c>
      <c r="P20" s="119"/>
      <c r="Q20" s="119"/>
      <c r="R20" s="119"/>
      <c r="U20" s="120"/>
      <c r="V20" s="131"/>
      <c r="X20" s="159">
        <f>NPV(Rate_of_Return,F20:O20)</f>
        <v>6.8986906709086568</v>
      </c>
      <c r="Y20" s="159">
        <f>-PMT(Rate_of_Return,10,X20)</f>
        <v>1.0000000000000002</v>
      </c>
      <c r="Z20" s="120"/>
      <c r="AA20" s="120"/>
    </row>
    <row r="21" spans="2:27" x14ac:dyDescent="0.2">
      <c r="C21" s="114"/>
      <c r="D21" s="114"/>
      <c r="E21" s="141"/>
      <c r="F21" s="141"/>
      <c r="G21" s="141"/>
      <c r="H21" s="141"/>
      <c r="I21" s="141"/>
      <c r="J21" s="141"/>
      <c r="K21" s="141"/>
      <c r="L21" s="141"/>
      <c r="M21" s="142"/>
      <c r="N21" s="142"/>
      <c r="O21" s="142"/>
      <c r="P21" s="119"/>
      <c r="Q21" s="119"/>
      <c r="R21" s="119"/>
      <c r="S21" s="119"/>
      <c r="T21" s="119"/>
      <c r="U21" s="120"/>
      <c r="W21" s="114"/>
      <c r="X21" s="114"/>
    </row>
    <row r="22" spans="2:27" x14ac:dyDescent="0.2">
      <c r="B22" s="132" t="s">
        <v>13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Y22" s="129"/>
    </row>
    <row r="23" spans="2:27" x14ac:dyDescent="0.2">
      <c r="B23" s="135">
        <v>1</v>
      </c>
      <c r="C23" s="263" t="s">
        <v>113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Y23" s="125"/>
    </row>
    <row r="24" spans="2:27" x14ac:dyDescent="0.2">
      <c r="B24" s="135">
        <v>2</v>
      </c>
      <c r="C24" s="134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Y24" s="126"/>
    </row>
    <row r="25" spans="2:27" x14ac:dyDescent="0.2">
      <c r="B25" s="135">
        <v>3</v>
      </c>
      <c r="C25" s="134" t="s">
        <v>45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Y25" s="136"/>
    </row>
    <row r="26" spans="2:27" x14ac:dyDescent="0.2">
      <c r="B26" s="135">
        <v>4</v>
      </c>
      <c r="C26" s="134" t="s">
        <v>119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Y26" s="136"/>
    </row>
    <row r="27" spans="2:27" x14ac:dyDescent="0.2">
      <c r="B27" s="135">
        <v>5</v>
      </c>
      <c r="C27" s="134" t="s">
        <v>79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Y27" s="125"/>
    </row>
    <row r="28" spans="2:27" x14ac:dyDescent="0.2">
      <c r="B28" s="135">
        <v>6</v>
      </c>
      <c r="C28" s="134" t="s">
        <v>80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Y28" s="126"/>
    </row>
    <row r="29" spans="2:27" x14ac:dyDescent="0.2">
      <c r="B29" s="135">
        <v>7</v>
      </c>
      <c r="C29" s="134" t="s">
        <v>81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2:27" x14ac:dyDescent="0.2">
      <c r="B30" s="135">
        <v>8</v>
      </c>
      <c r="C30" s="134" t="s">
        <v>51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27" x14ac:dyDescent="0.2">
      <c r="B31" s="135">
        <v>9</v>
      </c>
      <c r="C31" s="134" t="s">
        <v>82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27" x14ac:dyDescent="0.2">
      <c r="B32" s="135">
        <v>10</v>
      </c>
      <c r="C32" s="53" t="s">
        <v>83</v>
      </c>
    </row>
    <row r="33" spans="2:20" x14ac:dyDescent="0.2">
      <c r="B33" s="135">
        <v>11</v>
      </c>
      <c r="C33" s="53" t="s">
        <v>102</v>
      </c>
    </row>
    <row r="34" spans="2:20" ht="15.75" x14ac:dyDescent="0.25">
      <c r="B34" s="137"/>
      <c r="C34" s="5"/>
      <c r="D34" s="5"/>
      <c r="E34" s="5"/>
      <c r="F34" s="5"/>
    </row>
    <row r="35" spans="2:20" ht="15.75" x14ac:dyDescent="0.25">
      <c r="B35" s="137"/>
      <c r="C35" s="5"/>
      <c r="D35" s="5"/>
      <c r="E35" s="5"/>
      <c r="F35" s="5"/>
    </row>
    <row r="37" spans="2:20" x14ac:dyDescent="0.2">
      <c r="F37" s="120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</row>
    <row r="38" spans="2:20" x14ac:dyDescent="0.2"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</row>
    <row r="39" spans="2:20" x14ac:dyDescent="0.2"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</row>
    <row r="40" spans="2:20" x14ac:dyDescent="0.2">
      <c r="D40" s="130"/>
    </row>
  </sheetData>
  <customSheetViews>
    <customSheetView guid="{7616AFB9-3DAD-45EA-BAD3-1A4EF1124EEE}" fitToPage="1">
      <selection activeCell="C26" sqref="C26"/>
      <pageMargins left="0.75" right="0.5" top="0.76" bottom="0.79" header="0.5" footer="0.26"/>
      <pageSetup scale="35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>
      <selection activeCell="C26" sqref="C26"/>
      <pageMargins left="0.75" right="0.5" top="0.76" bottom="0.79" header="0.5" footer="0.26"/>
      <pageSetup scale="35" orientation="landscape" r:id="rId2"/>
      <headerFooter alignWithMargins="0">
        <oddFooter>&amp;L&amp;F&amp;C&amp;A&amp;RPSE Advice No. 2018-48 &amp;D
Page &amp;P of &amp;N</oddFooter>
      </headerFooter>
    </customSheetView>
  </customSheetViews>
  <dataValidations count="3">
    <dataValidation type="decimal" operator="greaterThan" allowBlank="1" showInputMessage="1" showErrorMessage="1" sqref="C5:D5">
      <formula1>0</formula1>
    </dataValidation>
    <dataValidation type="list" allowBlank="1" showInputMessage="1" showErrorMessage="1" sqref="G5">
      <formula1>MeasureList</formula1>
    </dataValidation>
    <dataValidation type="list" allowBlank="1" showInputMessage="1" showErrorMessage="1" sqref="E5">
      <formula1>"1,2,3,4,5,6,7,8,9,10,11,12,13,14,15,16,17,18,19,20,21,22,23,24,25,26,27,28,29,30"</formula1>
    </dataValidation>
  </dataValidations>
  <pageMargins left="0.75" right="0.5" top="0.76" bottom="0.79" header="0.5" footer="0.26"/>
  <pageSetup scale="35" orientation="landscape" r:id="rId3"/>
  <headerFooter alignWithMargins="0">
    <oddFooter>&amp;L&amp;F&amp;C&amp;A&amp;RPSE Advice No. 2018-48 &amp;D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2:AE40"/>
  <sheetViews>
    <sheetView topLeftCell="A13" workbookViewId="0">
      <selection activeCell="C26" sqref="C26"/>
    </sheetView>
  </sheetViews>
  <sheetFormatPr defaultColWidth="9.140625" defaultRowHeight="15" x14ac:dyDescent="0.2"/>
  <cols>
    <col min="1" max="1" width="2.7109375" style="53" customWidth="1"/>
    <col min="2" max="2" width="5" style="53" customWidth="1"/>
    <col min="3" max="3" width="46.7109375" style="53" customWidth="1"/>
    <col min="4" max="4" width="2.7109375" style="53" customWidth="1"/>
    <col min="5" max="22" width="12.7109375" style="53" customWidth="1"/>
    <col min="23" max="23" width="2.7109375" style="53" customWidth="1"/>
    <col min="24" max="25" width="12.7109375" style="53" customWidth="1"/>
    <col min="26" max="30" width="12.28515625" style="53" customWidth="1"/>
    <col min="31" max="16384" width="9.140625" style="53"/>
  </cols>
  <sheetData>
    <row r="2" spans="2:31" ht="19.5" customHeight="1" x14ac:dyDescent="0.25">
      <c r="C2" s="209" t="s">
        <v>84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31" ht="15.75" x14ac:dyDescent="0.25">
      <c r="C3" s="42" t="s">
        <v>85</v>
      </c>
    </row>
    <row r="4" spans="2:31" s="111" customFormat="1" ht="45" x14ac:dyDescent="0.2">
      <c r="B4" s="110"/>
      <c r="C4" s="145" t="s">
        <v>0</v>
      </c>
      <c r="D4" s="145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5</v>
      </c>
      <c r="J4" s="145" t="s">
        <v>6</v>
      </c>
      <c r="K4" s="145" t="s">
        <v>7</v>
      </c>
      <c r="L4" s="146" t="s">
        <v>14</v>
      </c>
      <c r="M4" s="146"/>
    </row>
    <row r="5" spans="2:31" x14ac:dyDescent="0.2">
      <c r="C5" s="148"/>
      <c r="D5" s="149"/>
      <c r="E5" s="150">
        <v>15</v>
      </c>
      <c r="F5" s="266">
        <f>+'Capacity Delivered'!$G$5</f>
        <v>1</v>
      </c>
      <c r="G5" s="151" t="s">
        <v>8</v>
      </c>
      <c r="H5" s="152">
        <f>'Electric EES CE Std Energy'!D23</f>
        <v>2.2949093496230016E-2</v>
      </c>
      <c r="I5" s="153">
        <f>'Baseload Avoided Capacity Calcs'!Y21</f>
        <v>1.0845856102003637E-2</v>
      </c>
      <c r="J5" s="153">
        <f>H5+I5</f>
        <v>3.3794949598233655E-2</v>
      </c>
      <c r="K5" s="154">
        <f>J5</f>
        <v>3.3794949598233655E-2</v>
      </c>
      <c r="L5" s="155">
        <f>K5*1000</f>
        <v>33.794949598233657</v>
      </c>
      <c r="M5" s="139"/>
    </row>
    <row r="6" spans="2:31" x14ac:dyDescent="0.2">
      <c r="C6" s="147"/>
      <c r="D6" s="147"/>
      <c r="E6" s="114"/>
      <c r="F6" s="114"/>
      <c r="G6" s="114"/>
      <c r="H6" s="32">
        <f>H5*1000</f>
        <v>22.949093496230017</v>
      </c>
      <c r="I6" s="32">
        <f t="shared" ref="I6:K6" si="0">I5*1000</f>
        <v>10.845856102003637</v>
      </c>
      <c r="J6" s="32">
        <f t="shared" si="0"/>
        <v>33.794949598233657</v>
      </c>
      <c r="K6" s="32">
        <f t="shared" si="0"/>
        <v>33.794949598233657</v>
      </c>
      <c r="L6" s="116">
        <f>L5*(1-M6)</f>
        <v>32.781101110286649</v>
      </c>
      <c r="M6" s="221">
        <v>0.03</v>
      </c>
      <c r="N6" s="117" t="s">
        <v>37</v>
      </c>
    </row>
    <row r="7" spans="2:31" x14ac:dyDescent="0.2">
      <c r="C7" s="118"/>
      <c r="D7" s="115"/>
      <c r="H7" s="40"/>
      <c r="I7" s="113"/>
      <c r="J7" s="40"/>
      <c r="K7" s="113"/>
      <c r="L7" s="113"/>
      <c r="M7" s="114"/>
    </row>
    <row r="8" spans="2:31" x14ac:dyDescent="0.2">
      <c r="C8" s="114"/>
      <c r="D8" s="114"/>
      <c r="E8" s="114"/>
      <c r="F8" s="114"/>
      <c r="G8" s="114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/>
      <c r="V8" s="120"/>
      <c r="W8" s="120"/>
      <c r="X8" s="199" t="s">
        <v>74</v>
      </c>
      <c r="Y8" s="120"/>
      <c r="Z8" s="120"/>
      <c r="AA8" s="120"/>
      <c r="AB8" s="120"/>
      <c r="AC8" s="119"/>
      <c r="AD8" s="114"/>
    </row>
    <row r="9" spans="2:31" x14ac:dyDescent="0.2">
      <c r="C9" s="121" t="s">
        <v>9</v>
      </c>
      <c r="D9" s="121"/>
      <c r="E9" s="121"/>
      <c r="F9" s="122">
        <f>+L6</f>
        <v>32.781101110286649</v>
      </c>
      <c r="G9" s="122">
        <f t="shared" ref="G9:T9" si="1">F9</f>
        <v>32.781101110286649</v>
      </c>
      <c r="H9" s="122">
        <f t="shared" si="1"/>
        <v>32.781101110286649</v>
      </c>
      <c r="I9" s="122">
        <f t="shared" si="1"/>
        <v>32.781101110286649</v>
      </c>
      <c r="J9" s="122">
        <f t="shared" si="1"/>
        <v>32.781101110286649</v>
      </c>
      <c r="K9" s="122">
        <f t="shared" si="1"/>
        <v>32.781101110286649</v>
      </c>
      <c r="L9" s="122">
        <f t="shared" si="1"/>
        <v>32.781101110286649</v>
      </c>
      <c r="M9" s="122">
        <f t="shared" si="1"/>
        <v>32.781101110286649</v>
      </c>
      <c r="N9" s="122">
        <f t="shared" si="1"/>
        <v>32.781101110286649</v>
      </c>
      <c r="O9" s="122">
        <f t="shared" si="1"/>
        <v>32.781101110286649</v>
      </c>
      <c r="P9" s="122">
        <f t="shared" si="1"/>
        <v>32.781101110286649</v>
      </c>
      <c r="Q9" s="122">
        <f t="shared" si="1"/>
        <v>32.781101110286649</v>
      </c>
      <c r="R9" s="122">
        <f t="shared" si="1"/>
        <v>32.781101110286649</v>
      </c>
      <c r="S9" s="122">
        <f t="shared" si="1"/>
        <v>32.781101110286649</v>
      </c>
      <c r="T9" s="122">
        <f t="shared" si="1"/>
        <v>32.781101110286649</v>
      </c>
      <c r="U9" s="40"/>
      <c r="V9" s="40"/>
      <c r="W9" s="40"/>
      <c r="X9" s="198">
        <f>NPV(Rate_of_Return,F9:T9)</f>
        <v>291.34985830281988</v>
      </c>
      <c r="Y9" s="198">
        <f>-PMT(Rate_of_Return,15,X9)</f>
        <v>32.781101110286627</v>
      </c>
      <c r="Z9" s="40"/>
      <c r="AA9" s="40"/>
      <c r="AB9" s="40"/>
    </row>
    <row r="10" spans="2:31" x14ac:dyDescent="0.2">
      <c r="C10" s="114"/>
      <c r="D10" s="114"/>
      <c r="E10" s="114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40"/>
      <c r="V10" s="40"/>
      <c r="W10" s="40"/>
      <c r="X10" s="32"/>
      <c r="Y10" s="32"/>
      <c r="Z10" s="40"/>
      <c r="AA10" s="40"/>
      <c r="AB10" s="40"/>
    </row>
    <row r="11" spans="2:31" x14ac:dyDescent="0.2">
      <c r="C11" s="53" t="s">
        <v>56</v>
      </c>
      <c r="F11" s="204">
        <v>1</v>
      </c>
      <c r="G11" s="204">
        <v>2</v>
      </c>
      <c r="H11" s="204">
        <v>3</v>
      </c>
      <c r="I11" s="204">
        <v>4</v>
      </c>
      <c r="J11" s="204">
        <v>5</v>
      </c>
      <c r="K11" s="204">
        <v>6</v>
      </c>
      <c r="L11" s="204">
        <v>7</v>
      </c>
      <c r="M11" s="204">
        <v>8</v>
      </c>
      <c r="N11" s="204">
        <v>9</v>
      </c>
      <c r="O11" s="204">
        <v>10</v>
      </c>
      <c r="P11" s="204">
        <v>11</v>
      </c>
      <c r="Q11" s="204">
        <v>12</v>
      </c>
      <c r="R11" s="204">
        <v>13</v>
      </c>
      <c r="S11" s="204">
        <v>14</v>
      </c>
      <c r="T11" s="204">
        <v>15</v>
      </c>
      <c r="U11" s="204">
        <v>16</v>
      </c>
      <c r="V11" s="204">
        <v>17</v>
      </c>
      <c r="W11" s="40"/>
      <c r="X11" s="40"/>
      <c r="Y11" s="40"/>
      <c r="Z11" s="40"/>
      <c r="AA11" s="40"/>
      <c r="AB11" s="40"/>
    </row>
    <row r="12" spans="2:31" x14ac:dyDescent="0.2">
      <c r="C12" s="114"/>
      <c r="D12" s="112"/>
      <c r="E12" s="114"/>
      <c r="F12" s="124">
        <f>'Energy Prices'!$C$6</f>
        <v>2021</v>
      </c>
      <c r="G12" s="124">
        <f>F12+1</f>
        <v>2022</v>
      </c>
      <c r="H12" s="124">
        <f>G12+1</f>
        <v>2023</v>
      </c>
      <c r="I12" s="124">
        <f t="shared" ref="I12:T12" si="2">H12+1</f>
        <v>2024</v>
      </c>
      <c r="J12" s="124">
        <f t="shared" si="2"/>
        <v>2025</v>
      </c>
      <c r="K12" s="124">
        <f t="shared" si="2"/>
        <v>2026</v>
      </c>
      <c r="L12" s="124">
        <f t="shared" si="2"/>
        <v>2027</v>
      </c>
      <c r="M12" s="124">
        <f t="shared" si="2"/>
        <v>2028</v>
      </c>
      <c r="N12" s="124">
        <f t="shared" si="2"/>
        <v>2029</v>
      </c>
      <c r="O12" s="124">
        <f t="shared" si="2"/>
        <v>2030</v>
      </c>
      <c r="P12" s="124">
        <f t="shared" si="2"/>
        <v>2031</v>
      </c>
      <c r="Q12" s="124">
        <f t="shared" si="2"/>
        <v>2032</v>
      </c>
      <c r="R12" s="124">
        <f t="shared" si="2"/>
        <v>2033</v>
      </c>
      <c r="S12" s="124">
        <f t="shared" si="2"/>
        <v>2034</v>
      </c>
      <c r="T12" s="124">
        <f t="shared" si="2"/>
        <v>2035</v>
      </c>
      <c r="U12" s="124">
        <f>T12+1</f>
        <v>2036</v>
      </c>
      <c r="V12" s="124">
        <f>U12+1</f>
        <v>2037</v>
      </c>
      <c r="W12" s="202"/>
      <c r="X12" s="199" t="s">
        <v>74</v>
      </c>
      <c r="Y12" s="32"/>
      <c r="Z12" s="120"/>
      <c r="AA12" s="120"/>
      <c r="AB12" s="120"/>
    </row>
    <row r="13" spans="2:31" ht="52.5" customHeight="1" x14ac:dyDescent="0.2">
      <c r="B13" s="114"/>
      <c r="C13" s="205" t="s">
        <v>91</v>
      </c>
      <c r="D13" s="114"/>
      <c r="F13" s="156">
        <f>F$9*F$20</f>
        <v>28.326904720994751</v>
      </c>
      <c r="G13" s="157">
        <f t="shared" ref="G13:T13" si="3">G$9*G$20</f>
        <v>29.035077339019615</v>
      </c>
      <c r="H13" s="158">
        <f t="shared" si="3"/>
        <v>29.760954272495102</v>
      </c>
      <c r="I13" s="158">
        <f t="shared" si="3"/>
        <v>30.504978129307478</v>
      </c>
      <c r="J13" s="158">
        <f t="shared" si="3"/>
        <v>31.267602582540164</v>
      </c>
      <c r="K13" s="158">
        <f t="shared" si="3"/>
        <v>32.049292647103663</v>
      </c>
      <c r="L13" s="158">
        <f t="shared" si="3"/>
        <v>32.850524963281252</v>
      </c>
      <c r="M13" s="158">
        <f t="shared" si="3"/>
        <v>33.671788087363282</v>
      </c>
      <c r="N13" s="158">
        <f t="shared" si="3"/>
        <v>34.513582789547357</v>
      </c>
      <c r="O13" s="158">
        <f t="shared" si="3"/>
        <v>35.376422359286046</v>
      </c>
      <c r="P13" s="158">
        <f t="shared" si="3"/>
        <v>36.260832918268186</v>
      </c>
      <c r="Q13" s="158">
        <f t="shared" si="3"/>
        <v>37.167353741224886</v>
      </c>
      <c r="R13" s="158">
        <f t="shared" si="3"/>
        <v>38.096537584755502</v>
      </c>
      <c r="S13" s="158">
        <f t="shared" si="3"/>
        <v>39.048951024374382</v>
      </c>
      <c r="T13" s="158">
        <f t="shared" si="3"/>
        <v>40.025174799983745</v>
      </c>
      <c r="U13" s="201">
        <f>T13*1.025</f>
        <v>41.025804169983331</v>
      </c>
      <c r="V13" s="201">
        <f>U13*1.025</f>
        <v>42.051449274232908</v>
      </c>
      <c r="W13" s="126"/>
      <c r="X13" s="198">
        <f>NPV(Rate_of_Return,F13:T13)</f>
        <v>291.34985830282011</v>
      </c>
      <c r="Y13" s="198">
        <f>-PMT(Rate_of_Return,15,X13)</f>
        <v>32.781101110286656</v>
      </c>
      <c r="Z13" s="126"/>
      <c r="AA13" s="126"/>
      <c r="AB13" s="126"/>
      <c r="AE13" s="127"/>
    </row>
    <row r="14" spans="2:31" x14ac:dyDescent="0.2">
      <c r="C14" s="125"/>
      <c r="E14" s="12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0"/>
      <c r="Y14" s="120"/>
      <c r="Z14" s="120"/>
      <c r="AA14" s="120"/>
      <c r="AB14" s="120"/>
      <c r="AC14" s="119"/>
      <c r="AD14" s="114"/>
    </row>
    <row r="15" spans="2:31" x14ac:dyDescent="0.2">
      <c r="C15" s="129"/>
      <c r="E15" s="128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0"/>
      <c r="Y15" s="120"/>
      <c r="Z15" s="120"/>
      <c r="AA15" s="120"/>
      <c r="AB15" s="120"/>
      <c r="AC15" s="120"/>
    </row>
    <row r="16" spans="2:31" x14ac:dyDescent="0.2">
      <c r="C16" s="53" t="s">
        <v>10</v>
      </c>
      <c r="Q16" s="120"/>
      <c r="R16" s="120"/>
    </row>
    <row r="17" spans="2:28" x14ac:dyDescent="0.2">
      <c r="Q17" s="120"/>
      <c r="R17" s="120"/>
    </row>
    <row r="18" spans="2:28" x14ac:dyDescent="0.2"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9"/>
      <c r="R18" s="119"/>
      <c r="S18" s="114"/>
      <c r="T18" s="114"/>
      <c r="X18" s="199" t="s">
        <v>74</v>
      </c>
      <c r="Y18" s="114"/>
    </row>
    <row r="19" spans="2:28" x14ac:dyDescent="0.2">
      <c r="C19" s="121" t="s">
        <v>11</v>
      </c>
      <c r="D19" s="121"/>
      <c r="E19" s="121"/>
      <c r="F19" s="140">
        <v>100</v>
      </c>
      <c r="G19" s="140">
        <f t="shared" ref="G19:T19" si="4">F19*1.025</f>
        <v>102.49999999999999</v>
      </c>
      <c r="H19" s="140">
        <f t="shared" si="4"/>
        <v>105.06249999999997</v>
      </c>
      <c r="I19" s="140">
        <f t="shared" si="4"/>
        <v>107.68906249999996</v>
      </c>
      <c r="J19" s="140">
        <f t="shared" si="4"/>
        <v>110.38128906249996</v>
      </c>
      <c r="K19" s="140">
        <f t="shared" si="4"/>
        <v>113.14082128906244</v>
      </c>
      <c r="L19" s="140">
        <f t="shared" si="4"/>
        <v>115.96934182128899</v>
      </c>
      <c r="M19" s="140">
        <f t="shared" si="4"/>
        <v>118.8685753668212</v>
      </c>
      <c r="N19" s="140">
        <f t="shared" si="4"/>
        <v>121.84028975099173</v>
      </c>
      <c r="O19" s="140">
        <f t="shared" si="4"/>
        <v>124.88629699476651</v>
      </c>
      <c r="P19" s="140">
        <f t="shared" si="4"/>
        <v>128.00845441963565</v>
      </c>
      <c r="Q19" s="140">
        <f t="shared" si="4"/>
        <v>131.20866578012652</v>
      </c>
      <c r="R19" s="140">
        <f t="shared" si="4"/>
        <v>134.48888242462968</v>
      </c>
      <c r="S19" s="140">
        <f t="shared" si="4"/>
        <v>137.8511044852454</v>
      </c>
      <c r="T19" s="140">
        <f t="shared" si="4"/>
        <v>141.29738209737653</v>
      </c>
      <c r="U19" s="130"/>
      <c r="V19" s="130"/>
      <c r="W19" s="130"/>
      <c r="X19" s="160">
        <f>NPV(Rate_of_Return,F19:T19)</f>
        <v>1028.5269822893265</v>
      </c>
      <c r="Y19" s="160">
        <f>-PMT(Rate_of_Return,15,X19)</f>
        <v>115.72426085081801</v>
      </c>
      <c r="Z19" s="120"/>
      <c r="AA19" s="120"/>
      <c r="AB19" s="120"/>
    </row>
    <row r="20" spans="2:28" x14ac:dyDescent="0.2">
      <c r="C20" s="143" t="s">
        <v>12</v>
      </c>
      <c r="D20" s="143"/>
      <c r="E20" s="143"/>
      <c r="F20" s="144">
        <f>F19/$Y$19</f>
        <v>0.86412303923817313</v>
      </c>
      <c r="G20" s="144">
        <f t="shared" ref="G20:T20" si="5">G19/$Y$19</f>
        <v>0.88572611521912736</v>
      </c>
      <c r="H20" s="144">
        <f t="shared" si="5"/>
        <v>0.90786926809960544</v>
      </c>
      <c r="I20" s="144">
        <f t="shared" si="5"/>
        <v>0.93056599980209553</v>
      </c>
      <c r="J20" s="144">
        <f t="shared" si="5"/>
        <v>0.95383014979714786</v>
      </c>
      <c r="K20" s="144">
        <f t="shared" si="5"/>
        <v>0.97767590354207645</v>
      </c>
      <c r="L20" s="144">
        <f t="shared" si="5"/>
        <v>1.0021178011306282</v>
      </c>
      <c r="M20" s="144">
        <f t="shared" si="5"/>
        <v>1.0271707461588939</v>
      </c>
      <c r="N20" s="144">
        <f t="shared" si="5"/>
        <v>1.0528500148128661</v>
      </c>
      <c r="O20" s="144">
        <f t="shared" si="5"/>
        <v>1.0791712651831877</v>
      </c>
      <c r="P20" s="144">
        <f t="shared" si="5"/>
        <v>1.1061505468127673</v>
      </c>
      <c r="Q20" s="144">
        <f t="shared" si="5"/>
        <v>1.1338043104830862</v>
      </c>
      <c r="R20" s="144">
        <f t="shared" si="5"/>
        <v>1.1621494182451633</v>
      </c>
      <c r="S20" s="144">
        <f t="shared" si="5"/>
        <v>1.1912031537012922</v>
      </c>
      <c r="T20" s="144">
        <f t="shared" si="5"/>
        <v>1.2209832325438243</v>
      </c>
      <c r="U20" s="131"/>
      <c r="V20" s="131"/>
      <c r="W20" s="131"/>
      <c r="X20" s="159">
        <f>NPV(Rate_of_Return,F20:T20)</f>
        <v>8.8877386187431942</v>
      </c>
      <c r="Y20" s="159">
        <f>-PMT(Rate_of_Return,15,X20)</f>
        <v>1</v>
      </c>
      <c r="Z20" s="120"/>
      <c r="AA20" s="120"/>
      <c r="AB20" s="120"/>
    </row>
    <row r="21" spans="2:28" x14ac:dyDescent="0.2">
      <c r="C21" s="114"/>
      <c r="D21" s="114"/>
      <c r="E21" s="141"/>
      <c r="F21" s="141"/>
      <c r="G21" s="141"/>
      <c r="H21" s="141"/>
      <c r="I21" s="141"/>
      <c r="J21" s="141"/>
      <c r="K21" s="141"/>
      <c r="L21" s="141"/>
      <c r="M21" s="142"/>
      <c r="N21" s="142"/>
      <c r="O21" s="142"/>
      <c r="P21" s="142"/>
      <c r="Q21" s="142"/>
      <c r="R21" s="142"/>
      <c r="S21" s="142"/>
      <c r="T21" s="142"/>
      <c r="X21" s="114"/>
      <c r="Y21" s="114"/>
    </row>
    <row r="22" spans="2:28" x14ac:dyDescent="0.2">
      <c r="B22" s="132" t="s">
        <v>13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Z22" s="129"/>
    </row>
    <row r="23" spans="2:28" x14ac:dyDescent="0.2">
      <c r="B23" s="135">
        <v>1</v>
      </c>
      <c r="C23" s="263" t="s">
        <v>113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Z23" s="125"/>
    </row>
    <row r="24" spans="2:28" x14ac:dyDescent="0.2">
      <c r="B24" s="135">
        <v>2</v>
      </c>
      <c r="C24" s="134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Z24" s="126"/>
    </row>
    <row r="25" spans="2:28" x14ac:dyDescent="0.2">
      <c r="B25" s="135">
        <v>3</v>
      </c>
      <c r="C25" s="134" t="s">
        <v>45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Z25" s="136"/>
    </row>
    <row r="26" spans="2:28" x14ac:dyDescent="0.2">
      <c r="B26" s="135">
        <v>4</v>
      </c>
      <c r="C26" s="134" t="s">
        <v>119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Z26" s="136"/>
    </row>
    <row r="27" spans="2:28" x14ac:dyDescent="0.2">
      <c r="B27" s="135">
        <v>5</v>
      </c>
      <c r="C27" s="134" t="s">
        <v>79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Z27" s="125"/>
    </row>
    <row r="28" spans="2:28" x14ac:dyDescent="0.2">
      <c r="B28" s="135">
        <v>6</v>
      </c>
      <c r="C28" s="134" t="s">
        <v>80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Z28" s="126"/>
    </row>
    <row r="29" spans="2:28" x14ac:dyDescent="0.2">
      <c r="B29" s="135">
        <v>7</v>
      </c>
      <c r="C29" s="134" t="s">
        <v>81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2:28" x14ac:dyDescent="0.2">
      <c r="B30" s="135">
        <v>8</v>
      </c>
      <c r="C30" s="134" t="s">
        <v>51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28" x14ac:dyDescent="0.2">
      <c r="B31" s="135">
        <v>9</v>
      </c>
      <c r="C31" s="134" t="s">
        <v>82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28" x14ac:dyDescent="0.2">
      <c r="B32" s="135">
        <v>10</v>
      </c>
      <c r="C32" s="53" t="s">
        <v>83</v>
      </c>
    </row>
    <row r="33" spans="2:20" x14ac:dyDescent="0.2">
      <c r="B33" s="135">
        <v>11</v>
      </c>
      <c r="C33" s="53" t="s">
        <v>102</v>
      </c>
    </row>
    <row r="34" spans="2:20" ht="15.75" x14ac:dyDescent="0.25">
      <c r="B34" s="137"/>
      <c r="C34" s="5"/>
      <c r="D34" s="5"/>
      <c r="E34" s="5"/>
      <c r="F34" s="5"/>
    </row>
    <row r="35" spans="2:20" ht="15.75" x14ac:dyDescent="0.25">
      <c r="B35" s="137"/>
      <c r="C35" s="5"/>
      <c r="D35" s="5"/>
      <c r="E35" s="5"/>
      <c r="F35" s="5"/>
    </row>
    <row r="37" spans="2:20" x14ac:dyDescent="0.2">
      <c r="F37" s="120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</row>
    <row r="38" spans="2:20" x14ac:dyDescent="0.2"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</row>
    <row r="39" spans="2:20" x14ac:dyDescent="0.2"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</row>
    <row r="40" spans="2:20" x14ac:dyDescent="0.2">
      <c r="D40" s="130"/>
    </row>
  </sheetData>
  <customSheetViews>
    <customSheetView guid="{7616AFB9-3DAD-45EA-BAD3-1A4EF1124EEE}" fitToPage="1" topLeftCell="A13">
      <selection activeCell="C26" sqref="C26"/>
      <pageMargins left="0.75" right="0.5" top="0.76" bottom="0.79" header="0.5" footer="0.26"/>
      <pageSetup scale="34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 topLeftCell="A13">
      <selection activeCell="C26" sqref="C26"/>
      <pageMargins left="0.75" right="0.5" top="0.76" bottom="0.79" header="0.5" footer="0.26"/>
      <pageSetup scale="34" orientation="landscape" r:id="rId2"/>
      <headerFooter alignWithMargins="0">
        <oddFooter>&amp;L&amp;F&amp;C&amp;A&amp;RPSE Advice No. 2018-48 &amp;D
Page &amp;P of &amp;N</oddFooter>
      </headerFooter>
    </customSheetView>
  </customSheetViews>
  <phoneticPr fontId="8" type="noConversion"/>
  <dataValidations count="3">
    <dataValidation type="list" allowBlank="1" showInputMessage="1" showErrorMessage="1" sqref="E5">
      <formula1>"1,2,3,4,5,6,7,8,9,10,11,12,13,14,15,16,17,18,19,20,21,22,23,24,25,26,27,28,29,30"</formula1>
    </dataValidation>
    <dataValidation type="list" allowBlank="1" showInputMessage="1" showErrorMessage="1" sqref="G5">
      <formula1>MeasureList</formula1>
    </dataValidation>
    <dataValidation type="decimal" operator="greaterThan" allowBlank="1" showInputMessage="1" showErrorMessage="1" sqref="C5:D5">
      <formula1>0</formula1>
    </dataValidation>
  </dataValidations>
  <pageMargins left="0.75" right="0.5" top="0.76" bottom="0.79" header="0.5" footer="0.26"/>
  <pageSetup scale="34"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2:AD40"/>
  <sheetViews>
    <sheetView topLeftCell="A13" workbookViewId="0">
      <selection activeCell="C26" sqref="C26"/>
    </sheetView>
  </sheetViews>
  <sheetFormatPr defaultColWidth="9.140625" defaultRowHeight="15" x14ac:dyDescent="0.2"/>
  <cols>
    <col min="1" max="1" width="2.7109375" style="53" customWidth="1"/>
    <col min="2" max="2" width="5" style="53" customWidth="1"/>
    <col min="3" max="3" width="46.7109375" style="53" customWidth="1"/>
    <col min="4" max="4" width="2.7109375" style="53" customWidth="1"/>
    <col min="5" max="22" width="12.7109375" style="53" customWidth="1"/>
    <col min="23" max="23" width="2.7109375" style="53" customWidth="1"/>
    <col min="24" max="25" width="12.7109375" style="53" customWidth="1"/>
    <col min="26" max="29" width="12.28515625" style="53" customWidth="1"/>
    <col min="30" max="16384" width="9.140625" style="53"/>
  </cols>
  <sheetData>
    <row r="2" spans="2:30" ht="19.5" customHeight="1" x14ac:dyDescent="0.25">
      <c r="C2" s="209" t="s">
        <v>84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30" ht="15.75" x14ac:dyDescent="0.25">
      <c r="C3" s="42" t="s">
        <v>43</v>
      </c>
    </row>
    <row r="4" spans="2:30" s="111" customFormat="1" ht="45" x14ac:dyDescent="0.2">
      <c r="B4" s="110"/>
      <c r="C4" s="145" t="s">
        <v>0</v>
      </c>
      <c r="D4" s="145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5</v>
      </c>
      <c r="J4" s="145" t="s">
        <v>6</v>
      </c>
      <c r="K4" s="145" t="s">
        <v>7</v>
      </c>
      <c r="L4" s="146" t="s">
        <v>14</v>
      </c>
      <c r="M4" s="146"/>
    </row>
    <row r="5" spans="2:30" x14ac:dyDescent="0.2">
      <c r="C5" s="148"/>
      <c r="D5" s="149"/>
      <c r="E5" s="150">
        <v>10</v>
      </c>
      <c r="F5" s="266">
        <f>+'Capacity Delivered'!$H$5</f>
        <v>0.17799999999999999</v>
      </c>
      <c r="G5" s="151" t="s">
        <v>8</v>
      </c>
      <c r="H5" s="152">
        <f>'Electric EES CE Std Energy'!D18</f>
        <v>2.1962055687281625E-2</v>
      </c>
      <c r="I5" s="153">
        <f>'Wind Avoided Capacity Calcs'!Y16</f>
        <v>5.2747999950232029E-3</v>
      </c>
      <c r="J5" s="153">
        <f>H5+I5</f>
        <v>2.7236855682304828E-2</v>
      </c>
      <c r="K5" s="154">
        <f>J5</f>
        <v>2.7236855682304828E-2</v>
      </c>
      <c r="L5" s="155">
        <f>K5*1000</f>
        <v>27.236855682304828</v>
      </c>
      <c r="M5" s="139"/>
    </row>
    <row r="6" spans="2:30" x14ac:dyDescent="0.2">
      <c r="C6" s="147"/>
      <c r="D6" s="147"/>
      <c r="E6" s="114"/>
      <c r="F6" s="114"/>
      <c r="G6" s="114"/>
      <c r="H6" s="32">
        <f>H5*1000</f>
        <v>21.962055687281627</v>
      </c>
      <c r="I6" s="32">
        <f t="shared" ref="I6:K6" si="0">I5*1000</f>
        <v>5.2747999950232032</v>
      </c>
      <c r="J6" s="32">
        <f t="shared" si="0"/>
        <v>27.236855682304828</v>
      </c>
      <c r="K6" s="32">
        <f t="shared" si="0"/>
        <v>27.236855682304828</v>
      </c>
      <c r="L6" s="116">
        <f>L5*(1-M6)</f>
        <v>26.419750011835681</v>
      </c>
      <c r="M6" s="221">
        <v>0.03</v>
      </c>
      <c r="N6" s="117" t="s">
        <v>37</v>
      </c>
    </row>
    <row r="7" spans="2:30" x14ac:dyDescent="0.2">
      <c r="C7" s="118"/>
      <c r="D7" s="115"/>
      <c r="H7" s="40"/>
      <c r="I7" s="113"/>
      <c r="J7" s="40"/>
      <c r="K7" s="113"/>
      <c r="L7" s="113"/>
      <c r="M7" s="114"/>
    </row>
    <row r="8" spans="2:30" x14ac:dyDescent="0.2">
      <c r="C8" s="114"/>
      <c r="D8" s="114"/>
      <c r="E8" s="114"/>
      <c r="F8" s="114"/>
      <c r="G8" s="114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U8" s="120"/>
      <c r="V8" s="120"/>
      <c r="X8" s="199" t="s">
        <v>74</v>
      </c>
      <c r="Y8" s="120"/>
      <c r="Z8" s="120"/>
      <c r="AA8" s="120"/>
      <c r="AB8" s="120"/>
    </row>
    <row r="9" spans="2:30" x14ac:dyDescent="0.2">
      <c r="C9" s="121" t="s">
        <v>9</v>
      </c>
      <c r="D9" s="121"/>
      <c r="E9" s="121"/>
      <c r="F9" s="122">
        <f>+L6</f>
        <v>26.419750011835681</v>
      </c>
      <c r="G9" s="122">
        <f t="shared" ref="G9:O9" si="1">F9</f>
        <v>26.419750011835681</v>
      </c>
      <c r="H9" s="122">
        <f t="shared" si="1"/>
        <v>26.419750011835681</v>
      </c>
      <c r="I9" s="122">
        <f t="shared" si="1"/>
        <v>26.419750011835681</v>
      </c>
      <c r="J9" s="122">
        <f t="shared" si="1"/>
        <v>26.419750011835681</v>
      </c>
      <c r="K9" s="122">
        <f t="shared" si="1"/>
        <v>26.419750011835681</v>
      </c>
      <c r="L9" s="122">
        <f t="shared" si="1"/>
        <v>26.419750011835681</v>
      </c>
      <c r="M9" s="122">
        <f t="shared" si="1"/>
        <v>26.419750011835681</v>
      </c>
      <c r="N9" s="122">
        <f t="shared" si="1"/>
        <v>26.419750011835681</v>
      </c>
      <c r="O9" s="122">
        <f t="shared" si="1"/>
        <v>26.419750011835681</v>
      </c>
      <c r="P9" s="119"/>
      <c r="Q9" s="119"/>
      <c r="R9" s="119"/>
      <c r="U9" s="120"/>
      <c r="V9" s="40"/>
      <c r="X9" s="198">
        <f>NPV(Rate_of_Return,F9:O9)</f>
        <v>182.2616829343896</v>
      </c>
      <c r="Y9" s="198">
        <f>-PMT(Rate_of_Return,$E$5,X9)</f>
        <v>26.419750011835671</v>
      </c>
      <c r="Z9" s="40"/>
      <c r="AA9" s="40"/>
    </row>
    <row r="10" spans="2:30" x14ac:dyDescent="0.2">
      <c r="C10" s="114"/>
      <c r="D10" s="114"/>
      <c r="E10" s="114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19"/>
      <c r="Q10" s="119"/>
      <c r="R10" s="119"/>
      <c r="U10" s="120"/>
      <c r="V10" s="40"/>
      <c r="X10" s="32"/>
      <c r="Y10" s="32"/>
      <c r="Z10" s="40"/>
      <c r="AA10" s="40"/>
    </row>
    <row r="11" spans="2:30" x14ac:dyDescent="0.2">
      <c r="C11" s="53" t="s">
        <v>56</v>
      </c>
      <c r="F11" s="204">
        <v>1</v>
      </c>
      <c r="G11" s="204">
        <v>2</v>
      </c>
      <c r="H11" s="204">
        <v>3</v>
      </c>
      <c r="I11" s="204">
        <v>4</v>
      </c>
      <c r="J11" s="204">
        <v>5</v>
      </c>
      <c r="K11" s="204">
        <v>6</v>
      </c>
      <c r="L11" s="204">
        <v>7</v>
      </c>
      <c r="M11" s="204">
        <v>8</v>
      </c>
      <c r="N11" s="204">
        <v>9</v>
      </c>
      <c r="O11" s="204">
        <v>10</v>
      </c>
      <c r="P11" s="204">
        <v>11</v>
      </c>
      <c r="Q11" s="204">
        <v>12</v>
      </c>
      <c r="R11" s="119"/>
      <c r="U11" s="120"/>
      <c r="V11" s="40"/>
      <c r="X11" s="40"/>
      <c r="Y11" s="40"/>
      <c r="Z11" s="40"/>
      <c r="AA11" s="40"/>
    </row>
    <row r="12" spans="2:30" x14ac:dyDescent="0.2">
      <c r="C12" s="114"/>
      <c r="D12" s="112"/>
      <c r="E12" s="114"/>
      <c r="F12" s="124">
        <f>'Energy Prices'!$C$6</f>
        <v>2021</v>
      </c>
      <c r="G12" s="124">
        <f>F12+1</f>
        <v>2022</v>
      </c>
      <c r="H12" s="124">
        <f>G12+1</f>
        <v>2023</v>
      </c>
      <c r="I12" s="124">
        <f t="shared" ref="I12:O12" si="2">H12+1</f>
        <v>2024</v>
      </c>
      <c r="J12" s="124">
        <f t="shared" si="2"/>
        <v>2025</v>
      </c>
      <c r="K12" s="124">
        <f t="shared" si="2"/>
        <v>2026</v>
      </c>
      <c r="L12" s="124">
        <f t="shared" si="2"/>
        <v>2027</v>
      </c>
      <c r="M12" s="124">
        <f t="shared" si="2"/>
        <v>2028</v>
      </c>
      <c r="N12" s="124">
        <f t="shared" si="2"/>
        <v>2029</v>
      </c>
      <c r="O12" s="124">
        <f t="shared" si="2"/>
        <v>2030</v>
      </c>
      <c r="P12" s="124">
        <f>O12+1</f>
        <v>2031</v>
      </c>
      <c r="Q12" s="124">
        <f>P12+1</f>
        <v>2032</v>
      </c>
      <c r="R12" s="119"/>
      <c r="U12" s="120"/>
      <c r="V12" s="202"/>
      <c r="X12" s="199" t="s">
        <v>74</v>
      </c>
      <c r="Y12" s="32"/>
      <c r="Z12" s="120"/>
      <c r="AA12" s="120"/>
    </row>
    <row r="13" spans="2:30" ht="52.9" customHeight="1" x14ac:dyDescent="0.2">
      <c r="B13" s="114"/>
      <c r="C13" s="206" t="s">
        <v>77</v>
      </c>
      <c r="D13" s="114"/>
      <c r="F13" s="156">
        <f t="shared" ref="F13:O13" si="3">F$9*F$20</f>
        <v>23.925180195871935</v>
      </c>
      <c r="G13" s="157">
        <f t="shared" si="3"/>
        <v>24.523309700768731</v>
      </c>
      <c r="H13" s="158">
        <f t="shared" si="3"/>
        <v>25.136392443287946</v>
      </c>
      <c r="I13" s="158">
        <f t="shared" si="3"/>
        <v>25.764802254370142</v>
      </c>
      <c r="J13" s="158">
        <f t="shared" si="3"/>
        <v>26.408922310729395</v>
      </c>
      <c r="K13" s="158">
        <f t="shared" si="3"/>
        <v>27.06914536849763</v>
      </c>
      <c r="L13" s="158">
        <f t="shared" si="3"/>
        <v>27.745874002710067</v>
      </c>
      <c r="M13" s="158">
        <f t="shared" si="3"/>
        <v>28.439520852777811</v>
      </c>
      <c r="N13" s="158">
        <f t="shared" si="3"/>
        <v>29.150508874097255</v>
      </c>
      <c r="O13" s="158">
        <f t="shared" si="3"/>
        <v>29.879271595949682</v>
      </c>
      <c r="P13" s="201">
        <f>O13*1.025</f>
        <v>30.626253385848422</v>
      </c>
      <c r="Q13" s="201">
        <f>P13*1.025</f>
        <v>31.391909720494631</v>
      </c>
      <c r="R13" s="119"/>
      <c r="U13" s="120"/>
      <c r="V13" s="126"/>
      <c r="X13" s="198">
        <f>NPV(Rate_of_Return,F13:O13)</f>
        <v>182.26168293438974</v>
      </c>
      <c r="Y13" s="198">
        <f>-PMT(Rate_of_Return,$E$5,X13)</f>
        <v>26.419750011835692</v>
      </c>
      <c r="Z13" s="126"/>
      <c r="AA13" s="126"/>
      <c r="AD13" s="127"/>
    </row>
    <row r="14" spans="2:30" x14ac:dyDescent="0.2">
      <c r="C14" s="125"/>
      <c r="E14" s="12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19"/>
      <c r="Q14" s="119"/>
      <c r="R14" s="119"/>
      <c r="U14" s="120"/>
      <c r="V14" s="126"/>
      <c r="X14" s="120"/>
      <c r="Y14" s="120"/>
      <c r="Z14" s="120"/>
      <c r="AA14" s="120"/>
      <c r="AB14" s="120"/>
    </row>
    <row r="15" spans="2:30" x14ac:dyDescent="0.2">
      <c r="C15" s="129"/>
      <c r="E15" s="128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19"/>
      <c r="Q15" s="119"/>
      <c r="R15" s="119"/>
      <c r="U15" s="120"/>
      <c r="V15" s="126"/>
      <c r="X15" s="120"/>
      <c r="Y15" s="120"/>
      <c r="Z15" s="120"/>
      <c r="AA15" s="120"/>
      <c r="AB15" s="120"/>
    </row>
    <row r="16" spans="2:30" x14ac:dyDescent="0.2">
      <c r="C16" s="53" t="s">
        <v>10</v>
      </c>
      <c r="P16" s="119"/>
      <c r="Q16" s="119"/>
      <c r="R16" s="119"/>
      <c r="U16" s="120"/>
    </row>
    <row r="17" spans="2:27" x14ac:dyDescent="0.2">
      <c r="P17" s="119"/>
      <c r="Q17" s="119"/>
      <c r="R17" s="119"/>
      <c r="U17" s="120"/>
    </row>
    <row r="18" spans="2:27" x14ac:dyDescent="0.2"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9"/>
      <c r="Q18" s="119"/>
      <c r="R18" s="119"/>
      <c r="U18" s="120"/>
      <c r="X18" s="199" t="s">
        <v>74</v>
      </c>
      <c r="Y18" s="114"/>
    </row>
    <row r="19" spans="2:27" x14ac:dyDescent="0.2">
      <c r="C19" s="121" t="s">
        <v>11</v>
      </c>
      <c r="D19" s="121"/>
      <c r="E19" s="121"/>
      <c r="F19" s="140">
        <v>100</v>
      </c>
      <c r="G19" s="140">
        <f t="shared" ref="G19:O19" si="4">F19*1.025</f>
        <v>102.49999999999999</v>
      </c>
      <c r="H19" s="140">
        <f t="shared" si="4"/>
        <v>105.06249999999997</v>
      </c>
      <c r="I19" s="140">
        <f t="shared" si="4"/>
        <v>107.68906249999996</v>
      </c>
      <c r="J19" s="140">
        <f t="shared" si="4"/>
        <v>110.38128906249996</v>
      </c>
      <c r="K19" s="140">
        <f t="shared" si="4"/>
        <v>113.14082128906244</v>
      </c>
      <c r="L19" s="140">
        <f>K19*1.025</f>
        <v>115.96934182128899</v>
      </c>
      <c r="M19" s="140">
        <f t="shared" si="4"/>
        <v>118.8685753668212</v>
      </c>
      <c r="N19" s="140">
        <f t="shared" si="4"/>
        <v>121.84028975099173</v>
      </c>
      <c r="O19" s="140">
        <f t="shared" si="4"/>
        <v>124.88629699476651</v>
      </c>
      <c r="P19" s="119"/>
      <c r="Q19" s="119"/>
      <c r="R19" s="119"/>
      <c r="U19" s="120"/>
      <c r="V19" s="130"/>
      <c r="X19" s="198">
        <f>NPV(Rate_of_Return,F19:O19)</f>
        <v>761.7985797483658</v>
      </c>
      <c r="Y19" s="198">
        <f>-PMT(Rate_of_Return,$E$5,X19)</f>
        <v>110.42654557057071</v>
      </c>
      <c r="Z19" s="120"/>
      <c r="AA19" s="120"/>
    </row>
    <row r="20" spans="2:27" x14ac:dyDescent="0.2">
      <c r="C20" s="143" t="s">
        <v>12</v>
      </c>
      <c r="D20" s="143"/>
      <c r="E20" s="143"/>
      <c r="F20" s="144">
        <f t="shared" ref="F20:O20" si="5">F19/$Y$19</f>
        <v>0.90557935579079241</v>
      </c>
      <c r="G20" s="144">
        <f t="shared" si="5"/>
        <v>0.92821883968556207</v>
      </c>
      <c r="H20" s="144">
        <f t="shared" si="5"/>
        <v>0.95142431067770095</v>
      </c>
      <c r="I20" s="144">
        <f t="shared" si="5"/>
        <v>0.97520991844464344</v>
      </c>
      <c r="J20" s="144">
        <f t="shared" si="5"/>
        <v>0.99959016640575948</v>
      </c>
      <c r="K20" s="144">
        <f t="shared" si="5"/>
        <v>1.0245799205659034</v>
      </c>
      <c r="L20" s="144">
        <f t="shared" si="5"/>
        <v>1.0501944185800509</v>
      </c>
      <c r="M20" s="144">
        <f t="shared" si="5"/>
        <v>1.0764492790445519</v>
      </c>
      <c r="N20" s="144">
        <f t="shared" si="5"/>
        <v>1.1033605110206657</v>
      </c>
      <c r="O20" s="144">
        <f t="shared" si="5"/>
        <v>1.1309445237961822</v>
      </c>
      <c r="P20" s="119"/>
      <c r="Q20" s="119"/>
      <c r="R20" s="119"/>
      <c r="U20" s="120"/>
      <c r="V20" s="131"/>
      <c r="X20" s="198">
        <f>NPV(Rate_of_Return,F20:O20)</f>
        <v>6.8986906709086568</v>
      </c>
      <c r="Y20" s="198">
        <f>-PMT(Rate_of_Return,$E$5,X20)</f>
        <v>1.0000000000000002</v>
      </c>
      <c r="Z20" s="120"/>
      <c r="AA20" s="120"/>
    </row>
    <row r="21" spans="2:27" x14ac:dyDescent="0.2">
      <c r="C21" s="114"/>
      <c r="D21" s="114"/>
      <c r="E21" s="141"/>
      <c r="F21" s="141"/>
      <c r="G21" s="141"/>
      <c r="H21" s="141"/>
      <c r="I21" s="141"/>
      <c r="J21" s="141"/>
      <c r="K21" s="141"/>
      <c r="L21" s="141"/>
      <c r="M21" s="142"/>
      <c r="N21" s="142"/>
      <c r="O21" s="142"/>
      <c r="P21" s="142"/>
      <c r="Q21" s="142"/>
      <c r="R21" s="142"/>
      <c r="S21" s="142"/>
      <c r="T21" s="142"/>
      <c r="W21" s="114"/>
      <c r="X21" s="114"/>
    </row>
    <row r="22" spans="2:27" x14ac:dyDescent="0.2">
      <c r="B22" s="132" t="s">
        <v>13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Y22" s="129"/>
    </row>
    <row r="23" spans="2:27" x14ac:dyDescent="0.2">
      <c r="B23" s="135">
        <v>1</v>
      </c>
      <c r="C23" s="263" t="s">
        <v>113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Y23" s="125"/>
    </row>
    <row r="24" spans="2:27" x14ac:dyDescent="0.2">
      <c r="B24" s="135">
        <v>2</v>
      </c>
      <c r="C24" s="134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Y24" s="126"/>
    </row>
    <row r="25" spans="2:27" x14ac:dyDescent="0.2">
      <c r="B25" s="135">
        <v>3</v>
      </c>
      <c r="C25" s="134" t="s">
        <v>45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Y25" s="136"/>
    </row>
    <row r="26" spans="2:27" x14ac:dyDescent="0.2">
      <c r="B26" s="135">
        <v>4</v>
      </c>
      <c r="C26" s="134" t="s">
        <v>119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Y26" s="136"/>
    </row>
    <row r="27" spans="2:27" x14ac:dyDescent="0.2">
      <c r="B27" s="135">
        <v>5</v>
      </c>
      <c r="C27" s="134" t="s">
        <v>79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Y27" s="125"/>
    </row>
    <row r="28" spans="2:27" x14ac:dyDescent="0.2">
      <c r="B28" s="135">
        <v>6</v>
      </c>
      <c r="C28" s="134" t="s">
        <v>80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Y28" s="126"/>
    </row>
    <row r="29" spans="2:27" x14ac:dyDescent="0.2">
      <c r="B29" s="135">
        <v>7</v>
      </c>
      <c r="C29" s="134" t="s">
        <v>81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2:27" x14ac:dyDescent="0.2">
      <c r="B30" s="135">
        <v>8</v>
      </c>
      <c r="C30" s="134" t="s">
        <v>51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27" x14ac:dyDescent="0.2">
      <c r="B31" s="135">
        <v>9</v>
      </c>
      <c r="C31" s="134" t="s">
        <v>82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27" x14ac:dyDescent="0.2">
      <c r="B32" s="135">
        <v>10</v>
      </c>
      <c r="C32" s="53" t="s">
        <v>83</v>
      </c>
    </row>
    <row r="33" spans="2:20" x14ac:dyDescent="0.2">
      <c r="B33" s="135">
        <v>11</v>
      </c>
      <c r="C33" s="53" t="s">
        <v>102</v>
      </c>
    </row>
    <row r="34" spans="2:20" ht="15.75" x14ac:dyDescent="0.25">
      <c r="B34" s="137"/>
      <c r="C34" s="5"/>
      <c r="D34" s="5"/>
      <c r="E34" s="5"/>
      <c r="F34" s="5"/>
    </row>
    <row r="35" spans="2:20" ht="15.75" x14ac:dyDescent="0.25">
      <c r="B35" s="137"/>
      <c r="C35" s="203"/>
      <c r="D35" s="5"/>
      <c r="E35" s="5"/>
      <c r="F35" s="5"/>
    </row>
    <row r="37" spans="2:20" x14ac:dyDescent="0.2">
      <c r="F37" s="120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</row>
    <row r="38" spans="2:20" x14ac:dyDescent="0.2"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</row>
    <row r="39" spans="2:20" x14ac:dyDescent="0.2"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</row>
    <row r="40" spans="2:20" x14ac:dyDescent="0.2">
      <c r="D40" s="130"/>
    </row>
  </sheetData>
  <customSheetViews>
    <customSheetView guid="{7616AFB9-3DAD-45EA-BAD3-1A4EF1124EEE}" fitToPage="1" topLeftCell="A13">
      <selection activeCell="C26" sqref="C26"/>
      <pageMargins left="0.75" right="0.5" top="0.76" bottom="0.79" header="0.5" footer="0.26"/>
      <pageSetup scale="35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 topLeftCell="A13">
      <selection activeCell="C26" sqref="C26"/>
      <pageMargins left="0.75" right="0.5" top="0.76" bottom="0.79" header="0.5" footer="0.26"/>
      <pageSetup scale="35" orientation="landscape" r:id="rId2"/>
      <headerFooter alignWithMargins="0">
        <oddFooter>&amp;L&amp;F&amp;C&amp;A&amp;RPSE Advice No. 2018-48 &amp;D
Page &amp;P of &amp;N</oddFooter>
      </headerFooter>
    </customSheetView>
  </customSheetViews>
  <dataValidations count="3">
    <dataValidation type="decimal" operator="greaterThan" allowBlank="1" showInputMessage="1" showErrorMessage="1" sqref="C5:D5">
      <formula1>0</formula1>
    </dataValidation>
    <dataValidation type="list" allowBlank="1" showInputMessage="1" showErrorMessage="1" sqref="E5">
      <formula1>"1,2,3,4,5,6,7,8,9,10,11,12,13,14,15,16,17,18,19,20,21,22,23,24,25,26,27,28,29,30"</formula1>
    </dataValidation>
    <dataValidation type="list" allowBlank="1" showInputMessage="1" showErrorMessage="1" sqref="G5">
      <formula1>MeasureList</formula1>
    </dataValidation>
  </dataValidations>
  <pageMargins left="0.75" right="0.5" top="0.76" bottom="0.79" header="0.5" footer="0.26"/>
  <pageSetup scale="35" orientation="landscape" r:id="rId3"/>
  <headerFooter alignWithMargins="0">
    <oddFooter>&amp;L&amp;F&amp;C&amp;A&amp;RPSE Advice No. 2018-48 &amp;D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2:AE40"/>
  <sheetViews>
    <sheetView topLeftCell="A7" workbookViewId="0">
      <selection activeCell="C26" sqref="C26"/>
    </sheetView>
  </sheetViews>
  <sheetFormatPr defaultColWidth="9.140625" defaultRowHeight="15" x14ac:dyDescent="0.2"/>
  <cols>
    <col min="1" max="1" width="2.7109375" style="53" customWidth="1"/>
    <col min="2" max="2" width="5" style="53" customWidth="1"/>
    <col min="3" max="3" width="46.7109375" style="53" customWidth="1"/>
    <col min="4" max="4" width="2.7109375" style="53" customWidth="1"/>
    <col min="5" max="22" width="12.7109375" style="53" customWidth="1"/>
    <col min="23" max="23" width="2.7109375" style="53" customWidth="1"/>
    <col min="24" max="25" width="12.7109375" style="53" customWidth="1"/>
    <col min="26" max="30" width="12.28515625" style="53" customWidth="1"/>
    <col min="31" max="16384" width="9.140625" style="53"/>
  </cols>
  <sheetData>
    <row r="2" spans="2:31" ht="19.5" customHeight="1" x14ac:dyDescent="0.25">
      <c r="C2" s="209" t="s">
        <v>84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31" ht="15.75" x14ac:dyDescent="0.25">
      <c r="C3" s="42" t="s">
        <v>43</v>
      </c>
    </row>
    <row r="4" spans="2:31" s="111" customFormat="1" ht="45" x14ac:dyDescent="0.2">
      <c r="B4" s="110"/>
      <c r="C4" s="145" t="s">
        <v>0</v>
      </c>
      <c r="D4" s="145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5</v>
      </c>
      <c r="J4" s="145" t="s">
        <v>6</v>
      </c>
      <c r="K4" s="145" t="s">
        <v>7</v>
      </c>
      <c r="L4" s="146" t="s">
        <v>14</v>
      </c>
      <c r="M4" s="146"/>
    </row>
    <row r="5" spans="2:31" x14ac:dyDescent="0.2">
      <c r="C5" s="148"/>
      <c r="D5" s="149"/>
      <c r="E5" s="150">
        <v>15</v>
      </c>
      <c r="F5" s="266">
        <f>+'Capacity Delivered'!$H$5</f>
        <v>0.17799999999999999</v>
      </c>
      <c r="G5" s="151" t="s">
        <v>8</v>
      </c>
      <c r="H5" s="152">
        <f>'Electric EES CE Std Energy'!D23</f>
        <v>2.2949093496230016E-2</v>
      </c>
      <c r="I5" s="153">
        <f>'Wind Avoided Capacity Calcs'!Y21</f>
        <v>5.2603879731788752E-3</v>
      </c>
      <c r="J5" s="153">
        <f>H5+I5</f>
        <v>2.8209481469408892E-2</v>
      </c>
      <c r="K5" s="154">
        <f>J5</f>
        <v>2.8209481469408892E-2</v>
      </c>
      <c r="L5" s="155">
        <f>K5*1000</f>
        <v>28.209481469408892</v>
      </c>
      <c r="M5" s="139"/>
    </row>
    <row r="6" spans="2:31" x14ac:dyDescent="0.2">
      <c r="C6" s="147"/>
      <c r="D6" s="147"/>
      <c r="E6" s="114"/>
      <c r="F6" s="114"/>
      <c r="G6" s="114"/>
      <c r="H6" s="32">
        <f>H5*1000</f>
        <v>22.949093496230017</v>
      </c>
      <c r="I6" s="32">
        <f t="shared" ref="I6:K6" si="0">I5*1000</f>
        <v>5.260387973178875</v>
      </c>
      <c r="J6" s="32">
        <f t="shared" si="0"/>
        <v>28.209481469408892</v>
      </c>
      <c r="K6" s="32">
        <f t="shared" si="0"/>
        <v>28.209481469408892</v>
      </c>
      <c r="L6" s="116">
        <f>L5*(1-M6)</f>
        <v>27.363197025326624</v>
      </c>
      <c r="M6" s="221">
        <v>0.03</v>
      </c>
      <c r="N6" s="117" t="s">
        <v>37</v>
      </c>
    </row>
    <row r="7" spans="2:31" x14ac:dyDescent="0.2">
      <c r="C7" s="118"/>
      <c r="D7" s="115"/>
      <c r="H7" s="40"/>
      <c r="I7" s="113"/>
      <c r="J7" s="40"/>
      <c r="K7" s="113"/>
      <c r="L7" s="113"/>
      <c r="M7" s="114"/>
    </row>
    <row r="8" spans="2:31" x14ac:dyDescent="0.2">
      <c r="C8" s="114"/>
      <c r="D8" s="114"/>
      <c r="E8" s="114"/>
      <c r="F8" s="114"/>
      <c r="G8" s="114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/>
      <c r="V8" s="120"/>
      <c r="W8" s="120"/>
      <c r="X8" s="199" t="s">
        <v>74</v>
      </c>
      <c r="Y8" s="120"/>
      <c r="Z8" s="120"/>
      <c r="AA8" s="120"/>
      <c r="AB8" s="120"/>
      <c r="AC8" s="120"/>
    </row>
    <row r="9" spans="2:31" x14ac:dyDescent="0.2">
      <c r="C9" s="121" t="s">
        <v>9</v>
      </c>
      <c r="D9" s="121"/>
      <c r="E9" s="121"/>
      <c r="F9" s="122">
        <f>+L6</f>
        <v>27.363197025326624</v>
      </c>
      <c r="G9" s="122">
        <f t="shared" ref="G9:T9" si="1">F9</f>
        <v>27.363197025326624</v>
      </c>
      <c r="H9" s="122">
        <f t="shared" si="1"/>
        <v>27.363197025326624</v>
      </c>
      <c r="I9" s="122">
        <f t="shared" si="1"/>
        <v>27.363197025326624</v>
      </c>
      <c r="J9" s="122">
        <f t="shared" si="1"/>
        <v>27.363197025326624</v>
      </c>
      <c r="K9" s="122">
        <f t="shared" si="1"/>
        <v>27.363197025326624</v>
      </c>
      <c r="L9" s="122">
        <f t="shared" si="1"/>
        <v>27.363197025326624</v>
      </c>
      <c r="M9" s="122">
        <f t="shared" si="1"/>
        <v>27.363197025326624</v>
      </c>
      <c r="N9" s="122">
        <f t="shared" si="1"/>
        <v>27.363197025326624</v>
      </c>
      <c r="O9" s="122">
        <f t="shared" si="1"/>
        <v>27.363197025326624</v>
      </c>
      <c r="P9" s="122">
        <f t="shared" si="1"/>
        <v>27.363197025326624</v>
      </c>
      <c r="Q9" s="122">
        <f t="shared" si="1"/>
        <v>27.363197025326624</v>
      </c>
      <c r="R9" s="122">
        <f t="shared" si="1"/>
        <v>27.363197025326624</v>
      </c>
      <c r="S9" s="122">
        <f t="shared" si="1"/>
        <v>27.363197025326624</v>
      </c>
      <c r="T9" s="122">
        <f t="shared" si="1"/>
        <v>27.363197025326624</v>
      </c>
      <c r="U9" s="40"/>
      <c r="V9" s="40"/>
      <c r="W9" s="40"/>
      <c r="X9" s="198">
        <f>NPV(Rate_of_Return,F9:T9)</f>
        <v>243.19694293427426</v>
      </c>
      <c r="Y9" s="198">
        <f>-PMT(Rate_of_Return,15,X9)</f>
        <v>27.363197025326617</v>
      </c>
      <c r="Z9" s="40"/>
      <c r="AA9" s="40"/>
      <c r="AB9" s="40"/>
    </row>
    <row r="10" spans="2:31" x14ac:dyDescent="0.2">
      <c r="C10" s="114"/>
      <c r="D10" s="114"/>
      <c r="E10" s="114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40"/>
      <c r="V10" s="40"/>
      <c r="W10" s="40"/>
      <c r="X10" s="32"/>
      <c r="Y10" s="32"/>
      <c r="Z10" s="40"/>
      <c r="AA10" s="40"/>
      <c r="AB10" s="40"/>
    </row>
    <row r="11" spans="2:31" x14ac:dyDescent="0.2">
      <c r="C11" s="53" t="s">
        <v>56</v>
      </c>
      <c r="F11" s="204">
        <v>1</v>
      </c>
      <c r="G11" s="204">
        <v>2</v>
      </c>
      <c r="H11" s="204">
        <v>3</v>
      </c>
      <c r="I11" s="204">
        <v>4</v>
      </c>
      <c r="J11" s="204">
        <v>5</v>
      </c>
      <c r="K11" s="204">
        <v>6</v>
      </c>
      <c r="L11" s="204">
        <v>7</v>
      </c>
      <c r="M11" s="204">
        <v>8</v>
      </c>
      <c r="N11" s="204">
        <v>9</v>
      </c>
      <c r="O11" s="204">
        <v>10</v>
      </c>
      <c r="P11" s="204">
        <v>11</v>
      </c>
      <c r="Q11" s="204">
        <v>12</v>
      </c>
      <c r="R11" s="204">
        <v>13</v>
      </c>
      <c r="S11" s="204">
        <v>14</v>
      </c>
      <c r="T11" s="204">
        <v>15</v>
      </c>
      <c r="U11" s="204">
        <v>16</v>
      </c>
      <c r="V11" s="204">
        <v>17</v>
      </c>
      <c r="W11" s="40"/>
      <c r="X11" s="40"/>
      <c r="Y11" s="40"/>
      <c r="Z11" s="40"/>
      <c r="AA11" s="40"/>
      <c r="AB11" s="40"/>
    </row>
    <row r="12" spans="2:31" x14ac:dyDescent="0.2">
      <c r="C12" s="114"/>
      <c r="D12" s="112"/>
      <c r="E12" s="114"/>
      <c r="F12" s="124">
        <f>'Energy Prices'!$C$6</f>
        <v>2021</v>
      </c>
      <c r="G12" s="124">
        <f>F12+1</f>
        <v>2022</v>
      </c>
      <c r="H12" s="124">
        <f>G12+1</f>
        <v>2023</v>
      </c>
      <c r="I12" s="124">
        <f t="shared" ref="I12:T12" si="2">H12+1</f>
        <v>2024</v>
      </c>
      <c r="J12" s="124">
        <f t="shared" si="2"/>
        <v>2025</v>
      </c>
      <c r="K12" s="124">
        <f t="shared" si="2"/>
        <v>2026</v>
      </c>
      <c r="L12" s="124">
        <f t="shared" si="2"/>
        <v>2027</v>
      </c>
      <c r="M12" s="124">
        <f t="shared" si="2"/>
        <v>2028</v>
      </c>
      <c r="N12" s="124">
        <f t="shared" si="2"/>
        <v>2029</v>
      </c>
      <c r="O12" s="124">
        <f t="shared" si="2"/>
        <v>2030</v>
      </c>
      <c r="P12" s="124">
        <f t="shared" si="2"/>
        <v>2031</v>
      </c>
      <c r="Q12" s="124">
        <f t="shared" si="2"/>
        <v>2032</v>
      </c>
      <c r="R12" s="124">
        <f t="shared" si="2"/>
        <v>2033</v>
      </c>
      <c r="S12" s="124">
        <f t="shared" si="2"/>
        <v>2034</v>
      </c>
      <c r="T12" s="124">
        <f t="shared" si="2"/>
        <v>2035</v>
      </c>
      <c r="U12" s="124">
        <f>T12+1</f>
        <v>2036</v>
      </c>
      <c r="V12" s="124">
        <f>U12+1</f>
        <v>2037</v>
      </c>
      <c r="W12" s="202"/>
      <c r="X12" s="199" t="s">
        <v>74</v>
      </c>
      <c r="Y12" s="32"/>
      <c r="Z12" s="120"/>
      <c r="AA12" s="120"/>
      <c r="AB12" s="120"/>
    </row>
    <row r="13" spans="2:31" ht="52.9" customHeight="1" x14ac:dyDescent="0.2">
      <c r="B13" s="114"/>
      <c r="C13" s="206" t="s">
        <v>77</v>
      </c>
      <c r="D13" s="114"/>
      <c r="F13" s="156">
        <f t="shared" ref="F13:T13" si="3">F$9*F$20</f>
        <v>23.645168976798182</v>
      </c>
      <c r="G13" s="157">
        <f t="shared" si="3"/>
        <v>24.236298201218133</v>
      </c>
      <c r="H13" s="158">
        <f t="shared" si="3"/>
        <v>24.842205656248584</v>
      </c>
      <c r="I13" s="158">
        <f t="shared" si="3"/>
        <v>25.463260797654797</v>
      </c>
      <c r="J13" s="158">
        <f t="shared" si="3"/>
        <v>26.099842317596163</v>
      </c>
      <c r="K13" s="158">
        <f t="shared" si="3"/>
        <v>26.752338375536066</v>
      </c>
      <c r="L13" s="158">
        <f t="shared" si="3"/>
        <v>27.421146834924464</v>
      </c>
      <c r="M13" s="158">
        <f t="shared" si="3"/>
        <v>28.106675505797575</v>
      </c>
      <c r="N13" s="158">
        <f t="shared" si="3"/>
        <v>28.80934239344251</v>
      </c>
      <c r="O13" s="158">
        <f t="shared" si="3"/>
        <v>29.52957595327857</v>
      </c>
      <c r="P13" s="158">
        <f t="shared" si="3"/>
        <v>30.267815352110532</v>
      </c>
      <c r="Q13" s="158">
        <f t="shared" si="3"/>
        <v>31.024510735913289</v>
      </c>
      <c r="R13" s="158">
        <f t="shared" si="3"/>
        <v>31.800123504311117</v>
      </c>
      <c r="S13" s="158">
        <f t="shared" si="3"/>
        <v>32.595126591918891</v>
      </c>
      <c r="T13" s="158">
        <f t="shared" si="3"/>
        <v>33.410004756716859</v>
      </c>
      <c r="U13" s="201">
        <f>T13*1.025</f>
        <v>34.245254875634778</v>
      </c>
      <c r="V13" s="201">
        <f>U13*1.025</f>
        <v>35.101386247525646</v>
      </c>
      <c r="W13" s="126"/>
      <c r="X13" s="198">
        <f>NPV(Rate_of_Return,F13:T13)</f>
        <v>243.1969429342744</v>
      </c>
      <c r="Y13" s="198">
        <f>-PMT(Rate_of_Return,15,X13)</f>
        <v>27.363197025326631</v>
      </c>
      <c r="Z13" s="126"/>
      <c r="AA13" s="126"/>
      <c r="AB13" s="126"/>
      <c r="AE13" s="127"/>
    </row>
    <row r="14" spans="2:31" x14ac:dyDescent="0.2">
      <c r="C14" s="125"/>
      <c r="E14" s="12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0"/>
      <c r="Y14" s="120"/>
      <c r="Z14" s="120"/>
      <c r="AA14" s="120"/>
      <c r="AB14" s="120"/>
      <c r="AC14" s="120"/>
    </row>
    <row r="15" spans="2:31" x14ac:dyDescent="0.2">
      <c r="C15" s="129"/>
      <c r="E15" s="128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0"/>
      <c r="Y15" s="120"/>
      <c r="Z15" s="120"/>
      <c r="AA15" s="120"/>
      <c r="AB15" s="120"/>
      <c r="AC15" s="120"/>
    </row>
    <row r="16" spans="2:31" x14ac:dyDescent="0.2">
      <c r="C16" s="53" t="s">
        <v>10</v>
      </c>
      <c r="Q16" s="120"/>
      <c r="R16" s="120"/>
    </row>
    <row r="17" spans="2:28" x14ac:dyDescent="0.2">
      <c r="Q17" s="120"/>
      <c r="R17" s="120"/>
    </row>
    <row r="18" spans="2:28" x14ac:dyDescent="0.2"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9"/>
      <c r="R18" s="119"/>
      <c r="S18" s="114"/>
      <c r="T18" s="114"/>
      <c r="X18" s="199" t="s">
        <v>74</v>
      </c>
      <c r="Y18" s="114"/>
    </row>
    <row r="19" spans="2:28" x14ac:dyDescent="0.2">
      <c r="C19" s="121" t="s">
        <v>11</v>
      </c>
      <c r="D19" s="121"/>
      <c r="E19" s="121"/>
      <c r="F19" s="140">
        <v>100</v>
      </c>
      <c r="G19" s="140">
        <f t="shared" ref="G19:T19" si="4">F19*1.025</f>
        <v>102.49999999999999</v>
      </c>
      <c r="H19" s="140">
        <f t="shared" si="4"/>
        <v>105.06249999999997</v>
      </c>
      <c r="I19" s="140">
        <f t="shared" si="4"/>
        <v>107.68906249999996</v>
      </c>
      <c r="J19" s="140">
        <f t="shared" si="4"/>
        <v>110.38128906249996</v>
      </c>
      <c r="K19" s="140">
        <f t="shared" si="4"/>
        <v>113.14082128906244</v>
      </c>
      <c r="L19" s="140">
        <f>K19*1.025</f>
        <v>115.96934182128899</v>
      </c>
      <c r="M19" s="140">
        <f t="shared" si="4"/>
        <v>118.8685753668212</v>
      </c>
      <c r="N19" s="140">
        <f t="shared" si="4"/>
        <v>121.84028975099173</v>
      </c>
      <c r="O19" s="140">
        <f t="shared" si="4"/>
        <v>124.88629699476651</v>
      </c>
      <c r="P19" s="140">
        <f t="shared" si="4"/>
        <v>128.00845441963565</v>
      </c>
      <c r="Q19" s="140">
        <f t="shared" si="4"/>
        <v>131.20866578012652</v>
      </c>
      <c r="R19" s="140">
        <f t="shared" si="4"/>
        <v>134.48888242462968</v>
      </c>
      <c r="S19" s="140">
        <f t="shared" si="4"/>
        <v>137.8511044852454</v>
      </c>
      <c r="T19" s="140">
        <f t="shared" si="4"/>
        <v>141.29738209737653</v>
      </c>
      <c r="U19" s="130"/>
      <c r="V19" s="130"/>
      <c r="W19" s="130"/>
      <c r="X19" s="160">
        <f>NPV(Rate_of_Return,F19:T19)</f>
        <v>1028.5269822893265</v>
      </c>
      <c r="Y19" s="160">
        <f>-PMT(Rate_of_Return,15,X19)</f>
        <v>115.72426085081801</v>
      </c>
      <c r="Z19" s="120"/>
      <c r="AA19" s="120"/>
      <c r="AB19" s="120"/>
    </row>
    <row r="20" spans="2:28" x14ac:dyDescent="0.2">
      <c r="C20" s="143" t="s">
        <v>12</v>
      </c>
      <c r="D20" s="143"/>
      <c r="E20" s="143"/>
      <c r="F20" s="144">
        <f>F19/$Y$19</f>
        <v>0.86412303923817313</v>
      </c>
      <c r="G20" s="144">
        <f t="shared" ref="G20:T20" si="5">G19/$Y$19</f>
        <v>0.88572611521912736</v>
      </c>
      <c r="H20" s="144">
        <f t="shared" si="5"/>
        <v>0.90786926809960544</v>
      </c>
      <c r="I20" s="144">
        <f t="shared" si="5"/>
        <v>0.93056599980209553</v>
      </c>
      <c r="J20" s="144">
        <f t="shared" si="5"/>
        <v>0.95383014979714786</v>
      </c>
      <c r="K20" s="144">
        <f t="shared" si="5"/>
        <v>0.97767590354207645</v>
      </c>
      <c r="L20" s="144">
        <f t="shared" si="5"/>
        <v>1.0021178011306282</v>
      </c>
      <c r="M20" s="144">
        <f t="shared" si="5"/>
        <v>1.0271707461588939</v>
      </c>
      <c r="N20" s="144">
        <f t="shared" si="5"/>
        <v>1.0528500148128661</v>
      </c>
      <c r="O20" s="144">
        <f t="shared" si="5"/>
        <v>1.0791712651831877</v>
      </c>
      <c r="P20" s="144">
        <f t="shared" si="5"/>
        <v>1.1061505468127673</v>
      </c>
      <c r="Q20" s="144">
        <f t="shared" si="5"/>
        <v>1.1338043104830862</v>
      </c>
      <c r="R20" s="144">
        <f t="shared" si="5"/>
        <v>1.1621494182451633</v>
      </c>
      <c r="S20" s="144">
        <f t="shared" si="5"/>
        <v>1.1912031537012922</v>
      </c>
      <c r="T20" s="144">
        <f t="shared" si="5"/>
        <v>1.2209832325438243</v>
      </c>
      <c r="U20" s="131"/>
      <c r="V20" s="131"/>
      <c r="W20" s="131"/>
      <c r="X20" s="159">
        <f>NPV(Rate_of_Return,F20:T20)</f>
        <v>8.8877386187431942</v>
      </c>
      <c r="Y20" s="159">
        <f>-PMT(Rate_of_Return,15,X20)</f>
        <v>1</v>
      </c>
      <c r="Z20" s="120"/>
      <c r="AA20" s="120"/>
      <c r="AB20" s="120"/>
    </row>
    <row r="21" spans="2:28" x14ac:dyDescent="0.2">
      <c r="C21" s="114"/>
      <c r="D21" s="114"/>
      <c r="E21" s="141"/>
      <c r="F21" s="141"/>
      <c r="G21" s="141"/>
      <c r="H21" s="141"/>
      <c r="I21" s="141"/>
      <c r="J21" s="141"/>
      <c r="K21" s="141"/>
      <c r="L21" s="141"/>
      <c r="M21" s="142"/>
      <c r="N21" s="142"/>
      <c r="O21" s="142"/>
      <c r="P21" s="142"/>
      <c r="Q21" s="142"/>
      <c r="R21" s="142"/>
      <c r="S21" s="142"/>
      <c r="T21" s="142"/>
      <c r="X21" s="114"/>
      <c r="Y21" s="114"/>
    </row>
    <row r="22" spans="2:28" x14ac:dyDescent="0.2">
      <c r="B22" s="132" t="s">
        <v>13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Z22" s="129"/>
    </row>
    <row r="23" spans="2:28" x14ac:dyDescent="0.2">
      <c r="B23" s="135">
        <v>1</v>
      </c>
      <c r="C23" s="263" t="s">
        <v>113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Z23" s="125"/>
    </row>
    <row r="24" spans="2:28" x14ac:dyDescent="0.2">
      <c r="B24" s="135">
        <v>2</v>
      </c>
      <c r="C24" s="134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Z24" s="126"/>
    </row>
    <row r="25" spans="2:28" x14ac:dyDescent="0.2">
      <c r="B25" s="135">
        <v>3</v>
      </c>
      <c r="C25" s="134" t="s">
        <v>45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Z25" s="136"/>
    </row>
    <row r="26" spans="2:28" x14ac:dyDescent="0.2">
      <c r="B26" s="135">
        <v>4</v>
      </c>
      <c r="C26" s="134" t="s">
        <v>119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Z26" s="136"/>
    </row>
    <row r="27" spans="2:28" x14ac:dyDescent="0.2">
      <c r="B27" s="135">
        <v>5</v>
      </c>
      <c r="C27" s="134" t="s">
        <v>79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Z27" s="125"/>
    </row>
    <row r="28" spans="2:28" x14ac:dyDescent="0.2">
      <c r="B28" s="135">
        <v>6</v>
      </c>
      <c r="C28" s="134" t="s">
        <v>80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Z28" s="126"/>
    </row>
    <row r="29" spans="2:28" x14ac:dyDescent="0.2">
      <c r="B29" s="135">
        <v>7</v>
      </c>
      <c r="C29" s="134" t="s">
        <v>81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2:28" x14ac:dyDescent="0.2">
      <c r="B30" s="135">
        <v>8</v>
      </c>
      <c r="C30" s="134" t="s">
        <v>51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28" x14ac:dyDescent="0.2">
      <c r="B31" s="135">
        <v>9</v>
      </c>
      <c r="C31" s="134" t="s">
        <v>82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28" x14ac:dyDescent="0.2">
      <c r="B32" s="135">
        <v>10</v>
      </c>
      <c r="C32" s="53" t="s">
        <v>83</v>
      </c>
    </row>
    <row r="33" spans="2:20" x14ac:dyDescent="0.2">
      <c r="B33" s="135">
        <v>11</v>
      </c>
      <c r="C33" s="53" t="s">
        <v>102</v>
      </c>
    </row>
    <row r="34" spans="2:20" ht="15.75" x14ac:dyDescent="0.25">
      <c r="B34" s="137"/>
      <c r="C34" s="5"/>
      <c r="D34" s="5"/>
      <c r="E34" s="5"/>
      <c r="F34" s="5"/>
    </row>
    <row r="35" spans="2:20" ht="15.75" x14ac:dyDescent="0.25">
      <c r="B35" s="137"/>
      <c r="C35" s="203"/>
      <c r="D35" s="5"/>
      <c r="E35" s="5"/>
      <c r="F35" s="5"/>
    </row>
    <row r="37" spans="2:20" x14ac:dyDescent="0.2">
      <c r="F37" s="120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</row>
    <row r="38" spans="2:20" x14ac:dyDescent="0.2"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</row>
    <row r="39" spans="2:20" x14ac:dyDescent="0.2"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</row>
    <row r="40" spans="2:20" x14ac:dyDescent="0.2">
      <c r="D40" s="130"/>
    </row>
  </sheetData>
  <customSheetViews>
    <customSheetView guid="{7616AFB9-3DAD-45EA-BAD3-1A4EF1124EEE}" fitToPage="1" topLeftCell="A7">
      <selection activeCell="C26" sqref="C26"/>
      <pageMargins left="0.75" right="0.5" top="0.76" bottom="0.79" header="0.5" footer="0.26"/>
      <pageSetup scale="34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 topLeftCell="A7">
      <selection activeCell="C26" sqref="C26"/>
      <pageMargins left="0.75" right="0.5" top="0.76" bottom="0.79" header="0.5" footer="0.26"/>
      <pageSetup scale="34" orientation="landscape" r:id="rId2"/>
      <headerFooter alignWithMargins="0">
        <oddFooter>&amp;L&amp;F&amp;C&amp;A&amp;RPSE Advice No. 2018-48 &amp;D
Page &amp;P of &amp;N</oddFooter>
      </headerFooter>
    </customSheetView>
  </customSheetViews>
  <dataValidations count="3">
    <dataValidation type="list" allowBlank="1" showInputMessage="1" showErrorMessage="1" sqref="G5">
      <formula1>MeasureList</formula1>
    </dataValidation>
    <dataValidation type="list" allowBlank="1" showInputMessage="1" showErrorMessage="1" sqref="E5">
      <formula1>"1,2,3,4,5,6,7,8,9,10,11,12,13,14,15,16,17,18,19,20,21,22,23,24,25,26,27,28,29,30"</formula1>
    </dataValidation>
    <dataValidation type="decimal" operator="greaterThan" allowBlank="1" showInputMessage="1" showErrorMessage="1" sqref="C5:D5">
      <formula1>0</formula1>
    </dataValidation>
  </dataValidations>
  <pageMargins left="0.75" right="0.5" top="0.76" bottom="0.79" header="0.5" footer="0.26"/>
  <pageSetup scale="34" orientation="landscape" r:id="rId3"/>
  <headerFooter alignWithMargins="0">
    <oddFooter>&amp;L&amp;F&amp;C&amp;A&amp;RPSE Advice No. 2018-48 &amp;D
Page &amp;P of &amp;N</oddFooter>
  </headerFooter>
  <customProperties>
    <customPr name="_pios_id" r:id="rId4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2:AD40"/>
  <sheetViews>
    <sheetView topLeftCell="A11" workbookViewId="0">
      <selection activeCell="C26" sqref="C26"/>
    </sheetView>
  </sheetViews>
  <sheetFormatPr defaultColWidth="9.140625" defaultRowHeight="15" x14ac:dyDescent="0.2"/>
  <cols>
    <col min="1" max="1" width="2.7109375" style="53" customWidth="1"/>
    <col min="2" max="2" width="5" style="53" customWidth="1"/>
    <col min="3" max="3" width="46.7109375" style="53" customWidth="1"/>
    <col min="4" max="4" width="2.7109375" style="53" customWidth="1"/>
    <col min="5" max="17" width="12.7109375" style="53" customWidth="1"/>
    <col min="18" max="20" width="12.7109375" customWidth="1"/>
    <col min="21" max="22" width="12.7109375" style="53" customWidth="1"/>
    <col min="23" max="23" width="2.7109375" style="53" customWidth="1"/>
    <col min="24" max="25" width="12.7109375" style="53" customWidth="1"/>
    <col min="26" max="29" width="12.28515625" style="53" customWidth="1"/>
    <col min="30" max="16384" width="9.140625" style="53"/>
  </cols>
  <sheetData>
    <row r="2" spans="2:30" ht="19.5" customHeight="1" x14ac:dyDescent="0.25">
      <c r="C2" s="209" t="s">
        <v>84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30" ht="15.75" x14ac:dyDescent="0.25">
      <c r="C3" s="42" t="s">
        <v>44</v>
      </c>
    </row>
    <row r="4" spans="2:30" s="111" customFormat="1" ht="45" x14ac:dyDescent="0.2">
      <c r="B4" s="110"/>
      <c r="C4" s="145" t="s">
        <v>0</v>
      </c>
      <c r="D4" s="145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5</v>
      </c>
      <c r="J4" s="145" t="s">
        <v>6</v>
      </c>
      <c r="K4" s="145" t="s">
        <v>7</v>
      </c>
      <c r="L4" s="146" t="s">
        <v>14</v>
      </c>
      <c r="M4" s="146"/>
    </row>
    <row r="5" spans="2:30" x14ac:dyDescent="0.2">
      <c r="C5" s="148"/>
      <c r="D5" s="149"/>
      <c r="E5" s="150">
        <v>10</v>
      </c>
      <c r="F5" s="266">
        <f>+'Capacity Delivered'!$I$5</f>
        <v>0.04</v>
      </c>
      <c r="G5" s="151" t="s">
        <v>8</v>
      </c>
      <c r="H5" s="152">
        <f>'Electric EES CE Std Energy'!D18</f>
        <v>2.1962055687281625E-2</v>
      </c>
      <c r="I5" s="153">
        <f>'Solar Avoided Capacity Calcs'!Y16</f>
        <v>1.7976150043397861E-3</v>
      </c>
      <c r="J5" s="153">
        <f>H5+I5</f>
        <v>2.375967069162141E-2</v>
      </c>
      <c r="K5" s="154">
        <f>J5</f>
        <v>2.375967069162141E-2</v>
      </c>
      <c r="L5" s="155">
        <f>K5*1000</f>
        <v>23.759670691621409</v>
      </c>
      <c r="M5" s="139"/>
    </row>
    <row r="6" spans="2:30" x14ac:dyDescent="0.2">
      <c r="C6" s="147"/>
      <c r="D6" s="147"/>
      <c r="E6" s="114"/>
      <c r="F6" s="114"/>
      <c r="G6" s="114"/>
      <c r="H6" s="32">
        <f>H5*1000</f>
        <v>21.962055687281627</v>
      </c>
      <c r="I6" s="32">
        <f t="shared" ref="I6:K6" si="0">I5*1000</f>
        <v>1.797615004339786</v>
      </c>
      <c r="J6" s="32">
        <f t="shared" si="0"/>
        <v>23.759670691621409</v>
      </c>
      <c r="K6" s="32">
        <f t="shared" si="0"/>
        <v>23.759670691621409</v>
      </c>
      <c r="L6" s="116">
        <f>L5*(1-M6)</f>
        <v>23.046880570872766</v>
      </c>
      <c r="M6" s="221">
        <v>0.03</v>
      </c>
      <c r="N6" s="117" t="s">
        <v>37</v>
      </c>
    </row>
    <row r="7" spans="2:30" x14ac:dyDescent="0.2">
      <c r="C7" s="118"/>
      <c r="D7" s="115"/>
      <c r="H7" s="40"/>
      <c r="I7" s="113"/>
      <c r="J7" s="40"/>
      <c r="K7" s="113"/>
      <c r="L7" s="113"/>
      <c r="M7" s="114"/>
    </row>
    <row r="8" spans="2:30" x14ac:dyDescent="0.2">
      <c r="C8" s="114"/>
      <c r="D8" s="114"/>
      <c r="E8" s="114"/>
      <c r="F8" s="114"/>
      <c r="G8" s="114"/>
      <c r="H8" s="119"/>
      <c r="I8" s="119"/>
      <c r="J8" s="119"/>
      <c r="K8" s="119"/>
      <c r="L8" s="119"/>
      <c r="M8" s="119"/>
      <c r="N8" s="119"/>
      <c r="O8" s="119"/>
      <c r="P8" s="119"/>
      <c r="Q8" s="119"/>
      <c r="U8" s="120"/>
      <c r="V8" s="120"/>
      <c r="W8" s="119"/>
      <c r="X8" s="199" t="s">
        <v>74</v>
      </c>
      <c r="Y8" s="120"/>
      <c r="Z8" s="120"/>
    </row>
    <row r="9" spans="2:30" x14ac:dyDescent="0.2">
      <c r="C9" s="121" t="s">
        <v>9</v>
      </c>
      <c r="D9" s="121"/>
      <c r="E9" s="121"/>
      <c r="F9" s="122">
        <f>+L6</f>
        <v>23.046880570872766</v>
      </c>
      <c r="G9" s="122">
        <f t="shared" ref="G9:O9" si="1">F9</f>
        <v>23.046880570872766</v>
      </c>
      <c r="H9" s="122">
        <f t="shared" si="1"/>
        <v>23.046880570872766</v>
      </c>
      <c r="I9" s="122">
        <f t="shared" si="1"/>
        <v>23.046880570872766</v>
      </c>
      <c r="J9" s="122">
        <f t="shared" si="1"/>
        <v>23.046880570872766</v>
      </c>
      <c r="K9" s="122">
        <f t="shared" si="1"/>
        <v>23.046880570872766</v>
      </c>
      <c r="L9" s="122">
        <f t="shared" si="1"/>
        <v>23.046880570872766</v>
      </c>
      <c r="M9" s="122">
        <f t="shared" si="1"/>
        <v>23.046880570872766</v>
      </c>
      <c r="N9" s="122">
        <f t="shared" si="1"/>
        <v>23.046880570872766</v>
      </c>
      <c r="O9" s="122">
        <f t="shared" si="1"/>
        <v>23.046880570872766</v>
      </c>
      <c r="V9" s="40"/>
      <c r="X9" s="198">
        <f>NPV(Rate_of_Return,F9:O9)</f>
        <v>158.99329998782585</v>
      </c>
      <c r="Y9" s="198">
        <f>-PMT(Rate_of_Return,$E$5,X9)</f>
        <v>23.046880570872755</v>
      </c>
      <c r="Z9" s="40"/>
    </row>
    <row r="10" spans="2:30" x14ac:dyDescent="0.2">
      <c r="C10" s="114"/>
      <c r="D10" s="114"/>
      <c r="E10" s="114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19"/>
      <c r="Q10" s="119"/>
      <c r="U10" s="120"/>
      <c r="V10" s="40"/>
      <c r="W10" s="119"/>
      <c r="X10" s="32"/>
      <c r="Y10" s="32"/>
      <c r="Z10" s="40"/>
    </row>
    <row r="11" spans="2:30" x14ac:dyDescent="0.2">
      <c r="C11" s="53" t="s">
        <v>56</v>
      </c>
      <c r="F11" s="204">
        <v>1</v>
      </c>
      <c r="G11" s="204">
        <v>2</v>
      </c>
      <c r="H11" s="204">
        <v>3</v>
      </c>
      <c r="I11" s="204">
        <v>4</v>
      </c>
      <c r="J11" s="204">
        <v>5</v>
      </c>
      <c r="K11" s="204">
        <v>6</v>
      </c>
      <c r="L11" s="204">
        <v>7</v>
      </c>
      <c r="M11" s="204">
        <v>8</v>
      </c>
      <c r="N11" s="204">
        <v>9</v>
      </c>
      <c r="O11" s="204">
        <v>10</v>
      </c>
      <c r="P11" s="204">
        <v>11</v>
      </c>
      <c r="Q11" s="204">
        <v>12</v>
      </c>
      <c r="V11" s="40"/>
      <c r="X11" s="40"/>
      <c r="Y11" s="40"/>
      <c r="Z11" s="40"/>
    </row>
    <row r="12" spans="2:30" x14ac:dyDescent="0.2">
      <c r="C12" s="114"/>
      <c r="D12" s="112"/>
      <c r="E12" s="114"/>
      <c r="F12" s="124">
        <f>'Energy Prices'!$C$6</f>
        <v>2021</v>
      </c>
      <c r="G12" s="124">
        <f>F12+1</f>
        <v>2022</v>
      </c>
      <c r="H12" s="124">
        <f>G12+1</f>
        <v>2023</v>
      </c>
      <c r="I12" s="124">
        <f t="shared" ref="I12:O12" si="2">H12+1</f>
        <v>2024</v>
      </c>
      <c r="J12" s="124">
        <f t="shared" si="2"/>
        <v>2025</v>
      </c>
      <c r="K12" s="124">
        <f t="shared" si="2"/>
        <v>2026</v>
      </c>
      <c r="L12" s="124">
        <f t="shared" si="2"/>
        <v>2027</v>
      </c>
      <c r="M12" s="124">
        <f t="shared" si="2"/>
        <v>2028</v>
      </c>
      <c r="N12" s="124">
        <f t="shared" si="2"/>
        <v>2029</v>
      </c>
      <c r="O12" s="124">
        <f t="shared" si="2"/>
        <v>2030</v>
      </c>
      <c r="P12" s="124">
        <f>O12+1</f>
        <v>2031</v>
      </c>
      <c r="Q12" s="124">
        <f>P12+1</f>
        <v>2032</v>
      </c>
      <c r="U12" s="120"/>
      <c r="V12" s="202"/>
      <c r="W12" s="119"/>
      <c r="X12" s="199" t="s">
        <v>74</v>
      </c>
      <c r="Y12" s="32"/>
      <c r="Z12" s="120"/>
    </row>
    <row r="13" spans="2:30" ht="52.9" customHeight="1" x14ac:dyDescent="0.2">
      <c r="B13" s="114"/>
      <c r="C13" s="205" t="s">
        <v>78</v>
      </c>
      <c r="D13" s="114"/>
      <c r="F13" s="156">
        <f t="shared" ref="F13:O13" si="3">F$9*F$20</f>
        <v>20.87077926035829</v>
      </c>
      <c r="G13" s="157">
        <f t="shared" si="3"/>
        <v>21.392548741867245</v>
      </c>
      <c r="H13" s="158">
        <f t="shared" si="3"/>
        <v>21.927362460413921</v>
      </c>
      <c r="I13" s="158">
        <f t="shared" si="3"/>
        <v>22.475546521924269</v>
      </c>
      <c r="J13" s="158">
        <f t="shared" si="3"/>
        <v>23.037435184972374</v>
      </c>
      <c r="K13" s="158">
        <f t="shared" si="3"/>
        <v>23.613371064596681</v>
      </c>
      <c r="L13" s="158">
        <f t="shared" si="3"/>
        <v>24.203705341211595</v>
      </c>
      <c r="M13" s="158">
        <f t="shared" si="3"/>
        <v>24.808797974741879</v>
      </c>
      <c r="N13" s="158">
        <f t="shared" si="3"/>
        <v>25.429017924110425</v>
      </c>
      <c r="O13" s="158">
        <f t="shared" si="3"/>
        <v>26.064743372213183</v>
      </c>
      <c r="P13" s="201">
        <f>O13*1.025</f>
        <v>26.716361956518512</v>
      </c>
      <c r="Q13" s="201">
        <f>P13*1.025</f>
        <v>27.384271005431472</v>
      </c>
      <c r="V13" s="126"/>
      <c r="X13" s="198">
        <f>NPV(Rate_of_Return,F13:O13)</f>
        <v>158.99329998782596</v>
      </c>
      <c r="Y13" s="198">
        <f>-PMT(Rate_of_Return,$E$5,X13)</f>
        <v>23.046880570872773</v>
      </c>
      <c r="Z13" s="126"/>
      <c r="AD13" s="127"/>
    </row>
    <row r="14" spans="2:30" x14ac:dyDescent="0.2">
      <c r="C14" s="125"/>
      <c r="E14" s="12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19"/>
      <c r="Q14" s="119"/>
      <c r="U14" s="120"/>
      <c r="V14" s="126"/>
      <c r="W14" s="119"/>
      <c r="X14" s="120"/>
      <c r="Y14" s="120"/>
      <c r="Z14" s="120"/>
    </row>
    <row r="15" spans="2:30" x14ac:dyDescent="0.2">
      <c r="C15" s="129"/>
      <c r="E15" s="128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V15" s="126"/>
      <c r="X15" s="120"/>
      <c r="Y15" s="120"/>
      <c r="Z15" s="120"/>
    </row>
    <row r="16" spans="2:30" x14ac:dyDescent="0.2">
      <c r="C16" s="53" t="s">
        <v>10</v>
      </c>
      <c r="P16" s="119"/>
      <c r="Q16" s="119"/>
      <c r="U16" s="120"/>
      <c r="W16" s="119"/>
    </row>
    <row r="18" spans="2:26" x14ac:dyDescent="0.2"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9"/>
      <c r="Q18" s="119"/>
      <c r="U18" s="120"/>
      <c r="W18" s="119"/>
      <c r="X18" s="199" t="s">
        <v>74</v>
      </c>
      <c r="Y18" s="114"/>
    </row>
    <row r="19" spans="2:26" x14ac:dyDescent="0.2">
      <c r="C19" s="121" t="s">
        <v>11</v>
      </c>
      <c r="D19" s="121"/>
      <c r="E19" s="121"/>
      <c r="F19" s="140">
        <v>100</v>
      </c>
      <c r="G19" s="140">
        <f t="shared" ref="G19:O19" si="4">F19*1.025</f>
        <v>102.49999999999999</v>
      </c>
      <c r="H19" s="140">
        <f t="shared" si="4"/>
        <v>105.06249999999997</v>
      </c>
      <c r="I19" s="140">
        <f t="shared" si="4"/>
        <v>107.68906249999996</v>
      </c>
      <c r="J19" s="140">
        <f t="shared" si="4"/>
        <v>110.38128906249996</v>
      </c>
      <c r="K19" s="140">
        <f t="shared" si="4"/>
        <v>113.14082128906244</v>
      </c>
      <c r="L19" s="140">
        <f t="shared" si="4"/>
        <v>115.96934182128899</v>
      </c>
      <c r="M19" s="140">
        <f t="shared" si="4"/>
        <v>118.8685753668212</v>
      </c>
      <c r="N19" s="140">
        <f t="shared" si="4"/>
        <v>121.84028975099173</v>
      </c>
      <c r="O19" s="140">
        <f t="shared" si="4"/>
        <v>124.88629699476651</v>
      </c>
      <c r="V19" s="130"/>
      <c r="X19" s="198">
        <f>NPV(Rate_of_Return,F19:O19)</f>
        <v>761.7985797483658</v>
      </c>
      <c r="Y19" s="198">
        <f>-PMT(Rate_of_Return,$E$5,X19)</f>
        <v>110.42654557057071</v>
      </c>
      <c r="Z19" s="120"/>
    </row>
    <row r="20" spans="2:26" x14ac:dyDescent="0.2">
      <c r="C20" s="143" t="s">
        <v>12</v>
      </c>
      <c r="D20" s="143"/>
      <c r="E20" s="143"/>
      <c r="F20" s="144">
        <f t="shared" ref="F20:O20" si="5">F19/$Y$19</f>
        <v>0.90557935579079241</v>
      </c>
      <c r="G20" s="144">
        <f t="shared" si="5"/>
        <v>0.92821883968556207</v>
      </c>
      <c r="H20" s="144">
        <f t="shared" si="5"/>
        <v>0.95142431067770095</v>
      </c>
      <c r="I20" s="144">
        <f t="shared" si="5"/>
        <v>0.97520991844464344</v>
      </c>
      <c r="J20" s="144">
        <f t="shared" si="5"/>
        <v>0.99959016640575948</v>
      </c>
      <c r="K20" s="144">
        <f t="shared" si="5"/>
        <v>1.0245799205659034</v>
      </c>
      <c r="L20" s="144">
        <f t="shared" si="5"/>
        <v>1.0501944185800509</v>
      </c>
      <c r="M20" s="144">
        <f t="shared" si="5"/>
        <v>1.0764492790445519</v>
      </c>
      <c r="N20" s="144">
        <f t="shared" si="5"/>
        <v>1.1033605110206657</v>
      </c>
      <c r="O20" s="144">
        <f t="shared" si="5"/>
        <v>1.1309445237961822</v>
      </c>
      <c r="P20" s="119"/>
      <c r="Q20" s="119"/>
      <c r="U20" s="120"/>
      <c r="V20" s="131"/>
      <c r="W20" s="119"/>
      <c r="X20" s="198">
        <f>NPV(Rate_of_Return,F20:O20)</f>
        <v>6.8986906709086568</v>
      </c>
      <c r="Y20" s="198">
        <f>-PMT(Rate_of_Return,$E$5,X20)</f>
        <v>1.0000000000000002</v>
      </c>
      <c r="Z20" s="120"/>
    </row>
    <row r="21" spans="2:26" x14ac:dyDescent="0.2">
      <c r="C21" s="114"/>
      <c r="D21" s="114"/>
      <c r="E21" s="141"/>
      <c r="F21" s="141"/>
      <c r="G21" s="141"/>
      <c r="H21" s="141"/>
      <c r="I21" s="141"/>
      <c r="J21" s="141"/>
      <c r="K21" s="141"/>
      <c r="L21" s="141"/>
      <c r="M21" s="142"/>
      <c r="N21" s="142"/>
      <c r="O21" s="142"/>
      <c r="P21" s="142"/>
      <c r="Q21" s="142"/>
      <c r="W21" s="142"/>
      <c r="X21" s="142"/>
      <c r="Y21" s="142"/>
    </row>
    <row r="22" spans="2:26" x14ac:dyDescent="0.2">
      <c r="B22" s="132" t="s">
        <v>13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2:26" x14ac:dyDescent="0.2">
      <c r="B23" s="135">
        <v>1</v>
      </c>
      <c r="C23" s="263" t="s">
        <v>113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2:26" x14ac:dyDescent="0.2">
      <c r="B24" s="135">
        <v>2</v>
      </c>
      <c r="C24" s="134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2:26" x14ac:dyDescent="0.2">
      <c r="B25" s="135">
        <v>3</v>
      </c>
      <c r="C25" s="134" t="s">
        <v>45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pans="2:26" x14ac:dyDescent="0.2">
      <c r="B26" s="135">
        <v>4</v>
      </c>
      <c r="C26" s="134" t="s">
        <v>119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2:26" x14ac:dyDescent="0.2">
      <c r="B27" s="135">
        <v>5</v>
      </c>
      <c r="C27" s="134" t="s">
        <v>79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</row>
    <row r="28" spans="2:26" x14ac:dyDescent="0.2">
      <c r="B28" s="135">
        <v>6</v>
      </c>
      <c r="C28" s="134" t="s">
        <v>80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2:26" x14ac:dyDescent="0.2">
      <c r="B29" s="135">
        <v>7</v>
      </c>
      <c r="C29" s="134" t="s">
        <v>81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2:26" x14ac:dyDescent="0.2">
      <c r="B30" s="135">
        <v>8</v>
      </c>
      <c r="C30" s="134" t="s">
        <v>51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26" x14ac:dyDescent="0.2">
      <c r="B31" s="135">
        <v>9</v>
      </c>
      <c r="C31" s="134" t="s">
        <v>82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26" x14ac:dyDescent="0.2">
      <c r="B32" s="135">
        <v>10</v>
      </c>
      <c r="C32" s="53" t="s">
        <v>83</v>
      </c>
    </row>
    <row r="33" spans="2:25" x14ac:dyDescent="0.2">
      <c r="B33" s="135">
        <v>11</v>
      </c>
      <c r="C33" s="53" t="s">
        <v>102</v>
      </c>
    </row>
    <row r="34" spans="2:25" ht="15.75" x14ac:dyDescent="0.25">
      <c r="B34" s="137"/>
      <c r="C34" s="5"/>
      <c r="D34" s="5"/>
      <c r="E34" s="5"/>
      <c r="F34" s="5"/>
    </row>
    <row r="35" spans="2:25" ht="15.75" x14ac:dyDescent="0.25">
      <c r="B35" s="137"/>
      <c r="C35" s="5"/>
      <c r="D35" s="5"/>
      <c r="E35" s="5"/>
      <c r="F35" s="5"/>
    </row>
    <row r="37" spans="2:25" x14ac:dyDescent="0.2">
      <c r="F37" s="120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W37" s="138"/>
      <c r="X37" s="138"/>
      <c r="Y37" s="138"/>
    </row>
    <row r="38" spans="2:25" x14ac:dyDescent="0.2"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W38" s="138"/>
      <c r="X38" s="138"/>
      <c r="Y38" s="138"/>
    </row>
    <row r="39" spans="2:25" x14ac:dyDescent="0.2"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W39" s="120"/>
      <c r="X39" s="120"/>
      <c r="Y39" s="120"/>
    </row>
    <row r="40" spans="2:25" x14ac:dyDescent="0.2">
      <c r="D40" s="130"/>
    </row>
  </sheetData>
  <customSheetViews>
    <customSheetView guid="{7616AFB9-3DAD-45EA-BAD3-1A4EF1124EEE}" fitToPage="1" topLeftCell="A11">
      <selection activeCell="C26" sqref="C26"/>
      <pageMargins left="0.75" right="0.5" top="0.76" bottom="0.79" header="0.5" footer="0.26"/>
      <pageSetup scale="35" orientation="landscape" r:id="rId1"/>
      <headerFooter alignWithMargins="0">
        <oddFooter>&amp;L&amp;F&amp;C&amp;A&amp;RPSE Advice No. 2018-48 &amp;D
Page &amp;P of &amp;N</oddFooter>
      </headerFooter>
    </customSheetView>
    <customSheetView guid="{187E4F87-D02E-4E96-857A-1064DDCF8EA8}" fitToPage="1" topLeftCell="A11">
      <selection activeCell="C26" sqref="C26"/>
      <pageMargins left="0.75" right="0.5" top="0.76" bottom="0.79" header="0.5" footer="0.26"/>
      <pageSetup scale="35" orientation="landscape" r:id="rId2"/>
      <headerFooter alignWithMargins="0">
        <oddFooter>&amp;L&amp;F&amp;C&amp;A&amp;RPSE Advice No. 2018-48 &amp;D
Page &amp;P of &amp;N</oddFooter>
      </headerFooter>
    </customSheetView>
  </customSheetViews>
  <dataValidations count="3">
    <dataValidation type="decimal" operator="greaterThan" allowBlank="1" showInputMessage="1" showErrorMessage="1" sqref="C5:D5">
      <formula1>0</formula1>
    </dataValidation>
    <dataValidation type="list" allowBlank="1" showInputMessage="1" showErrorMessage="1" sqref="G5">
      <formula1>MeasureList</formula1>
    </dataValidation>
    <dataValidation type="list" allowBlank="1" showInputMessage="1" showErrorMessage="1" sqref="E5">
      <formula1>"1,2,3,4,5,6,7,8,9,10,11,12,13,14,15,16,17,18,19,20,21,22,23,24,25,26,27,28,29,30"</formula1>
    </dataValidation>
  </dataValidations>
  <pageMargins left="0.75" right="0.5" top="0.76" bottom="0.79" header="0.5" footer="0.26"/>
  <pageSetup scale="35" orientation="landscape" r:id="rId3"/>
  <headerFooter alignWithMargins="0">
    <oddFooter>&amp;L&amp;F&amp;C&amp;A&amp;RPSE Advice No. 2018-48 &amp;D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FC7936A7DF4540999B8277454E47E0" ma:contentTypeVersion="24" ma:contentTypeDescription="" ma:contentTypeScope="" ma:versionID="cd141ac3ded441a9c01a5a557a9542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6a724bdf7d928a9e2952e9cc4847961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2:IsEFSEC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8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EFSEC" ma:index="17" nillable="true" ma:displayName="IsEFSEC" ma:default="0" ma:internalName="IsEFSEC">
      <xsd:simpleType>
        <xsd:restriction base="dms:Boolean"/>
      </xsd:simpleType>
    </xsd:element>
    <xsd:element name="SignificantOrder" ma:index="25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2020-10-27T07:00:00+00:00</OpenedDate>
    <SignificantOrder xmlns="dc463f71-b30c-4ab2-9473-d307f9d35888">false</SignificantOrder>
    <Date1 xmlns="dc463f71-b30c-4ab2-9473-d307f9d35888">2020-11-25T08:00:00+00:00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200886</DocketNumber>
    <DelegatedOrder xmlns="dc463f71-b30c-4ab2-9473-d307f9d35888">false</DelegatedOrder>
    <IsEFSEC xmlns="dc463f71-b30c-4ab2-9473-d307f9d35888">false</IsEFSEC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7F9E7-C9D3-4FD0-BFFA-214B6BA2763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66FD67E-DFC2-4A3D-BC28-45F7A1B763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0F919-B37F-4217-AEE8-BC978C1FFF41}">
  <ds:schemaRefs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AE01BA9-141D-41B1-9010-9F5A6F197A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READ ME</vt:lpstr>
      <vt:lpstr>Summary of Changes</vt:lpstr>
      <vt:lpstr>Output - Summary</vt:lpstr>
      <vt:lpstr>Output - 5yr Baseload</vt:lpstr>
      <vt:lpstr>Output - 10yr Baseload</vt:lpstr>
      <vt:lpstr>Output - 15yr Baseload</vt:lpstr>
      <vt:lpstr>Output - 10yr Wind</vt:lpstr>
      <vt:lpstr>Output - 15yr Wind</vt:lpstr>
      <vt:lpstr>Output - 10yr Solar</vt:lpstr>
      <vt:lpstr>Output - 15yr Solar</vt:lpstr>
      <vt:lpstr>Electric EES CE Std Energy</vt:lpstr>
      <vt:lpstr>FlatLoadShapeEnergy_perMWh</vt:lpstr>
      <vt:lpstr>Baseload Avoided Capacity Calcs</vt:lpstr>
      <vt:lpstr>Wind Avoided Capacity Calcs</vt:lpstr>
      <vt:lpstr>Solar Avoided Capacity Calcs</vt:lpstr>
      <vt:lpstr>Inputs-----&gt;</vt:lpstr>
      <vt:lpstr>Energy Prices</vt:lpstr>
      <vt:lpstr>Capacity Delivered</vt:lpstr>
      <vt:lpstr>Cost of Capital</vt:lpstr>
      <vt:lpstr>'Summary of Changes'!afdasfasdf</vt:lpstr>
      <vt:lpstr>afdasfasdf</vt:lpstr>
      <vt:lpstr>'Baseload Avoided Capacity Calcs'!Print_Area</vt:lpstr>
      <vt:lpstr>'Capacity Delivered'!Print_Area</vt:lpstr>
      <vt:lpstr>'Electric EES CE Std Energy'!Print_Area</vt:lpstr>
      <vt:lpstr>FlatLoadShapeEnergy_perMWh!Print_Area</vt:lpstr>
      <vt:lpstr>'Output - 10yr Baseload'!Print_Area</vt:lpstr>
      <vt:lpstr>'Output - 10yr Solar'!Print_Area</vt:lpstr>
      <vt:lpstr>'Output - 10yr Wind'!Print_Area</vt:lpstr>
      <vt:lpstr>'Output - 15yr Baseload'!Print_Area</vt:lpstr>
      <vt:lpstr>'Output - 15yr Solar'!Print_Area</vt:lpstr>
      <vt:lpstr>'Output - 15yr Wind'!Print_Area</vt:lpstr>
      <vt:lpstr>'Output - 5yr Baseload'!Print_Area</vt:lpstr>
      <vt:lpstr>'Output - Summary'!Print_Area</vt:lpstr>
      <vt:lpstr>'Solar Avoided Capacity Calcs'!Print_Area</vt:lpstr>
      <vt:lpstr>'Wind Avoided Capacity Calcs'!Print_Area</vt:lpstr>
      <vt:lpstr>'READ ME'!Rate_of_Return</vt:lpstr>
      <vt:lpstr>'Summary of Changes'!Rate_of_Return</vt:lpstr>
      <vt:lpstr>Rate_of_Return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Elsea</dc:creator>
  <cp:lastModifiedBy>Luera de Meyers, Camille</cp:lastModifiedBy>
  <cp:lastPrinted>2019-09-23T18:45:11Z</cp:lastPrinted>
  <dcterms:created xsi:type="dcterms:W3CDTF">2011-10-18T17:21:29Z</dcterms:created>
  <dcterms:modified xsi:type="dcterms:W3CDTF">2022-01-14T01:01:17Z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0x0101006E56B4D1795A2E4DB2F0B01679ED314A00C5FC7936A7DF4540999B8277454E47E0</vt:lpwstr>
  </property>
  <property fmtid="{D5CDD505-2E9C-101B-9397-08002B2CF9AE}" pid="3" name="_docset_NoMedatataSyncRequired">
    <vt:lpwstr>False</vt:lpwstr>
  </property>
</Properties>
</file>