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Federal &amp; Regional Policy\PSE Transmission Rates\OATT Formula Rates\Formula Rate Annual Updates\2023 Annual Update\"/>
    </mc:Choice>
  </mc:AlternateContent>
  <bookViews>
    <workbookView xWindow="-90" yWindow="90" windowWidth="19290" windowHeight="6510" tabRatio="826" activeTab="1"/>
  </bookViews>
  <sheets>
    <sheet name="Sch 1" sheetId="33" r:id="rId1"/>
    <sheet name="ATT H-1 " sheetId="31" r:id="rId2"/>
    <sheet name="1 - ADIT" sheetId="2" r:id="rId3"/>
    <sheet name="2 - Other Tax" sheetId="3" r:id="rId4"/>
    <sheet name="3 - Revenue Credits" sheetId="5" r:id="rId5"/>
    <sheet name="4 - 100 Basis Pt ROE" sheetId="22" r:id="rId6"/>
    <sheet name="5 - Cost Support" sheetId="20" r:id="rId7"/>
    <sheet name="6 - Est and True up" sheetId="34" r:id="rId8"/>
    <sheet name="6A-Colstrip" sheetId="45" r:id="rId9"/>
    <sheet name="6B-So Intertie" sheetId="46" r:id="rId10"/>
    <sheet name="7 - Cap Add WS" sheetId="39" r:id="rId11"/>
    <sheet name="8 - Depreciation Rates" sheetId="40" r:id="rId12"/>
    <sheet name="WKSHT1 - Rev Credits" sheetId="19" r:id="rId13"/>
    <sheet name="WKSHT2 - Prepaid" sheetId="23" r:id="rId14"/>
    <sheet name="WKSHT3 - All GIFs" sheetId="38" r:id="rId15"/>
    <sheet name="WKSHT4 - Monthly Tx System Peak" sheetId="41" r:id="rId16"/>
    <sheet name="WKSHT5 - Plant in Service 13mo " sheetId="43" r:id="rId17"/>
    <sheet name="WKSHT6 - Cost of Capital" sheetId="44" r:id="rId18"/>
    <sheet name="WKSHT7 - EDIT" sheetId="47" r:id="rId19"/>
  </sheets>
  <externalReferences>
    <externalReference r:id="rId20"/>
    <externalReference r:id="rId21"/>
    <externalReference r:id="rId22"/>
    <externalReference r:id="rId23"/>
    <externalReference r:id="rId24"/>
    <externalReference r:id="rId25"/>
  </externalReferences>
  <definedNames>
    <definedName name="\0" localSheetId="17">'[1]Header Data'!#REF!</definedName>
    <definedName name="\0">#N/A</definedName>
    <definedName name="\1">'[1]Header Data'!#REF!</definedName>
    <definedName name="\b">#N/A</definedName>
    <definedName name="\c">#N/A</definedName>
    <definedName name="\d">#N/A</definedName>
    <definedName name="\E">#REF!</definedName>
    <definedName name="\f">#N/A</definedName>
    <definedName name="\m">#N/A</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_CPK1" localSheetId="10">#REF!</definedName>
    <definedName name="__CPK1">#REF!</definedName>
    <definedName name="__CPK2">#REF!</definedName>
    <definedName name="__CPK3">#REF!</definedName>
    <definedName name="__EGR1">#N/A</definedName>
    <definedName name="__EGR2">#N/A</definedName>
    <definedName name="__EGR3">#N/A</definedName>
    <definedName name="_CPK1" localSheetId="10">#REF!</definedName>
    <definedName name="_CPK1">#REF!</definedName>
    <definedName name="_CPK2">#REF!</definedName>
    <definedName name="_CPK3">#REF!</definedName>
    <definedName name="_EGR1">#N/A</definedName>
    <definedName name="_EGR2">#N/A</definedName>
    <definedName name="_EGR3">#N/A</definedName>
    <definedName name="_Fill" hidden="1">#REF!</definedName>
    <definedName name="_Key1" hidden="1">#REF!</definedName>
    <definedName name="_Order1" hidden="1">0</definedName>
    <definedName name="_Sort" hidden="1">#REF!</definedName>
    <definedName name="A">#REF!</definedName>
    <definedName name="ACCTTextLen">#REF!</definedName>
    <definedName name="ACTTextLen">#REF!</definedName>
    <definedName name="ALOC">#REF!</definedName>
    <definedName name="ALOC_2">#REF!</definedName>
    <definedName name="AMOUNT">#REF!</definedName>
    <definedName name="APR">#N/A</definedName>
    <definedName name="AREA">#N/A</definedName>
    <definedName name="AUG">#N/A</definedName>
    <definedName name="AVG">#N/A</definedName>
    <definedName name="B">#REF!</definedName>
    <definedName name="BadErrMsg">#REF!</definedName>
    <definedName name="BalanceSheet">#REF!</definedName>
    <definedName name="Bio_Flora">#REF!</definedName>
    <definedName name="C_">'[3]RR 8 2'!#REF!</definedName>
    <definedName name="CALC_C03">#REF!</definedName>
    <definedName name="CALC_C04">#REF!</definedName>
    <definedName name="CALC_C09">#REF!</definedName>
    <definedName name="CALC_LRG">#REF!</definedName>
    <definedName name="CALC_XLG">#REF!</definedName>
    <definedName name="CELL">#N/A</definedName>
    <definedName name="CLASSES">#N/A</definedName>
    <definedName name="CompanyTextLen">#REF!</definedName>
    <definedName name="CP">#N/A</definedName>
    <definedName name="CP_1">#N/A</definedName>
    <definedName name="CP_PG1B">#REF!</definedName>
    <definedName name="cp_pg2">#REF!</definedName>
    <definedName name="cp_pg2b">#REF!</definedName>
    <definedName name="CP_PG3B">#REF!</definedName>
    <definedName name="CPK1X">#REF!</definedName>
    <definedName name="CPK2X">#REF!</definedName>
    <definedName name="CREDITS">#REF!</definedName>
    <definedName name="CSTextLen">#REF!</definedName>
    <definedName name="CUST">#N/A</definedName>
    <definedName name="CUST1">#N/A</definedName>
    <definedName name="CUSTOM1">#REF!</definedName>
    <definedName name="CUSTOM2">#REF!</definedName>
    <definedName name="DATALINE">'[1]Header Data'!#REF!</definedName>
    <definedName name="DB_CPK">#N/A</definedName>
    <definedName name="DB_CPK1">[4]FERCFACT!#REF!</definedName>
    <definedName name="DB_CPK2">#REF!</definedName>
    <definedName name="DB_CPK3">#REF!</definedName>
    <definedName name="DB_CUST">#N/A</definedName>
    <definedName name="DB_EGR">#N/A</definedName>
    <definedName name="DB_EGR1">[4]FERCFACT!#REF!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EBITS">#REF!</definedName>
    <definedName name="DEC">#N/A</definedName>
    <definedName name="DecCP">#REF!</definedName>
    <definedName name="DISPLAY">#N/A</definedName>
    <definedName name="DR_1">#N/A</definedName>
    <definedName name="ED8_BIOFLORA_Print">#REF!</definedName>
    <definedName name="EFF_DATE">'[1]Header Data'!#REF!</definedName>
    <definedName name="EGR">#N/A</definedName>
    <definedName name="EGR1X">#REF!</definedName>
    <definedName name="EIGHT">#N/A</definedName>
    <definedName name="ELEVEN">#N/A</definedName>
    <definedName name="END">#REF!</definedName>
    <definedName name="ENERGY">#REF!</definedName>
    <definedName name="ENERGY_SUP" localSheetId="10">[4]FERCFACT!#REF!</definedName>
    <definedName name="ENERGY_SUP">[4]FERCFACT!#REF!</definedName>
    <definedName name="ENERGY1">#N/A</definedName>
    <definedName name="EST_BY_ACCT">#REF!</definedName>
    <definedName name="FACTORS">#REF!</definedName>
    <definedName name="FACTRS">#REF!</definedName>
    <definedName name="FIVE">#N/A</definedName>
    <definedName name="FOUR">#N/A</definedName>
    <definedName name="GJC_03">#REF!</definedName>
    <definedName name="GJC_04">#REF!</definedName>
    <definedName name="GJC_09">#REF!</definedName>
    <definedName name="HCTextLen">#REF!</definedName>
    <definedName name="head">#REF!</definedName>
    <definedName name="IMAX1">#REF!</definedName>
    <definedName name="IMAX2">#REF!</definedName>
    <definedName name="IMAX3">#REF!</definedName>
    <definedName name="IncomeStatement">#REF!</definedName>
    <definedName name="IND.MAX">#N/A</definedName>
    <definedName name="IND.MAX1">#N/A</definedName>
    <definedName name="INPUT" localSheetId="17">#REF!</definedName>
    <definedName name="INPUT">#N/A</definedName>
    <definedName name="INPUT_AREA">#REF!</definedName>
    <definedName name="INPUT_DATA">#REF!</definedName>
    <definedName name="JanCP">#REF!</definedName>
    <definedName name="jor">#REF!</definedName>
    <definedName name="JOUR_ENTRY">#REF!</definedName>
    <definedName name="JUL">#N/A</definedName>
    <definedName name="JUN">#N/A</definedName>
    <definedName name="LOCATE3">#N/A</definedName>
    <definedName name="LOCTABLE">#REF!</definedName>
    <definedName name="LOCTextLen">#REF!</definedName>
    <definedName name="losses">#REF!</definedName>
    <definedName name="LRG_GE">#REF!</definedName>
    <definedName name="LRG_GJ">#REF!</definedName>
    <definedName name="M">[4]FERCFACT!#REF!</definedName>
    <definedName name="MACRO">#N/A</definedName>
    <definedName name="MAIN">#N/A</definedName>
    <definedName name="MAR">#N/A</definedName>
    <definedName name="MAY">#N/A</definedName>
    <definedName name="MENUALL">#N/A</definedName>
    <definedName name="MENUALLOC">#N/A</definedName>
    <definedName name="MENUDBASE">#N/A</definedName>
    <definedName name="MENUDBS">#N/A</definedName>
    <definedName name="MENUPIC">#N/A</definedName>
    <definedName name="MENUPICK">#N/A</definedName>
    <definedName name="MENUPRNT">#N/A</definedName>
    <definedName name="MENUPRST">#N/A</definedName>
    <definedName name="MONTHS">#N/A</definedName>
    <definedName name="MOVE">#N/A</definedName>
    <definedName name="MTH">#N/A</definedName>
    <definedName name="NCP">#N/A</definedName>
    <definedName name="NCP_1">#N/A</definedName>
    <definedName name="NCPK1">#N/A</definedName>
    <definedName name="NCPK1X">#REF!</definedName>
    <definedName name="NCPK2">#REF!</definedName>
    <definedName name="NCPK2X">#REF!</definedName>
    <definedName name="NCPK3">#REF!</definedName>
    <definedName name="NETWK_TRANS_PK_RPT_Print_Area" localSheetId="10">#REF!</definedName>
    <definedName name="NETWK_TRANS_PK_RPT_Print_Area">#REF!</definedName>
    <definedName name="NINE">#N/A</definedName>
    <definedName name="NoErrMsg">#REF!</definedName>
    <definedName name="NormErrMsg">#REF!</definedName>
    <definedName name="NOTE">#REF!</definedName>
    <definedName name="NOTE_A">#REF!</definedName>
    <definedName name="NOTE_B">#REF!</definedName>
    <definedName name="NOTE2">#REF!</definedName>
    <definedName name="NOV">#N/A</definedName>
    <definedName name="OCT">#N/A</definedName>
    <definedName name="ONE">#N/A</definedName>
    <definedName name="P_TYPE">#N/A</definedName>
    <definedName name="page1" localSheetId="17">'[5]W&amp;S by group'!#REF!</definedName>
    <definedName name="PAGE1">[4]FERCFACT!#REF!</definedName>
    <definedName name="page10">'[5]W&amp;S by group'!#REF!</definedName>
    <definedName name="page11">'[5]W&amp;S by group'!#REF!</definedName>
    <definedName name="page12">'[5]W&amp;S by group'!#REF!</definedName>
    <definedName name="page13">'[5]W&amp;S by group'!#REF!</definedName>
    <definedName name="page14">'[5]W&amp;S by group'!#REF!</definedName>
    <definedName name="page15">'[5]W&amp;S by group'!#REF!</definedName>
    <definedName name="page16">'[5]W&amp;S by group'!#REF!</definedName>
    <definedName name="page2" localSheetId="17">'[5]W&amp;S by group'!#REF!</definedName>
    <definedName name="PAGE2">#REF!</definedName>
    <definedName name="PAGE3" localSheetId="10">[4]FERCFACT!#REF!</definedName>
    <definedName name="page3" localSheetId="17">'[5]W&amp;S by group'!#REF!</definedName>
    <definedName name="PAGE3">[4]FERCFACT!#REF!</definedName>
    <definedName name="page4" localSheetId="17">'[5]W&amp;S by group'!#REF!</definedName>
    <definedName name="PAGE4">#REF!</definedName>
    <definedName name="page5" localSheetId="17">#REF!</definedName>
    <definedName name="PAGE5">#REF!</definedName>
    <definedName name="page6" localSheetId="17">#REF!</definedName>
    <definedName name="PAGE6">#REF!</definedName>
    <definedName name="page7" localSheetId="17">'[5]W&amp;S by group'!#REF!</definedName>
    <definedName name="PAGE7">#REF!</definedName>
    <definedName name="page8" localSheetId="17">'[5]W&amp;S by group'!#REF!</definedName>
    <definedName name="PAGE8">#REF!</definedName>
    <definedName name="page9" localSheetId="17">'[5]W&amp;S by group'!#REF!</definedName>
    <definedName name="PAGE9">#REF!</definedName>
    <definedName name="PageA">#REF!</definedName>
    <definedName name="PageB">#REF!</definedName>
    <definedName name="PageC">#REF!</definedName>
    <definedName name="PEAK">#N/A</definedName>
    <definedName name="PK_1">#N/A</definedName>
    <definedName name="_xlnm.Print_Area" localSheetId="3">'2 - Other Tax'!$A$1:$L$86</definedName>
    <definedName name="_xlnm.Print_Area" localSheetId="4">'3 - Revenue Credits'!$A$1:$I$34</definedName>
    <definedName name="_xlnm.Print_Area" localSheetId="6">'5 - Cost Support'!$A$1:$Q$257</definedName>
    <definedName name="_xlnm.Print_Area" localSheetId="7">'6 - Est and True up'!$A$1:$O$190</definedName>
    <definedName name="_xlnm.Print_Area" localSheetId="8">'6A-Colstrip'!$A$1:$Q$169</definedName>
    <definedName name="_xlnm.Print_Area" localSheetId="9">'6B-So Intertie'!$A$1:$R$172</definedName>
    <definedName name="_xlnm.Print_Area" localSheetId="10">'7 - Cap Add WS'!$A$1:$M$77</definedName>
    <definedName name="_xlnm.Print_Area" localSheetId="11">'8 - Depreciation Rates'!$A$1:$E$46</definedName>
    <definedName name="_xlnm.Print_Area" localSheetId="1">'ATT H-1 '!$A$1:$L$315</definedName>
    <definedName name="_xlnm.Print_Area" localSheetId="0">'Sch 1'!$A$2:$E$40</definedName>
    <definedName name="_xlnm.Print_Area" localSheetId="12">'WKSHT1 - Rev Credits'!$A$1:$L$136</definedName>
    <definedName name="_xlnm.Print_Area" localSheetId="14">'WKSHT3 - All GIFs'!$A$1:$E$85</definedName>
    <definedName name="_xlnm.Print_Area" localSheetId="15">'WKSHT4 - Monthly Tx System Peak'!$A$1:$K$74</definedName>
    <definedName name="_xlnm.Print_Area" localSheetId="17">'WKSHT6 - Cost of Capital'!$A$1:$P$58</definedName>
    <definedName name="_xlnm.Print_Area">'[2]BC 2 2005BC'!#REF!</definedName>
    <definedName name="PRINT_AREA_MI">'[2]BC 2 2005BC'!#REF!</definedName>
    <definedName name="PRINTFILE">#REF!</definedName>
    <definedName name="PROJ_WOTextLen">#REF!</definedName>
    <definedName name="PSLJ8LG">#N/A</definedName>
    <definedName name="PSOKI6">#N/A</definedName>
    <definedName name="Q">#REF!</definedName>
    <definedName name="_xlnm.Recorder">#REF!</definedName>
    <definedName name="RES_CPB">#REF!</definedName>
    <definedName name="SELECT">#N/A</definedName>
    <definedName name="SEP">#N/A</definedName>
    <definedName name="SEVEN">#N/A</definedName>
    <definedName name="SIX">#N/A</definedName>
    <definedName name="SORT">#N/A</definedName>
    <definedName name="SPACE">#N/A</definedName>
    <definedName name="Spot_Purchases_and_Tailgate">#REF!</definedName>
    <definedName name="SPOTE_04">#REF!</definedName>
    <definedName name="START">#REF!</definedName>
    <definedName name="STARTCR">#REF!</definedName>
    <definedName name="STARTDR">#REF!</definedName>
    <definedName name="SUBTITLE">#N/A</definedName>
    <definedName name="SUPPORTING_DATA_TO_UPLOAD">#REF!</definedName>
    <definedName name="suz">'[2]BC 2 2005BC'!#REF!</definedName>
    <definedName name="TEN">#N/A</definedName>
    <definedName name="THREE">#N/A</definedName>
    <definedName name="TWELVE">#N/A</definedName>
    <definedName name="TWO">#N/A</definedName>
    <definedName name="TYE">#N/A</definedName>
    <definedName name="TYE_1">#N/A</definedName>
    <definedName name="TYPETextLen">#REF!</definedName>
    <definedName name="Underground_Storage_Activity">#REF!</definedName>
    <definedName name="WELL_HEAD_ESTIMATES">#REF!</definedName>
    <definedName name="WITHSTD">#REF!</definedName>
    <definedName name="wrn.CP._.Demand." localSheetId="10" hidden="1">{"Retail CP pg1",#N/A,FALSE,"FACTOR3";"Retail CP pg2",#N/A,FALSE,"FACTOR3";"Retail CP pg3",#N/A,FALSE,"FACTOR3"}</definedName>
    <definedName name="wrn.CP._.Demand." hidden="1">{"Retail CP pg1",#N/A,FALSE,"FACTOR3";"Retail CP pg2",#N/A,FALSE,"FACTOR3";"Retail CP pg3",#N/A,FALSE,"FACTOR3"}</definedName>
    <definedName name="wrn.CP._.Demand2." localSheetId="10" hidden="1">{"Retail CP pg1",#N/A,FALSE,"FACTOR3";"Retail CP pg2",#N/A,FALSE,"FACTOR3";"Retail CP pg3",#N/A,FALSE,"FACTOR3"}</definedName>
    <definedName name="wrn.CP._.Demand2." hidden="1">{"Retail CP pg1",#N/A,FALSE,"FACTOR3";"Retail CP pg2",#N/A,FALSE,"FACTOR3";"Retail CP pg3",#N/A,FALSE,"FACTOR3"}</definedName>
    <definedName name="XLRG_GE">#REF!</definedName>
    <definedName name="XLRG_GJ">#REF!</definedName>
    <definedName name="Z_1155D18F_BFDD_426B_8E78_817CEB25FB23_.wvu.Cols" localSheetId="2" hidden="1">'1 - ADIT'!#REF!</definedName>
    <definedName name="Z_1155D18F_BFDD_426B_8E78_817CEB25FB23_.wvu.PrintArea" localSheetId="2" hidden="1">'1 - ADIT'!$A$1:$J$139</definedName>
    <definedName name="Z_1155D18F_BFDD_426B_8E78_817CEB25FB23_.wvu.PrintArea" localSheetId="4" hidden="1">'3 - Revenue Credits'!$A$1:$D$35</definedName>
    <definedName name="Z_16940A0E_2B20_4241_BF05_A4686E5A0274_.wvu.Cols" localSheetId="2" hidden="1">'1 - ADIT'!#REF!</definedName>
    <definedName name="Z_16940A0E_2B20_4241_BF05_A4686E5A0274_.wvu.PrintArea" localSheetId="2" hidden="1">'1 - ADIT'!$A$1:$J$140</definedName>
    <definedName name="Z_16940A0E_2B20_4241_BF05_A4686E5A0274_.wvu.PrintArea" localSheetId="4" hidden="1">'3 - Revenue Credits'!$A$1:$D$35</definedName>
    <definedName name="Z_28948E05_8F34_4F1E_96FB_A80A6A844600_.wvu.Cols" localSheetId="2" hidden="1">'1 - ADIT'!#REF!</definedName>
    <definedName name="Z_28948E05_8F34_4F1E_96FB_A80A6A844600_.wvu.PrintArea" localSheetId="2" hidden="1">'1 - ADIT'!$A$1:$J$139</definedName>
    <definedName name="Z_28948E05_8F34_4F1E_96FB_A80A6A844600_.wvu.PrintArea" localSheetId="4" hidden="1">'3 - Revenue Credits'!$A$1:$D$35</definedName>
    <definedName name="Z_3768C7C8_9953_11DA_B318_000FB55D51DC_.wvu.Cols" localSheetId="10" hidden="1">'7 - Cap Add WS'!#REF!</definedName>
    <definedName name="Z_3768C7C8_9953_11DA_B318_000FB55D51DC_.wvu.PrintArea" localSheetId="5" hidden="1">'4 - 100 Basis Pt ROE'!$A$9:$G$52</definedName>
    <definedName name="Z_3768C7C8_9953_11DA_B318_000FB55D51DC_.wvu.PrintArea" localSheetId="6" hidden="1">'5 - Cost Support'!$A$74:$N$239</definedName>
    <definedName name="Z_3768C7C8_9953_11DA_B318_000FB55D51DC_.wvu.PrintTitles" localSheetId="6" hidden="1">'5 - Cost Support'!#REF!</definedName>
    <definedName name="Z_3768C7C8_9953_11DA_B318_000FB55D51DC_.wvu.PrintTitles" localSheetId="10" hidden="1">'7 - Cap Add WS'!$B:$C</definedName>
    <definedName name="Z_3768C7C8_9953_11DA_B318_000FB55D51DC_.wvu.Rows" localSheetId="6" hidden="1">'5 - Cost Support'!#REF!</definedName>
    <definedName name="Z_3BDD6235_B127_4929_8311_BDAF7BB89818_.wvu.Cols" localSheetId="10" hidden="1">'7 - Cap Add WS'!#REF!</definedName>
    <definedName name="Z_3BDD6235_B127_4929_8311_BDAF7BB89818_.wvu.PrintArea" localSheetId="5" hidden="1">'4 - 100 Basis Pt ROE'!$A$9:$G$52</definedName>
    <definedName name="Z_3BDD6235_B127_4929_8311_BDAF7BB89818_.wvu.PrintArea" localSheetId="6" hidden="1">'5 - Cost Support'!$A$74:$N$239</definedName>
    <definedName name="Z_3BDD6235_B127_4929_8311_BDAF7BB89818_.wvu.PrintTitles" localSheetId="6" hidden="1">'5 - Cost Support'!#REF!</definedName>
    <definedName name="Z_3BDD6235_B127_4929_8311_BDAF7BB89818_.wvu.PrintTitles" localSheetId="10" hidden="1">'7 - Cap Add WS'!$B:$C</definedName>
    <definedName name="Z_3BDD6235_B127_4929_8311_BDAF7BB89818_.wvu.Rows" localSheetId="6" hidden="1">'5 - Cost Support'!#REF!</definedName>
    <definedName name="Z_44504B44_F20F_4B6F_B585_74D55BA74563_.wvu.Cols" localSheetId="2" hidden="1">'1 - ADIT'!#REF!</definedName>
    <definedName name="Z_44504B44_F20F_4B6F_B585_74D55BA74563_.wvu.PrintArea" localSheetId="2" hidden="1">'1 - ADIT'!$A$1:$J$140</definedName>
    <definedName name="Z_44504B44_F20F_4B6F_B585_74D55BA74563_.wvu.PrintArea" localSheetId="4" hidden="1">'3 - Revenue Credits'!$A$1:$D$35</definedName>
    <definedName name="Z_63011E91_4609_4523_98FE_FD252E915668_.wvu.Cols" localSheetId="2" hidden="1">'1 - ADIT'!#REF!</definedName>
    <definedName name="Z_63011E91_4609_4523_98FE_FD252E915668_.wvu.PrintArea" localSheetId="2" hidden="1">'1 - ADIT'!$A$1:$J$139</definedName>
    <definedName name="Z_63011E91_4609_4523_98FE_FD252E915668_.wvu.PrintArea" localSheetId="3" hidden="1">'2 - Other Tax'!$A$1:$H$86</definedName>
    <definedName name="Z_63011E91_4609_4523_98FE_FD252E915668_.wvu.PrintArea" localSheetId="4" hidden="1">'3 - Revenue Credits'!$A$1:$D$35</definedName>
    <definedName name="Z_71B42B22_A376_44B5_B0C1_23FC1AA3DBA2_.wvu.Cols" localSheetId="2" hidden="1">'1 - ADIT'!#REF!</definedName>
    <definedName name="Z_71B42B22_A376_44B5_B0C1_23FC1AA3DBA2_.wvu.PrintArea" localSheetId="2" hidden="1">'1 - ADIT'!$A$1:$J$139</definedName>
    <definedName name="Z_71B42B22_A376_44B5_B0C1_23FC1AA3DBA2_.wvu.PrintArea" localSheetId="4" hidden="1">'3 - Revenue Credits'!$A$1:$D$35</definedName>
    <definedName name="Z_B0241363_5C8A_48FC_89A6_56D55586BABE_.wvu.Cols" localSheetId="10" hidden="1">'7 - Cap Add WS'!#REF!</definedName>
    <definedName name="Z_B0241363_5C8A_48FC_89A6_56D55586BABE_.wvu.PrintArea" localSheetId="5" hidden="1">'4 - 100 Basis Pt ROE'!$A$9:$G$52</definedName>
    <definedName name="Z_B0241363_5C8A_48FC_89A6_56D55586BABE_.wvu.PrintArea" localSheetId="6" hidden="1">'5 - Cost Support'!$A$74:$N$239</definedName>
    <definedName name="Z_B0241363_5C8A_48FC_89A6_56D55586BABE_.wvu.PrintTitles" localSheetId="6" hidden="1">'5 - Cost Support'!#REF!</definedName>
    <definedName name="Z_B0241363_5C8A_48FC_89A6_56D55586BABE_.wvu.PrintTitles" localSheetId="10" hidden="1">'7 - Cap Add WS'!$B:$C</definedName>
    <definedName name="Z_B0241363_5C8A_48FC_89A6_56D55586BABE_.wvu.Rows" localSheetId="6" hidden="1">'5 - Cost Support'!#REF!</definedName>
    <definedName name="Z_B647CB7F_C846_4278_B6B1_1EF7F3C004F5_.wvu.Cols" localSheetId="2" hidden="1">'1 - ADIT'!#REF!</definedName>
    <definedName name="Z_B647CB7F_C846_4278_B6B1_1EF7F3C004F5_.wvu.PrintArea" localSheetId="2" hidden="1">'1 - ADIT'!$A$1:$J$139</definedName>
    <definedName name="Z_B647CB7F_C846_4278_B6B1_1EF7F3C004F5_.wvu.PrintArea" localSheetId="4" hidden="1">'3 - Revenue Credits'!$A$1:$D$35</definedName>
    <definedName name="Z_C0EA0F9F_7310_4201_82C9_7B8FC8DB9137_.wvu.Cols" localSheetId="10" hidden="1">'7 - Cap Add WS'!#REF!</definedName>
    <definedName name="Z_C0EA0F9F_7310_4201_82C9_7B8FC8DB9137_.wvu.PrintArea" localSheetId="5" hidden="1">'4 - 100 Basis Pt ROE'!$A$9:$G$52</definedName>
    <definedName name="Z_C0EA0F9F_7310_4201_82C9_7B8FC8DB9137_.wvu.PrintArea" localSheetId="6" hidden="1">'5 - Cost Support'!$A$74:$N$239</definedName>
    <definedName name="Z_C0EA0F9F_7310_4201_82C9_7B8FC8DB9137_.wvu.PrintTitles" localSheetId="6" hidden="1">'5 - Cost Support'!#REF!</definedName>
    <definedName name="Z_C0EA0F9F_7310_4201_82C9_7B8FC8DB9137_.wvu.PrintTitles" localSheetId="10" hidden="1">'7 - Cap Add WS'!$B:$C</definedName>
    <definedName name="Z_C0EA0F9F_7310_4201_82C9_7B8FC8DB9137_.wvu.Rows" localSheetId="6" hidden="1">'5 - Cost Support'!#REF!</definedName>
    <definedName name="Z_DC91DEF3_837B_4BB9_A81E_3B78C5914E6C_.wvu.Cols" localSheetId="2" hidden="1">'1 - ADIT'!#REF!</definedName>
    <definedName name="Z_DC91DEF3_837B_4BB9_A81E_3B78C5914E6C_.wvu.PrintArea" localSheetId="2" hidden="1">'1 - ADIT'!$A$1:$J$139</definedName>
    <definedName name="Z_DC91DEF3_837B_4BB9_A81E_3B78C5914E6C_.wvu.PrintArea" localSheetId="4" hidden="1">'3 - Revenue Credits'!$A$1:$D$35</definedName>
    <definedName name="Z_FAAD9AAC_1337_43AB_BF1F_CCF9DFCF5B78_.wvu.Cols" localSheetId="2" hidden="1">'1 - ADIT'!#REF!</definedName>
    <definedName name="Z_FAAD9AAC_1337_43AB_BF1F_CCF9DFCF5B78_.wvu.PrintArea" localSheetId="2" hidden="1">'1 - ADIT'!$A$1:$J$139</definedName>
    <definedName name="Z_FAAD9AAC_1337_43AB_BF1F_CCF9DFCF5B78_.wvu.PrintArea" localSheetId="4" hidden="1">'3 - Revenue Credits'!$A$1:$D$35</definedName>
  </definedNames>
  <calcPr calcId="162913"/>
  <customWorkbookViews>
    <customWorkbookView name="Ken Lee - Personal View" guid="{16940A0E-2B20-4241-BF05-A4686E5A0274}" mergeInterval="0" personalView="1" maximized="1" windowWidth="1020" windowHeight="593" tabRatio="809" activeSheetId="1"/>
    <customWorkbookView name="z93536 - Personal View" guid="{44504B44-F20F-4B6F-B585-74D55BA74563}" mergeInterval="0" personalView="1" maximized="1" windowWidth="1020" windowHeight="579" tabRatio="809" activeSheetId="1"/>
    <customWorkbookView name="x317aks - Personal View" guid="{FAAD9AAC-1337-43AB-BF1F-CCF9DFCF5B78}" mergeInterval="0" personalView="1" maximized="1" windowWidth="1020" windowHeight="592" tabRatio="809" activeSheetId="4"/>
    <customWorkbookView name="x086hmh - Personal View" guid="{71B42B22-A376-44B5-B0C1-23FC1AA3DBA2}" mergeInterval="0" personalView="1" maximized="1" windowWidth="1676" windowHeight="904" tabRatio="809" activeSheetId="1"/>
    <customWorkbookView name="Helen Hight - Personal View" guid="{28948E05-8F34-4F1E-96FB-A80A6A844600}" mergeInterval="0" personalView="1" maximized="1" windowWidth="1020" windowHeight="570" tabRatio="809" activeSheetId="1"/>
    <customWorkbookView name="wdbooth - Personal View" guid="{B647CB7F-C846-4278-B6B1-1EF7F3C004F5}" mergeInterval="0" personalView="1" maximized="1" windowWidth="756" windowHeight="354" tabRatio="809" activeSheetId="9"/>
    <customWorkbookView name="Dana Olds - Personal View" guid="{63011E91-4609-4523-98FE-FD252E915668}" mergeInterval="0" personalView="1" maximized="1" windowWidth="1020" windowHeight="605" tabRatio="809" activeSheetId="11"/>
    <customWorkbookView name="Preferred Customer - Personal View" guid="{DC91DEF3-837B-4BB9-A81E-3B78C5914E6C}" mergeInterval="0" personalView="1" maximized="1" windowWidth="1020" windowHeight="603" tabRatio="809" activeSheetId="2"/>
    <customWorkbookView name="alan - Personal View" guid="{1155D18F-BFDD-426B-8E78-817CEB25FB23}" mergeInterval="0" personalView="1" maximized="1" windowWidth="1009" windowHeight="568" tabRatio="809" activeSheetId="1"/>
  </customWorkbookViews>
</workbook>
</file>

<file path=xl/calcChain.xml><?xml version="1.0" encoding="utf-8"?>
<calcChain xmlns="http://schemas.openxmlformats.org/spreadsheetml/2006/main">
  <c r="L40" i="31" l="1"/>
  <c r="K40" i="31"/>
  <c r="J107" i="31" l="1"/>
  <c r="I85" i="46" l="1"/>
  <c r="I86" i="46"/>
  <c r="I87" i="46"/>
  <c r="I88" i="46"/>
  <c r="I89" i="46"/>
  <c r="I90" i="46"/>
  <c r="I84" i="46"/>
  <c r="I85" i="45"/>
  <c r="I86" i="45"/>
  <c r="I87" i="45"/>
  <c r="I88" i="45"/>
  <c r="I89" i="45"/>
  <c r="I90" i="45"/>
  <c r="I84" i="45"/>
  <c r="I103" i="34"/>
  <c r="I104" i="34"/>
  <c r="I105" i="34"/>
  <c r="I106" i="34"/>
  <c r="I107" i="34"/>
  <c r="I108" i="34"/>
  <c r="I102" i="34"/>
  <c r="I86" i="34"/>
  <c r="I87" i="34"/>
  <c r="I88" i="34"/>
  <c r="I89" i="34"/>
  <c r="I90" i="34"/>
  <c r="I91" i="34"/>
  <c r="I85" i="34"/>
  <c r="E49" i="3" l="1"/>
  <c r="H96" i="2" l="1"/>
  <c r="F95" i="2"/>
  <c r="F106" i="2"/>
  <c r="F97" i="2"/>
  <c r="F98" i="2"/>
  <c r="H66" i="2"/>
  <c r="E66" i="2"/>
  <c r="E97" i="2"/>
  <c r="E98" i="2"/>
  <c r="E38" i="2"/>
  <c r="F38" i="2" s="1"/>
  <c r="E37" i="2"/>
  <c r="F37" i="2" s="1"/>
  <c r="E34" i="2"/>
  <c r="F34" i="2" s="1"/>
  <c r="E50" i="3" l="1"/>
  <c r="B211" i="43" l="1"/>
  <c r="L211" i="43"/>
  <c r="K211" i="43"/>
  <c r="H211" i="43"/>
  <c r="G211" i="43"/>
  <c r="D211" i="43"/>
  <c r="C211" i="43"/>
  <c r="E211" i="43"/>
  <c r="F211" i="43"/>
  <c r="I211" i="43"/>
  <c r="J211" i="43"/>
  <c r="M211" i="43"/>
  <c r="N211" i="43"/>
  <c r="O148" i="43"/>
  <c r="B14" i="19" l="1"/>
  <c r="B33" i="19"/>
  <c r="P24" i="44" l="1"/>
  <c r="E24" i="44"/>
  <c r="F24" i="44"/>
  <c r="G24" i="44"/>
  <c r="H24" i="44"/>
  <c r="I24" i="44"/>
  <c r="J24" i="44"/>
  <c r="K24" i="44"/>
  <c r="L24" i="44"/>
  <c r="M24" i="44"/>
  <c r="N24" i="44"/>
  <c r="O24" i="44"/>
  <c r="D24" i="44"/>
  <c r="O58" i="44" l="1"/>
  <c r="D46" i="44"/>
  <c r="E46" i="44"/>
  <c r="F46" i="44"/>
  <c r="G46" i="44"/>
  <c r="H46" i="44"/>
  <c r="I46" i="44"/>
  <c r="J46" i="44"/>
  <c r="K46" i="44"/>
  <c r="L46" i="44"/>
  <c r="M46" i="44"/>
  <c r="N46" i="44"/>
  <c r="O46" i="44"/>
  <c r="D12" i="44"/>
  <c r="E12" i="44" s="1"/>
  <c r="F12" i="44" s="1"/>
  <c r="G12" i="44" s="1"/>
  <c r="H12" i="44" s="1"/>
  <c r="I12" i="44" s="1"/>
  <c r="J12" i="44" s="1"/>
  <c r="K12" i="44" s="1"/>
  <c r="L12" i="44" s="1"/>
  <c r="M12" i="44" s="1"/>
  <c r="N12" i="44" s="1"/>
  <c r="O12" i="44" s="1"/>
  <c r="W20" i="23" l="1"/>
  <c r="D35" i="23"/>
  <c r="D32" i="23"/>
  <c r="Q20" i="23"/>
  <c r="D22" i="23"/>
  <c r="K135" i="19" l="1"/>
  <c r="K133" i="19"/>
  <c r="F126" i="19"/>
  <c r="F125" i="19"/>
  <c r="F124" i="19"/>
  <c r="F123" i="19"/>
  <c r="F122" i="19"/>
  <c r="F121" i="19"/>
  <c r="F120" i="19"/>
  <c r="F119" i="19"/>
  <c r="F118" i="19"/>
  <c r="F117" i="19"/>
  <c r="F116" i="19"/>
  <c r="F115" i="19"/>
  <c r="F114" i="19"/>
  <c r="F112" i="19"/>
  <c r="F111" i="19"/>
  <c r="F110" i="19"/>
  <c r="F109" i="19"/>
  <c r="F108" i="19"/>
  <c r="F107" i="19"/>
  <c r="F106" i="19"/>
  <c r="F105" i="19"/>
  <c r="F104" i="19"/>
  <c r="F103" i="19"/>
  <c r="F102" i="19"/>
  <c r="K100" i="19"/>
  <c r="F100" i="19"/>
  <c r="K99" i="19"/>
  <c r="F99" i="19"/>
  <c r="K98" i="19"/>
  <c r="F98" i="19"/>
  <c r="K97" i="19"/>
  <c r="F97" i="19"/>
  <c r="K96" i="19"/>
  <c r="F96" i="19"/>
  <c r="K95" i="19"/>
  <c r="F95" i="19"/>
  <c r="K94" i="19"/>
  <c r="F94" i="19"/>
  <c r="K93" i="19"/>
  <c r="F93" i="19"/>
  <c r="K92" i="19"/>
  <c r="F92" i="19"/>
  <c r="K91" i="19"/>
  <c r="F91" i="19"/>
  <c r="K90" i="19"/>
  <c r="F90" i="19"/>
  <c r="K89" i="19"/>
  <c r="F89" i="19"/>
  <c r="K88" i="19"/>
  <c r="F88" i="19"/>
  <c r="K87" i="19"/>
  <c r="F87" i="19"/>
  <c r="K86" i="19"/>
  <c r="F86" i="19"/>
  <c r="K85" i="19"/>
  <c r="F85" i="19"/>
  <c r="K84" i="19"/>
  <c r="F84" i="19"/>
  <c r="K83" i="19"/>
  <c r="F83" i="19"/>
  <c r="K82" i="19"/>
  <c r="F82" i="19"/>
  <c r="K81" i="19"/>
  <c r="F81" i="19"/>
  <c r="K80" i="19"/>
  <c r="F80" i="19"/>
  <c r="K79" i="19"/>
  <c r="F79" i="19"/>
  <c r="K78" i="19"/>
  <c r="F78" i="19"/>
  <c r="K77" i="19"/>
  <c r="F77" i="19"/>
  <c r="K76" i="19"/>
  <c r="F76" i="19"/>
  <c r="K75" i="19"/>
  <c r="F75" i="19"/>
  <c r="K74" i="19"/>
  <c r="F74" i="19"/>
  <c r="K72" i="19"/>
  <c r="F72" i="19"/>
  <c r="K71" i="19"/>
  <c r="F71" i="19"/>
  <c r="K70" i="19"/>
  <c r="F70" i="19"/>
  <c r="K69" i="19"/>
  <c r="F69" i="19"/>
  <c r="K68" i="19"/>
  <c r="F68" i="19"/>
  <c r="K67" i="19"/>
  <c r="F67" i="19"/>
  <c r="K66" i="19"/>
  <c r="F66" i="19"/>
  <c r="K65" i="19"/>
  <c r="F65" i="19"/>
  <c r="K64" i="19"/>
  <c r="F64" i="19"/>
  <c r="F62" i="19"/>
  <c r="F61" i="19"/>
  <c r="F60" i="19"/>
  <c r="F59" i="19"/>
  <c r="F58" i="19"/>
  <c r="F57" i="19"/>
  <c r="F56" i="19"/>
  <c r="F55" i="19"/>
  <c r="F54" i="19"/>
  <c r="F52" i="19"/>
  <c r="F51" i="19"/>
  <c r="F50" i="19"/>
  <c r="F49" i="19"/>
  <c r="F48" i="19"/>
  <c r="F47" i="19"/>
  <c r="F46" i="19"/>
  <c r="F45" i="19"/>
  <c r="F44" i="19"/>
  <c r="F43" i="19"/>
  <c r="F42" i="19"/>
  <c r="F41" i="19"/>
  <c r="F40" i="19"/>
  <c r="F39" i="19"/>
  <c r="L15" i="47" l="1"/>
  <c r="K15" i="47"/>
  <c r="J15" i="47"/>
  <c r="H77" i="20" l="1"/>
  <c r="I77" i="20"/>
  <c r="G62" i="20"/>
  <c r="L11" i="31" l="1"/>
  <c r="L10" i="31"/>
  <c r="K11" i="31"/>
  <c r="K10" i="31"/>
  <c r="J11" i="31"/>
  <c r="J10" i="31"/>
  <c r="J9" i="31"/>
  <c r="L9" i="31" s="1"/>
  <c r="C58" i="44" l="1"/>
  <c r="C46" i="44"/>
  <c r="I83" i="46"/>
  <c r="I82" i="46"/>
  <c r="I81" i="46"/>
  <c r="I80" i="46"/>
  <c r="I79" i="46"/>
  <c r="I83" i="45"/>
  <c r="I82" i="45"/>
  <c r="I81" i="45"/>
  <c r="I80" i="45"/>
  <c r="I79" i="45"/>
  <c r="I101" i="34"/>
  <c r="I100" i="34"/>
  <c r="I99" i="34"/>
  <c r="I98" i="34"/>
  <c r="I97" i="34"/>
  <c r="I84" i="34"/>
  <c r="I83" i="34"/>
  <c r="I82" i="34"/>
  <c r="I81" i="34"/>
  <c r="I80" i="34"/>
  <c r="J267" i="31" l="1"/>
  <c r="E251" i="20" l="1"/>
  <c r="J156" i="20" l="1"/>
  <c r="J157" i="20"/>
  <c r="J158" i="20"/>
  <c r="J159" i="20"/>
  <c r="J160" i="20"/>
  <c r="J161" i="20"/>
  <c r="J162" i="20"/>
  <c r="J163" i="20"/>
  <c r="J164" i="20"/>
  <c r="J165" i="20"/>
  <c r="J166" i="20"/>
  <c r="J167" i="20"/>
  <c r="J168" i="20"/>
  <c r="J169" i="20"/>
  <c r="J170" i="20"/>
  <c r="J171" i="20"/>
  <c r="J172" i="20"/>
  <c r="J173" i="20"/>
  <c r="J174" i="20"/>
  <c r="J175" i="20"/>
  <c r="J176" i="20"/>
  <c r="J177" i="20"/>
  <c r="J178" i="20"/>
  <c r="J179" i="20"/>
  <c r="J180" i="20"/>
  <c r="J181" i="20"/>
  <c r="J182" i="20"/>
  <c r="J183" i="20"/>
  <c r="J184" i="20"/>
  <c r="J185" i="20"/>
  <c r="J186" i="20"/>
  <c r="J187" i="20"/>
  <c r="J188" i="20"/>
  <c r="J189" i="20"/>
  <c r="J190" i="20"/>
  <c r="J191" i="20"/>
  <c r="J192" i="20"/>
  <c r="J193" i="20"/>
  <c r="Q39" i="23" l="1"/>
  <c r="P41" i="23"/>
  <c r="I15" i="47" l="1"/>
  <c r="H15" i="47"/>
  <c r="G15" i="47"/>
  <c r="D58" i="44" l="1"/>
  <c r="E4" i="38" l="1"/>
  <c r="N316" i="43" l="1"/>
  <c r="N310" i="43"/>
  <c r="N234" i="43"/>
  <c r="N225" i="43"/>
  <c r="N151" i="43" l="1"/>
  <c r="C50" i="43"/>
  <c r="D50" i="43"/>
  <c r="E50" i="43"/>
  <c r="F50" i="43"/>
  <c r="G50" i="43"/>
  <c r="H50" i="43"/>
  <c r="I50" i="43"/>
  <c r="J50" i="43"/>
  <c r="K50" i="43"/>
  <c r="L50" i="43"/>
  <c r="M50" i="43"/>
  <c r="N50" i="43"/>
  <c r="I72" i="41" l="1"/>
  <c r="J72" i="41"/>
  <c r="K72" i="41"/>
  <c r="I68" i="41"/>
  <c r="J68" i="41"/>
  <c r="K68" i="41"/>
  <c r="I64" i="41"/>
  <c r="J64" i="41"/>
  <c r="K64" i="41"/>
  <c r="I60" i="41"/>
  <c r="J60" i="41"/>
  <c r="K60" i="41"/>
  <c r="I196" i="20" l="1"/>
  <c r="I149" i="20"/>
  <c r="Q38" i="23" l="1"/>
  <c r="T38" i="23" s="1"/>
  <c r="T39" i="23"/>
  <c r="D41" i="23"/>
  <c r="E41" i="23"/>
  <c r="Q19" i="23" l="1"/>
  <c r="W19" i="23" s="1"/>
  <c r="Q18" i="23"/>
  <c r="W18" i="23" s="1"/>
  <c r="E22" i="23"/>
  <c r="Q5" i="23"/>
  <c r="E69" i="2" l="1"/>
  <c r="F69" i="2" s="1"/>
  <c r="D71" i="2"/>
  <c r="C71" i="2"/>
  <c r="E36" i="2"/>
  <c r="I246" i="20" l="1"/>
  <c r="E58" i="44" l="1"/>
  <c r="F58" i="44"/>
  <c r="G58" i="44"/>
  <c r="H58" i="44"/>
  <c r="I58" i="44"/>
  <c r="J58" i="44"/>
  <c r="K58" i="44"/>
  <c r="L58" i="44"/>
  <c r="M58" i="44"/>
  <c r="N58" i="44"/>
  <c r="E46" i="22" l="1"/>
  <c r="E81" i="38" l="1"/>
  <c r="D83" i="38"/>
  <c r="C83" i="38"/>
  <c r="A4" i="38" l="1"/>
  <c r="E60" i="38"/>
  <c r="E61" i="38"/>
  <c r="E62" i="38"/>
  <c r="E63" i="38"/>
  <c r="E64" i="38"/>
  <c r="E65" i="38"/>
  <c r="E66" i="38"/>
  <c r="E67" i="38"/>
  <c r="O194" i="43"/>
  <c r="O196" i="43"/>
  <c r="O197" i="43"/>
  <c r="O198" i="43"/>
  <c r="O199" i="43"/>
  <c r="O200" i="43"/>
  <c r="O201" i="43"/>
  <c r="O202" i="43"/>
  <c r="O203" i="43"/>
  <c r="O205" i="43"/>
  <c r="O206" i="43"/>
  <c r="O207" i="43"/>
  <c r="O193" i="43"/>
  <c r="O154" i="43"/>
  <c r="O224" i="43"/>
  <c r="E80" i="38"/>
  <c r="H196" i="20"/>
  <c r="O204" i="43" l="1"/>
  <c r="O195" i="43"/>
  <c r="N75" i="43" l="1"/>
  <c r="D151" i="43"/>
  <c r="J68" i="20" l="1"/>
  <c r="P23" i="44" l="1"/>
  <c r="P12" i="44"/>
  <c r="P13" i="44"/>
  <c r="P14" i="44"/>
  <c r="F240" i="31" l="1"/>
  <c r="Q12" i="23" l="1"/>
  <c r="W12" i="23" s="1"/>
  <c r="Q13" i="23"/>
  <c r="W13" i="23" s="1"/>
  <c r="Q14" i="23"/>
  <c r="W14" i="23" s="1"/>
  <c r="Q15" i="23"/>
  <c r="W15" i="23" s="1"/>
  <c r="Q16" i="23"/>
  <c r="W16" i="23" s="1"/>
  <c r="Q17" i="23"/>
  <c r="W17" i="23" s="1"/>
  <c r="Q36" i="23"/>
  <c r="T36" i="23" s="1"/>
  <c r="Q37" i="23"/>
  <c r="T37" i="23" s="1"/>
  <c r="E6" i="23"/>
  <c r="F6" i="23"/>
  <c r="G6" i="23"/>
  <c r="H6" i="23"/>
  <c r="I6" i="23"/>
  <c r="J6" i="23"/>
  <c r="K6" i="23"/>
  <c r="L6" i="23"/>
  <c r="M6" i="23"/>
  <c r="N6" i="23"/>
  <c r="O6" i="23"/>
  <c r="P6" i="23"/>
  <c r="D6" i="23"/>
  <c r="E254" i="20" l="1"/>
  <c r="G16" i="5" l="1"/>
  <c r="H16" i="5"/>
  <c r="K129" i="19"/>
  <c r="K136" i="19" l="1"/>
  <c r="U26" i="23" l="1"/>
  <c r="E27" i="23"/>
  <c r="F27" i="23"/>
  <c r="G27" i="23"/>
  <c r="H27" i="23"/>
  <c r="I27" i="23"/>
  <c r="J27" i="23"/>
  <c r="K27" i="23"/>
  <c r="L27" i="23"/>
  <c r="M27" i="23"/>
  <c r="N27" i="23"/>
  <c r="O27" i="23"/>
  <c r="P27" i="23"/>
  <c r="D27" i="23"/>
  <c r="D44" i="23" s="1"/>
  <c r="O278" i="43" l="1"/>
  <c r="O279" i="43"/>
  <c r="O280" i="43"/>
  <c r="O281" i="43"/>
  <c r="O282" i="43"/>
  <c r="O283" i="43"/>
  <c r="O284" i="43"/>
  <c r="O285" i="43"/>
  <c r="O286" i="43"/>
  <c r="O287" i="43"/>
  <c r="O288" i="43"/>
  <c r="O289" i="43"/>
  <c r="O290" i="43"/>
  <c r="O291" i="43"/>
  <c r="O292" i="43"/>
  <c r="O293" i="43"/>
  <c r="O294" i="43"/>
  <c r="O295" i="43"/>
  <c r="O220" i="43"/>
  <c r="O208" i="43"/>
  <c r="O209" i="43"/>
  <c r="B75" i="43"/>
  <c r="B65" i="43"/>
  <c r="B50" i="43"/>
  <c r="B151" i="43"/>
  <c r="B156" i="43"/>
  <c r="O130" i="43"/>
  <c r="O131" i="43"/>
  <c r="O132" i="43"/>
  <c r="O133" i="43"/>
  <c r="O134" i="43"/>
  <c r="O135" i="43"/>
  <c r="O136" i="43"/>
  <c r="O137" i="43"/>
  <c r="O138" i="43"/>
  <c r="O139" i="43"/>
  <c r="O140" i="43"/>
  <c r="O141" i="43"/>
  <c r="O142" i="43"/>
  <c r="O143" i="43"/>
  <c r="O144" i="43"/>
  <c r="O145" i="43"/>
  <c r="O146" i="43"/>
  <c r="O147" i="43"/>
  <c r="O149" i="43"/>
  <c r="O150" i="43"/>
  <c r="O153" i="43"/>
  <c r="O155" i="43"/>
  <c r="C156" i="43"/>
  <c r="D156" i="43"/>
  <c r="E156" i="43"/>
  <c r="F156" i="43"/>
  <c r="G156" i="43"/>
  <c r="H156" i="43"/>
  <c r="I156" i="43"/>
  <c r="J156" i="43"/>
  <c r="K156" i="43"/>
  <c r="L156" i="43"/>
  <c r="M156" i="43"/>
  <c r="N156" i="43"/>
  <c r="Q35" i="23" l="1"/>
  <c r="T35" i="23" s="1"/>
  <c r="Q31" i="23"/>
  <c r="F41" i="23"/>
  <c r="G41" i="23"/>
  <c r="H41" i="23"/>
  <c r="I41" i="23"/>
  <c r="J41" i="23"/>
  <c r="K41" i="23"/>
  <c r="L41" i="23"/>
  <c r="M41" i="23"/>
  <c r="N41" i="23"/>
  <c r="O41" i="23"/>
  <c r="F22" i="23"/>
  <c r="G22" i="23"/>
  <c r="H22" i="23"/>
  <c r="I22" i="23"/>
  <c r="J22" i="23"/>
  <c r="K22" i="23"/>
  <c r="L22" i="23"/>
  <c r="M22" i="23"/>
  <c r="N22" i="23"/>
  <c r="O22" i="23"/>
  <c r="P22" i="23"/>
  <c r="P44" i="23" s="1"/>
  <c r="Q27" i="23"/>
  <c r="Q6" i="23"/>
  <c r="T31" i="23" l="1"/>
  <c r="Q10" i="23" l="1"/>
  <c r="Q11" i="23"/>
  <c r="Q22" i="23" l="1"/>
  <c r="J154" i="20"/>
  <c r="O38" i="43" l="1"/>
  <c r="O39" i="43"/>
  <c r="O40" i="43"/>
  <c r="O41" i="43"/>
  <c r="O42" i="43"/>
  <c r="O43" i="43"/>
  <c r="O44" i="43"/>
  <c r="O45" i="43"/>
  <c r="O46" i="43"/>
  <c r="O47" i="43"/>
  <c r="O48" i="43"/>
  <c r="O49" i="43"/>
  <c r="O8" i="43"/>
  <c r="O9" i="43"/>
  <c r="O10" i="43"/>
  <c r="O11" i="43"/>
  <c r="O12" i="43"/>
  <c r="O13" i="43"/>
  <c r="O14" i="43"/>
  <c r="O15" i="43"/>
  <c r="O16" i="43"/>
  <c r="O17" i="43"/>
  <c r="O18" i="43"/>
  <c r="O19" i="43"/>
  <c r="O20" i="43"/>
  <c r="O21" i="43"/>
  <c r="O22" i="43"/>
  <c r="O23" i="43"/>
  <c r="O24" i="43"/>
  <c r="O25" i="43"/>
  <c r="O26" i="43"/>
  <c r="O27" i="43"/>
  <c r="O28" i="43"/>
  <c r="O29" i="43"/>
  <c r="O30" i="43"/>
  <c r="O31" i="43"/>
  <c r="O32" i="43"/>
  <c r="O33" i="43"/>
  <c r="O34" i="43"/>
  <c r="O35" i="43"/>
  <c r="O36" i="43"/>
  <c r="O37" i="43"/>
  <c r="O7" i="43"/>
  <c r="L259" i="31" l="1"/>
  <c r="J146" i="20" l="1"/>
  <c r="E5" i="38" l="1"/>
  <c r="E3" i="38" l="1"/>
  <c r="C321" i="43" l="1"/>
  <c r="D321" i="43"/>
  <c r="E321" i="43"/>
  <c r="F321" i="43"/>
  <c r="G321" i="43"/>
  <c r="H321" i="43"/>
  <c r="I321" i="43"/>
  <c r="J321" i="43"/>
  <c r="K321" i="43"/>
  <c r="L321" i="43"/>
  <c r="M321" i="43"/>
  <c r="N321" i="43"/>
  <c r="B321" i="43"/>
  <c r="O313" i="43"/>
  <c r="O314" i="43"/>
  <c r="O315" i="43"/>
  <c r="O303" i="43"/>
  <c r="O304" i="43"/>
  <c r="O305" i="43"/>
  <c r="O306" i="43"/>
  <c r="O307" i="43"/>
  <c r="O308" i="43"/>
  <c r="O309" i="43"/>
  <c r="O219" i="43"/>
  <c r="O221" i="43"/>
  <c r="O222" i="43"/>
  <c r="O223" i="43"/>
  <c r="O213" i="43"/>
  <c r="O321" i="43" s="1"/>
  <c r="O177" i="43"/>
  <c r="O184" i="43"/>
  <c r="O185" i="43"/>
  <c r="O186" i="43"/>
  <c r="O187" i="43"/>
  <c r="O188" i="43"/>
  <c r="O189" i="43"/>
  <c r="O190" i="43"/>
  <c r="O191" i="43"/>
  <c r="O192" i="43"/>
  <c r="O215" i="43"/>
  <c r="O216" i="43"/>
  <c r="O217" i="43"/>
  <c r="O218" i="43"/>
  <c r="B225" i="43"/>
  <c r="C225" i="43"/>
  <c r="D225" i="43"/>
  <c r="E225" i="43"/>
  <c r="F225" i="43"/>
  <c r="G225" i="43"/>
  <c r="H225" i="43"/>
  <c r="I225" i="43"/>
  <c r="J225" i="43"/>
  <c r="K225" i="43"/>
  <c r="L225" i="43"/>
  <c r="M225" i="43"/>
  <c r="O52" i="43"/>
  <c r="C162" i="43"/>
  <c r="D162" i="43"/>
  <c r="E162" i="43"/>
  <c r="F162" i="43"/>
  <c r="G162" i="43"/>
  <c r="H162" i="43"/>
  <c r="I162" i="43"/>
  <c r="J162" i="43"/>
  <c r="K162" i="43"/>
  <c r="L162" i="43"/>
  <c r="M162" i="43"/>
  <c r="N162" i="43"/>
  <c r="B162" i="43"/>
  <c r="O225" i="43" l="1"/>
  <c r="O211" i="43"/>
  <c r="O162" i="43"/>
  <c r="D169" i="43" l="1"/>
  <c r="E169" i="43"/>
  <c r="F169" i="43"/>
  <c r="G169" i="43"/>
  <c r="H169" i="43"/>
  <c r="I169" i="43"/>
  <c r="J169" i="43"/>
  <c r="K169" i="43"/>
  <c r="L169" i="43"/>
  <c r="M169" i="43"/>
  <c r="N169" i="43"/>
  <c r="O170" i="43"/>
  <c r="O171" i="43"/>
  <c r="C65" i="43"/>
  <c r="D65" i="43"/>
  <c r="E65" i="43"/>
  <c r="F65" i="43"/>
  <c r="G65" i="43"/>
  <c r="H65" i="43"/>
  <c r="I65" i="43"/>
  <c r="J65" i="43"/>
  <c r="K65" i="43"/>
  <c r="L65" i="43"/>
  <c r="M65" i="43"/>
  <c r="C75" i="43"/>
  <c r="D75" i="43"/>
  <c r="E75" i="43"/>
  <c r="F75" i="43"/>
  <c r="G75" i="43"/>
  <c r="H75" i="43"/>
  <c r="I75" i="43"/>
  <c r="J75" i="43"/>
  <c r="K75" i="43"/>
  <c r="L75" i="43"/>
  <c r="M75" i="43"/>
  <c r="C129" i="19" l="1"/>
  <c r="D129" i="19"/>
  <c r="E129" i="19"/>
  <c r="F129" i="19"/>
  <c r="F131" i="19" s="1"/>
  <c r="E35" i="2" l="1"/>
  <c r="E33" i="2"/>
  <c r="E32" i="2"/>
  <c r="E31" i="2"/>
  <c r="E30" i="2"/>
  <c r="I30" i="2" s="1"/>
  <c r="E29" i="2"/>
  <c r="F72" i="41" l="1"/>
  <c r="G72" i="41"/>
  <c r="F68" i="41"/>
  <c r="G68" i="41"/>
  <c r="F64" i="41"/>
  <c r="G64" i="41"/>
  <c r="F60" i="41"/>
  <c r="G60" i="41"/>
  <c r="J41" i="41"/>
  <c r="K24" i="41"/>
  <c r="K20" i="41"/>
  <c r="K16" i="41"/>
  <c r="K12" i="41"/>
  <c r="L92" i="31" l="1"/>
  <c r="L93" i="31" s="1"/>
  <c r="L98" i="31"/>
  <c r="L133" i="31"/>
  <c r="L141" i="31"/>
  <c r="L156" i="31"/>
  <c r="L158" i="31" s="1"/>
  <c r="L251" i="31" s="1"/>
  <c r="L12" i="31" l="1"/>
  <c r="L13" i="31" s="1"/>
  <c r="F99" i="46"/>
  <c r="F100" i="45"/>
  <c r="D109" i="2" l="1"/>
  <c r="C109" i="2"/>
  <c r="E77" i="38" l="1"/>
  <c r="E73" i="38" l="1"/>
  <c r="E76" i="38"/>
  <c r="E78" i="38"/>
  <c r="E70" i="38"/>
  <c r="E68" i="38"/>
  <c r="E79" i="38"/>
  <c r="E75" i="38"/>
  <c r="E71" i="38"/>
  <c r="E56" i="38"/>
  <c r="E72" i="38"/>
  <c r="E74" i="38"/>
  <c r="E59" i="38"/>
  <c r="E55" i="38"/>
  <c r="E69" i="38"/>
  <c r="E58" i="38"/>
  <c r="E57" i="38"/>
  <c r="O181" i="43"/>
  <c r="O238" i="43" l="1"/>
  <c r="O239" i="43"/>
  <c r="O240" i="43"/>
  <c r="O241" i="43"/>
  <c r="O242" i="43"/>
  <c r="O243" i="43"/>
  <c r="O244" i="43"/>
  <c r="O245" i="43"/>
  <c r="O246" i="43"/>
  <c r="O247" i="43"/>
  <c r="O248" i="43"/>
  <c r="O249" i="43"/>
  <c r="O250" i="43"/>
  <c r="O251" i="43"/>
  <c r="O252" i="43"/>
  <c r="O253" i="43"/>
  <c r="O254" i="43"/>
  <c r="O255" i="43"/>
  <c r="O256" i="43"/>
  <c r="O257" i="43"/>
  <c r="O258" i="43"/>
  <c r="O259" i="43"/>
  <c r="O260" i="43"/>
  <c r="O261" i="43"/>
  <c r="O262" i="43"/>
  <c r="O263" i="43"/>
  <c r="O264" i="43"/>
  <c r="O265" i="43"/>
  <c r="O266" i="43"/>
  <c r="O267" i="43"/>
  <c r="O268" i="43"/>
  <c r="O269" i="43"/>
  <c r="O270" i="43"/>
  <c r="O271" i="43"/>
  <c r="O272" i="43"/>
  <c r="O273" i="43"/>
  <c r="O274" i="43"/>
  <c r="O275" i="43"/>
  <c r="O276" i="43"/>
  <c r="O277" i="43"/>
  <c r="O296" i="43"/>
  <c r="O297" i="43"/>
  <c r="O298" i="43"/>
  <c r="O299" i="43"/>
  <c r="O300" i="43"/>
  <c r="O301" i="43"/>
  <c r="O302" i="43"/>
  <c r="O237" i="43"/>
  <c r="O233" i="43"/>
  <c r="O232" i="43"/>
  <c r="O231" i="43"/>
  <c r="O230" i="43"/>
  <c r="O229" i="43"/>
  <c r="O228" i="43"/>
  <c r="O179" i="43"/>
  <c r="O180" i="43"/>
  <c r="O182" i="43"/>
  <c r="O183" i="43"/>
  <c r="M316" i="43"/>
  <c r="L316" i="43"/>
  <c r="K316" i="43"/>
  <c r="J316" i="43"/>
  <c r="I316" i="43"/>
  <c r="H316" i="43"/>
  <c r="G316" i="43"/>
  <c r="F316" i="43"/>
  <c r="E316" i="43"/>
  <c r="D316" i="43"/>
  <c r="C316" i="43"/>
  <c r="B316" i="43"/>
  <c r="N318" i="43"/>
  <c r="M310" i="43"/>
  <c r="L310" i="43"/>
  <c r="K310" i="43"/>
  <c r="J310" i="43"/>
  <c r="I310" i="43"/>
  <c r="H310" i="43"/>
  <c r="G310" i="43"/>
  <c r="F310" i="43"/>
  <c r="E310" i="43"/>
  <c r="D310" i="43"/>
  <c r="C310" i="43"/>
  <c r="B310" i="43"/>
  <c r="N320" i="43"/>
  <c r="M234" i="43"/>
  <c r="M320" i="43" s="1"/>
  <c r="L234" i="43"/>
  <c r="L320" i="43" s="1"/>
  <c r="K234" i="43"/>
  <c r="K320" i="43" s="1"/>
  <c r="J234" i="43"/>
  <c r="J320" i="43" s="1"/>
  <c r="I234" i="43"/>
  <c r="I320" i="43" s="1"/>
  <c r="H234" i="43"/>
  <c r="H320" i="43" s="1"/>
  <c r="G234" i="43"/>
  <c r="G320" i="43" s="1"/>
  <c r="F234" i="43"/>
  <c r="F320" i="43" s="1"/>
  <c r="E234" i="43"/>
  <c r="E320" i="43" s="1"/>
  <c r="D234" i="43"/>
  <c r="D320" i="43" s="1"/>
  <c r="C234" i="43"/>
  <c r="C320" i="43" s="1"/>
  <c r="B234" i="43"/>
  <c r="B320" i="43" s="1"/>
  <c r="C169" i="43"/>
  <c r="B169" i="43"/>
  <c r="O129" i="43"/>
  <c r="O128" i="43"/>
  <c r="O127" i="43"/>
  <c r="O126" i="43"/>
  <c r="O125" i="43"/>
  <c r="O124" i="43"/>
  <c r="O123" i="43"/>
  <c r="O122" i="43"/>
  <c r="O121" i="43"/>
  <c r="O120" i="43"/>
  <c r="O119" i="43"/>
  <c r="O118" i="43"/>
  <c r="O117" i="43"/>
  <c r="O116" i="43"/>
  <c r="O115" i="43"/>
  <c r="O114" i="43"/>
  <c r="O113" i="43"/>
  <c r="O112" i="43"/>
  <c r="O111" i="43"/>
  <c r="O110" i="43"/>
  <c r="O109" i="43"/>
  <c r="O108" i="43"/>
  <c r="O107" i="43"/>
  <c r="O106" i="43"/>
  <c r="O105" i="43"/>
  <c r="O104" i="43"/>
  <c r="O103" i="43"/>
  <c r="O102" i="43"/>
  <c r="O101" i="43"/>
  <c r="O100" i="43"/>
  <c r="O99" i="43"/>
  <c r="O98" i="43"/>
  <c r="O97" i="43"/>
  <c r="O96" i="43"/>
  <c r="O95" i="43"/>
  <c r="O94" i="43"/>
  <c r="O93" i="43"/>
  <c r="O92" i="43"/>
  <c r="O91" i="43"/>
  <c r="O90" i="43"/>
  <c r="O89" i="43"/>
  <c r="O88" i="43"/>
  <c r="O87" i="43"/>
  <c r="O86" i="43"/>
  <c r="O85" i="43"/>
  <c r="O84" i="43"/>
  <c r="O83" i="43"/>
  <c r="O82" i="43"/>
  <c r="O81" i="43"/>
  <c r="O80" i="43"/>
  <c r="O79" i="43"/>
  <c r="O78" i="43"/>
  <c r="O77" i="43"/>
  <c r="M151" i="43"/>
  <c r="L151" i="43"/>
  <c r="K151" i="43"/>
  <c r="J151" i="43"/>
  <c r="I151" i="43"/>
  <c r="H151" i="43"/>
  <c r="G151" i="43"/>
  <c r="F151" i="43"/>
  <c r="E151" i="43"/>
  <c r="C151" i="43"/>
  <c r="O69" i="43"/>
  <c r="O70" i="43"/>
  <c r="O71" i="43"/>
  <c r="O72" i="43"/>
  <c r="O73" i="43"/>
  <c r="O74" i="43"/>
  <c r="O55" i="43"/>
  <c r="O56" i="43"/>
  <c r="O57" i="43"/>
  <c r="O58" i="43"/>
  <c r="O59" i="43"/>
  <c r="O60" i="43"/>
  <c r="O61" i="43"/>
  <c r="O62" i="43"/>
  <c r="O63" i="43"/>
  <c r="O64" i="43"/>
  <c r="O6" i="43"/>
  <c r="N161" i="43"/>
  <c r="M161" i="43"/>
  <c r="L161" i="43"/>
  <c r="K161" i="43"/>
  <c r="J161" i="43"/>
  <c r="I161" i="43"/>
  <c r="H161" i="43"/>
  <c r="G161" i="43"/>
  <c r="F161" i="43"/>
  <c r="E161" i="43"/>
  <c r="D161" i="43"/>
  <c r="C161" i="43"/>
  <c r="B161" i="43"/>
  <c r="N65" i="43"/>
  <c r="O161" i="43" l="1"/>
  <c r="O151" i="43"/>
  <c r="O156" i="43"/>
  <c r="O50" i="43"/>
  <c r="H159" i="43"/>
  <c r="O234" i="43"/>
  <c r="O320" i="43" s="1"/>
  <c r="I38" i="20" s="1"/>
  <c r="L47" i="31" s="1"/>
  <c r="C160" i="43"/>
  <c r="K160" i="43"/>
  <c r="B159" i="43"/>
  <c r="F159" i="43"/>
  <c r="J159" i="43"/>
  <c r="N159" i="43"/>
  <c r="E160" i="43"/>
  <c r="M160" i="43"/>
  <c r="K318" i="43"/>
  <c r="B319" i="43"/>
  <c r="F319" i="43"/>
  <c r="J319" i="43"/>
  <c r="N319" i="43"/>
  <c r="N322" i="43" s="1"/>
  <c r="I160" i="43"/>
  <c r="D159" i="43"/>
  <c r="L159" i="43"/>
  <c r="G160" i="43"/>
  <c r="E159" i="43"/>
  <c r="I159" i="43"/>
  <c r="M159" i="43"/>
  <c r="D160" i="43"/>
  <c r="H160" i="43"/>
  <c r="L160" i="43"/>
  <c r="C319" i="43"/>
  <c r="G319" i="43"/>
  <c r="K319" i="43"/>
  <c r="O310" i="43"/>
  <c r="O316" i="43"/>
  <c r="H318" i="43"/>
  <c r="L318" i="43"/>
  <c r="C318" i="43"/>
  <c r="D318" i="43"/>
  <c r="G318" i="43"/>
  <c r="B318" i="43"/>
  <c r="F318" i="43"/>
  <c r="F322" i="43" s="1"/>
  <c r="J318" i="43"/>
  <c r="J322" i="43" s="1"/>
  <c r="E319" i="43"/>
  <c r="I319" i="43"/>
  <c r="M319" i="43"/>
  <c r="C159" i="43"/>
  <c r="G159" i="43"/>
  <c r="K159" i="43"/>
  <c r="B160" i="43"/>
  <c r="F160" i="43"/>
  <c r="J160" i="43"/>
  <c r="N160" i="43"/>
  <c r="E318" i="43"/>
  <c r="I318" i="43"/>
  <c r="M318" i="43"/>
  <c r="D319" i="43"/>
  <c r="H319" i="43"/>
  <c r="L319" i="43"/>
  <c r="B322" i="43" l="1"/>
  <c r="N330" i="43"/>
  <c r="G322" i="43"/>
  <c r="E322" i="43"/>
  <c r="I163" i="43"/>
  <c r="I322" i="43"/>
  <c r="D322" i="43"/>
  <c r="C322" i="43"/>
  <c r="L322" i="43"/>
  <c r="M322" i="43"/>
  <c r="H322" i="43"/>
  <c r="K322" i="43"/>
  <c r="E163" i="43"/>
  <c r="N163" i="43"/>
  <c r="O160" i="43"/>
  <c r="K163" i="43"/>
  <c r="M163" i="43"/>
  <c r="J163" i="43"/>
  <c r="O318" i="43"/>
  <c r="D163" i="43"/>
  <c r="B163" i="43"/>
  <c r="O159" i="43"/>
  <c r="C163" i="43"/>
  <c r="H163" i="43"/>
  <c r="G163" i="43"/>
  <c r="L163" i="43"/>
  <c r="F163" i="43"/>
  <c r="L48" i="31"/>
  <c r="O319" i="43"/>
  <c r="H38" i="20" s="1"/>
  <c r="O163" i="43" l="1"/>
  <c r="G38" i="20"/>
  <c r="F38" i="20" s="1"/>
  <c r="O322" i="43"/>
  <c r="G9" i="20"/>
  <c r="F109" i="20" l="1"/>
  <c r="M85" i="34"/>
  <c r="M84" i="45"/>
  <c r="M84" i="46"/>
  <c r="Q32" i="23" l="1"/>
  <c r="T32" i="23" s="1"/>
  <c r="Q33" i="23"/>
  <c r="T33" i="23" s="1"/>
  <c r="Q34" i="23"/>
  <c r="T34" i="23" s="1"/>
  <c r="Q41" i="23" l="1"/>
  <c r="T41" i="23"/>
  <c r="U27" i="23"/>
  <c r="J204" i="20" s="1"/>
  <c r="P45" i="44"/>
  <c r="P44" i="44"/>
  <c r="P52" i="44"/>
  <c r="P54" i="44"/>
  <c r="P55" i="44"/>
  <c r="J205" i="20" l="1"/>
  <c r="C72" i="41"/>
  <c r="H72" i="41"/>
  <c r="H68" i="41"/>
  <c r="C68" i="41"/>
  <c r="H64" i="41"/>
  <c r="C64" i="41"/>
  <c r="C60" i="41"/>
  <c r="H60" i="41"/>
  <c r="O176" i="43"/>
  <c r="O175" i="43"/>
  <c r="O174" i="43"/>
  <c r="O173" i="43"/>
  <c r="O172" i="43"/>
  <c r="O68" i="43"/>
  <c r="O75" i="43" s="1"/>
  <c r="I9" i="20" s="1"/>
  <c r="L31" i="31" s="1"/>
  <c r="L273" i="31" s="1"/>
  <c r="L282" i="31" s="1"/>
  <c r="O54" i="43"/>
  <c r="O65" i="43" s="1"/>
  <c r="L33" i="31" l="1"/>
  <c r="L258" i="31" s="1"/>
  <c r="L260" i="31" s="1"/>
  <c r="L261" i="31" s="1"/>
  <c r="H9" i="20"/>
  <c r="H73" i="41"/>
  <c r="J99" i="20" s="1"/>
  <c r="C73" i="41"/>
  <c r="C74" i="41" l="1"/>
  <c r="J98" i="20"/>
  <c r="J100" i="20" s="1"/>
  <c r="P6" i="44" l="1"/>
  <c r="P8" i="44"/>
  <c r="P9" i="44"/>
  <c r="D114" i="34" l="1"/>
  <c r="G122" i="34"/>
  <c r="G123" i="34" s="1"/>
  <c r="G124" i="34" s="1"/>
  <c r="G125" i="34" s="1"/>
  <c r="G126" i="34" s="1"/>
  <c r="P42" i="44" l="1"/>
  <c r="H12" i="31" l="1"/>
  <c r="H13" i="31" s="1"/>
  <c r="H38" i="31"/>
  <c r="H53" i="31"/>
  <c r="L53" i="31" s="1"/>
  <c r="H54" i="31"/>
  <c r="L54" i="31" s="1"/>
  <c r="H108" i="31"/>
  <c r="H126" i="31"/>
  <c r="H129" i="31"/>
  <c r="H130" i="31"/>
  <c r="H141" i="31"/>
  <c r="H145" i="31"/>
  <c r="H148" i="31"/>
  <c r="L148" i="31" s="1"/>
  <c r="L150" i="31" s="1"/>
  <c r="L152" i="31" s="1"/>
  <c r="L250" i="31" s="1"/>
  <c r="H197" i="31"/>
  <c r="H199" i="31"/>
  <c r="H200" i="31"/>
  <c r="H225" i="31"/>
  <c r="H226" i="31" s="1"/>
  <c r="H229" i="31"/>
  <c r="I79" i="20"/>
  <c r="H78" i="31" l="1"/>
  <c r="L55" i="31"/>
  <c r="L57" i="31" s="1"/>
  <c r="L59" i="31" s="1"/>
  <c r="H39" i="31"/>
  <c r="L38" i="31"/>
  <c r="L39" i="31" s="1"/>
  <c r="L41" i="31" s="1"/>
  <c r="H131" i="31"/>
  <c r="H85" i="31"/>
  <c r="H56" i="31"/>
  <c r="H121" i="31"/>
  <c r="H149" i="31"/>
  <c r="H150" i="31" s="1"/>
  <c r="H152" i="31" s="1"/>
  <c r="H250" i="31" s="1"/>
  <c r="H40" i="31"/>
  <c r="H55" i="31"/>
  <c r="H230" i="31"/>
  <c r="D53" i="46"/>
  <c r="D50" i="45"/>
  <c r="D53" i="45" s="1"/>
  <c r="H57" i="31" l="1"/>
  <c r="H41" i="31"/>
  <c r="P56" i="44" l="1"/>
  <c r="P57" i="44"/>
  <c r="P25" i="44"/>
  <c r="K244" i="20"/>
  <c r="L110" i="31" s="1"/>
  <c r="L111" i="31" s="1"/>
  <c r="K243" i="20"/>
  <c r="K242" i="20"/>
  <c r="H178" i="31" l="1"/>
  <c r="K246" i="20"/>
  <c r="H110" i="31" l="1"/>
  <c r="J147" i="20"/>
  <c r="Q213" i="20" l="1"/>
  <c r="H84" i="31" l="1"/>
  <c r="H86" i="31" s="1"/>
  <c r="P50" i="44"/>
  <c r="P51" i="44"/>
  <c r="P20" i="44"/>
  <c r="P58" i="44" l="1"/>
  <c r="J95" i="46" l="1"/>
  <c r="J96" i="45"/>
  <c r="J113" i="34"/>
  <c r="J115" i="34" s="1"/>
  <c r="W11" i="23" l="1"/>
  <c r="I133" i="20" l="1"/>
  <c r="E11" i="38" l="1"/>
  <c r="E12" i="38"/>
  <c r="E13" i="38"/>
  <c r="E14" i="38"/>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10" i="38"/>
  <c r="H177" i="31" l="1"/>
  <c r="H149" i="20"/>
  <c r="H133" i="20"/>
  <c r="J85" i="20" l="1"/>
  <c r="D56" i="46" l="1"/>
  <c r="D56" i="45"/>
  <c r="G103" i="45" l="1"/>
  <c r="G104" i="45" s="1"/>
  <c r="G105" i="45" s="1"/>
  <c r="G106" i="45" s="1"/>
  <c r="G107" i="45" s="1"/>
  <c r="G108" i="45" s="1"/>
  <c r="G109" i="45" s="1"/>
  <c r="G110" i="45" s="1"/>
  <c r="G111" i="45" s="1"/>
  <c r="G112" i="45" s="1"/>
  <c r="G113" i="45" s="1"/>
  <c r="G114" i="45" s="1"/>
  <c r="G117" i="45" s="1"/>
  <c r="G118" i="45" s="1"/>
  <c r="G119" i="45" s="1"/>
  <c r="G120" i="45" s="1"/>
  <c r="G121" i="45" s="1"/>
  <c r="G122" i="45" s="1"/>
  <c r="G123" i="45" s="1"/>
  <c r="G124" i="45" s="1"/>
  <c r="G125" i="45" s="1"/>
  <c r="G126" i="45" s="1"/>
  <c r="G127" i="45" s="1"/>
  <c r="G128" i="45" s="1"/>
  <c r="G129" i="45" s="1"/>
  <c r="G130" i="45" s="1"/>
  <c r="G131" i="45" s="1"/>
  <c r="G132" i="45" s="1"/>
  <c r="G133" i="45" s="1"/>
  <c r="G102" i="46"/>
  <c r="G103" i="46" s="1"/>
  <c r="G104" i="46" s="1"/>
  <c r="G105" i="46" s="1"/>
  <c r="G106" i="46" s="1"/>
  <c r="G107" i="46" s="1"/>
  <c r="G108" i="46" s="1"/>
  <c r="G109" i="46" s="1"/>
  <c r="G110" i="46" s="1"/>
  <c r="G111" i="46" s="1"/>
  <c r="G112" i="46" s="1"/>
  <c r="G113" i="46" s="1"/>
  <c r="G116" i="46" s="1"/>
  <c r="G117" i="46" s="1"/>
  <c r="G118" i="46" s="1"/>
  <c r="G119" i="46" s="1"/>
  <c r="G120" i="46" s="1"/>
  <c r="G121" i="46" s="1"/>
  <c r="G122" i="46" s="1"/>
  <c r="G123" i="46" s="1"/>
  <c r="G124" i="46" s="1"/>
  <c r="G125" i="46" s="1"/>
  <c r="G126" i="46" s="1"/>
  <c r="G127" i="46" s="1"/>
  <c r="G128" i="46" s="1"/>
  <c r="G129" i="46" s="1"/>
  <c r="G130" i="46" s="1"/>
  <c r="G131" i="46" s="1"/>
  <c r="G132" i="46" s="1"/>
  <c r="D95" i="46" l="1"/>
  <c r="D113" i="34"/>
  <c r="D115" i="34" s="1"/>
  <c r="G89" i="45"/>
  <c r="G90" i="45"/>
  <c r="G88" i="45"/>
  <c r="G86" i="45"/>
  <c r="G87" i="45"/>
  <c r="G85" i="45"/>
  <c r="G83" i="45"/>
  <c r="G84" i="45"/>
  <c r="G82" i="45"/>
  <c r="G80" i="45"/>
  <c r="G81" i="45"/>
  <c r="G79" i="45"/>
  <c r="H170" i="31" l="1"/>
  <c r="E83" i="38" l="1"/>
  <c r="J110" i="31" l="1"/>
  <c r="J53" i="31" l="1"/>
  <c r="J130" i="31"/>
  <c r="H267" i="31"/>
  <c r="F16" i="5"/>
  <c r="E55" i="20"/>
  <c r="E61" i="20" s="1"/>
  <c r="H49" i="41"/>
  <c r="H45" i="41"/>
  <c r="H41" i="41"/>
  <c r="H37" i="41"/>
  <c r="I49" i="41"/>
  <c r="I45" i="41"/>
  <c r="I41" i="41"/>
  <c r="I37" i="41"/>
  <c r="G89" i="34"/>
  <c r="G90" i="34"/>
  <c r="G91" i="34"/>
  <c r="G88" i="34"/>
  <c r="G80" i="34"/>
  <c r="F24" i="41"/>
  <c r="F20" i="41"/>
  <c r="F16" i="41"/>
  <c r="F12" i="41"/>
  <c r="G88" i="46"/>
  <c r="G89" i="46"/>
  <c r="G90" i="46"/>
  <c r="G86" i="46"/>
  <c r="G87" i="46"/>
  <c r="G82" i="46"/>
  <c r="H82" i="46" s="1"/>
  <c r="J82" i="46" s="1"/>
  <c r="G83" i="46"/>
  <c r="G84" i="46"/>
  <c r="G80" i="46"/>
  <c r="H80" i="46" s="1"/>
  <c r="J80" i="46" s="1"/>
  <c r="G81" i="46"/>
  <c r="H81" i="46" s="1"/>
  <c r="J81" i="46" s="1"/>
  <c r="J166" i="34"/>
  <c r="H31" i="20"/>
  <c r="J35" i="31" s="1"/>
  <c r="K47" i="31"/>
  <c r="H62" i="20"/>
  <c r="K110" i="31"/>
  <c r="G127" i="34"/>
  <c r="G128" i="34" s="1"/>
  <c r="G129" i="34" s="1"/>
  <c r="G130" i="34" s="1"/>
  <c r="G131" i="34" s="1"/>
  <c r="G132" i="34" s="1"/>
  <c r="G133" i="34" s="1"/>
  <c r="G136" i="34" s="1"/>
  <c r="G137" i="34" s="1"/>
  <c r="G138" i="34" s="1"/>
  <c r="G139" i="34" s="1"/>
  <c r="G140" i="34" s="1"/>
  <c r="G141" i="34" s="1"/>
  <c r="G142" i="34" s="1"/>
  <c r="G143" i="34" s="1"/>
  <c r="G144" i="34" s="1"/>
  <c r="G145" i="34" s="1"/>
  <c r="G146" i="34" s="1"/>
  <c r="G147" i="34" s="1"/>
  <c r="G148" i="34" s="1"/>
  <c r="G149" i="34" s="1"/>
  <c r="G150" i="34" s="1"/>
  <c r="G151" i="34" s="1"/>
  <c r="G152" i="34" s="1"/>
  <c r="I86" i="20"/>
  <c r="J78" i="31"/>
  <c r="Q214" i="20"/>
  <c r="F223" i="20"/>
  <c r="J223" i="20" s="1"/>
  <c r="J96" i="31" s="1"/>
  <c r="H96" i="31" s="1"/>
  <c r="F228" i="20"/>
  <c r="J228" i="20" s="1"/>
  <c r="J97" i="31" s="1"/>
  <c r="H97" i="31" s="1"/>
  <c r="J92" i="31"/>
  <c r="D215" i="20"/>
  <c r="E215" i="20"/>
  <c r="F215" i="20"/>
  <c r="G215" i="20"/>
  <c r="H215" i="20"/>
  <c r="I215" i="20"/>
  <c r="J215" i="20"/>
  <c r="K215" i="20"/>
  <c r="L215" i="20"/>
  <c r="M215" i="20"/>
  <c r="N215" i="20"/>
  <c r="O215" i="20"/>
  <c r="P215" i="20"/>
  <c r="J148" i="31"/>
  <c r="K148" i="31" s="1"/>
  <c r="J143" i="31"/>
  <c r="J141" i="31"/>
  <c r="K10" i="19"/>
  <c r="K15" i="19" s="1"/>
  <c r="L10" i="19" s="1"/>
  <c r="D6" i="19" s="1"/>
  <c r="G22" i="22"/>
  <c r="K12" i="31"/>
  <c r="K13" i="31" s="1"/>
  <c r="K53" i="31"/>
  <c r="K92" i="31"/>
  <c r="K98" i="31"/>
  <c r="K133" i="31"/>
  <c r="K156" i="31"/>
  <c r="K141" i="31"/>
  <c r="H79" i="45"/>
  <c r="J79" i="45" s="1"/>
  <c r="K293" i="31"/>
  <c r="B35" i="19"/>
  <c r="E40" i="3"/>
  <c r="E45" i="3"/>
  <c r="E31" i="3"/>
  <c r="E20" i="3"/>
  <c r="J126" i="31"/>
  <c r="J129" i="31"/>
  <c r="P26" i="44"/>
  <c r="P27" i="44"/>
  <c r="P28" i="44"/>
  <c r="H182" i="31" s="1"/>
  <c r="P22" i="44"/>
  <c r="C46" i="2"/>
  <c r="D46" i="2"/>
  <c r="E65" i="2"/>
  <c r="H65" i="2" s="1"/>
  <c r="H68" i="2" s="1"/>
  <c r="H71" i="2" s="1"/>
  <c r="G10" i="2" s="1"/>
  <c r="I43" i="2"/>
  <c r="E90" i="2"/>
  <c r="I32" i="34"/>
  <c r="I33" i="34" s="1"/>
  <c r="C44" i="34"/>
  <c r="D246" i="20"/>
  <c r="J137" i="20"/>
  <c r="J138" i="20"/>
  <c r="J139" i="20"/>
  <c r="J140" i="20"/>
  <c r="J141" i="20"/>
  <c r="J142" i="20"/>
  <c r="J143" i="20"/>
  <c r="J144" i="20"/>
  <c r="J145" i="20"/>
  <c r="J148" i="20"/>
  <c r="D8" i="38"/>
  <c r="D85" i="38" s="1"/>
  <c r="C8" i="38"/>
  <c r="C85" i="38" s="1"/>
  <c r="P16" i="44"/>
  <c r="H173" i="31" s="1"/>
  <c r="A31" i="39"/>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G32" i="39"/>
  <c r="D32" i="39"/>
  <c r="C34" i="39"/>
  <c r="C35" i="39" s="1"/>
  <c r="H131" i="2"/>
  <c r="E69" i="31"/>
  <c r="D229" i="31"/>
  <c r="D158" i="46"/>
  <c r="E158" i="46"/>
  <c r="F158" i="46"/>
  <c r="G158" i="46"/>
  <c r="H158" i="46"/>
  <c r="C158" i="46"/>
  <c r="O146" i="46"/>
  <c r="N146" i="46"/>
  <c r="N147" i="46" s="1"/>
  <c r="N148" i="46" s="1"/>
  <c r="N149" i="46" s="1"/>
  <c r="N150" i="46" s="1"/>
  <c r="N151" i="46" s="1"/>
  <c r="N152" i="46" s="1"/>
  <c r="N153" i="46" s="1"/>
  <c r="N154" i="46" s="1"/>
  <c r="N155" i="46" s="1"/>
  <c r="N156" i="46" s="1"/>
  <c r="N157" i="46" s="1"/>
  <c r="M146" i="46"/>
  <c r="M147" i="46" s="1"/>
  <c r="L146" i="46"/>
  <c r="L147" i="46" s="1"/>
  <c r="K146" i="46"/>
  <c r="K147" i="46" s="1"/>
  <c r="K148" i="46" s="1"/>
  <c r="K149" i="46" s="1"/>
  <c r="K150" i="46" s="1"/>
  <c r="J146" i="46"/>
  <c r="J147" i="46" s="1"/>
  <c r="J148" i="46" s="1"/>
  <c r="J149" i="46" s="1"/>
  <c r="J150" i="46" s="1"/>
  <c r="J151" i="46" s="1"/>
  <c r="J152" i="46" s="1"/>
  <c r="J153" i="46" s="1"/>
  <c r="J154" i="46" s="1"/>
  <c r="J155" i="46" s="1"/>
  <c r="J156" i="46" s="1"/>
  <c r="J157" i="46" s="1"/>
  <c r="D44" i="46"/>
  <c r="E44" i="46"/>
  <c r="F44" i="46"/>
  <c r="G44" i="46"/>
  <c r="H44" i="46"/>
  <c r="C44" i="46"/>
  <c r="J32" i="46"/>
  <c r="J33" i="46" s="1"/>
  <c r="O32" i="46"/>
  <c r="O33" i="46" s="1"/>
  <c r="N32" i="46"/>
  <c r="N33" i="46" s="1"/>
  <c r="N34" i="46" s="1"/>
  <c r="N35" i="46" s="1"/>
  <c r="M32" i="46"/>
  <c r="M33" i="46" s="1"/>
  <c r="L32" i="46"/>
  <c r="L33" i="46" s="1"/>
  <c r="K32" i="46"/>
  <c r="K33" i="46" s="1"/>
  <c r="D178" i="34"/>
  <c r="E178" i="34"/>
  <c r="F178" i="34"/>
  <c r="G178" i="34"/>
  <c r="H178" i="34"/>
  <c r="C178" i="34"/>
  <c r="N166" i="34"/>
  <c r="N167" i="34" s="1"/>
  <c r="N168" i="34" s="1"/>
  <c r="O166" i="34"/>
  <c r="O167" i="34" s="1"/>
  <c r="O168" i="34" s="1"/>
  <c r="O169" i="34" s="1"/>
  <c r="O170" i="34" s="1"/>
  <c r="O171" i="34" s="1"/>
  <c r="M166" i="34"/>
  <c r="L166" i="34"/>
  <c r="L167" i="34" s="1"/>
  <c r="K166" i="34"/>
  <c r="K167" i="34" s="1"/>
  <c r="D44" i="45"/>
  <c r="E44" i="45"/>
  <c r="F44" i="45"/>
  <c r="G44" i="45"/>
  <c r="H44" i="45"/>
  <c r="C44" i="45"/>
  <c r="D159" i="45"/>
  <c r="E159" i="45"/>
  <c r="F159" i="45"/>
  <c r="G159" i="45"/>
  <c r="H159" i="45"/>
  <c r="C159" i="45"/>
  <c r="J147" i="45"/>
  <c r="J148" i="45" s="1"/>
  <c r="O147" i="45"/>
  <c r="O148" i="45" s="1"/>
  <c r="O149" i="45" s="1"/>
  <c r="N147" i="45"/>
  <c r="N148" i="45" s="1"/>
  <c r="M147" i="45"/>
  <c r="M148" i="45" s="1"/>
  <c r="M149" i="45" s="1"/>
  <c r="L147" i="45"/>
  <c r="L148" i="45" s="1"/>
  <c r="K147" i="45"/>
  <c r="K32" i="45"/>
  <c r="K33" i="45" s="1"/>
  <c r="K34" i="45" s="1"/>
  <c r="L32" i="45"/>
  <c r="L33" i="45" s="1"/>
  <c r="L34" i="45" s="1"/>
  <c r="L35" i="45" s="1"/>
  <c r="L36" i="45" s="1"/>
  <c r="L37" i="45" s="1"/>
  <c r="L38" i="45" s="1"/>
  <c r="L39" i="45" s="1"/>
  <c r="L40" i="45" s="1"/>
  <c r="L41" i="45" s="1"/>
  <c r="L42" i="45" s="1"/>
  <c r="L43" i="45" s="1"/>
  <c r="M32" i="45"/>
  <c r="N32" i="45"/>
  <c r="N33" i="45" s="1"/>
  <c r="N34" i="45" s="1"/>
  <c r="O32" i="45"/>
  <c r="O33" i="45" s="1"/>
  <c r="O34" i="45" s="1"/>
  <c r="O35" i="45" s="1"/>
  <c r="O36" i="45" s="1"/>
  <c r="O37" i="45" s="1"/>
  <c r="O38" i="45" s="1"/>
  <c r="O39" i="45" s="1"/>
  <c r="O40" i="45" s="1"/>
  <c r="O41" i="45" s="1"/>
  <c r="O42" i="45" s="1"/>
  <c r="O43" i="45" s="1"/>
  <c r="J32" i="45"/>
  <c r="J32" i="34"/>
  <c r="J33" i="34" s="1"/>
  <c r="K32" i="34"/>
  <c r="K33" i="34" s="1"/>
  <c r="K34" i="34" s="1"/>
  <c r="L32" i="34"/>
  <c r="L33" i="34" s="1"/>
  <c r="L34" i="34" s="1"/>
  <c r="M32" i="34"/>
  <c r="D136" i="45"/>
  <c r="D135" i="46"/>
  <c r="J115" i="46"/>
  <c r="J116" i="45"/>
  <c r="H79" i="20"/>
  <c r="J79" i="20" s="1"/>
  <c r="J135" i="34"/>
  <c r="D65" i="46"/>
  <c r="D15" i="46" s="1"/>
  <c r="D74" i="45"/>
  <c r="D65" i="45"/>
  <c r="D16" i="34"/>
  <c r="D15" i="34"/>
  <c r="D20" i="5"/>
  <c r="D19" i="5"/>
  <c r="D18" i="5"/>
  <c r="I129" i="2"/>
  <c r="H69" i="31" s="1"/>
  <c r="E129" i="2"/>
  <c r="G68" i="2"/>
  <c r="G71" i="2" s="1"/>
  <c r="F10" i="2" s="1"/>
  <c r="G106" i="2"/>
  <c r="G109" i="2" s="1"/>
  <c r="F11" i="2" s="1"/>
  <c r="G43" i="2"/>
  <c r="G46" i="2" s="1"/>
  <c r="F12" i="2" s="1"/>
  <c r="I68" i="2"/>
  <c r="I71" i="2" s="1"/>
  <c r="H10" i="2" s="1"/>
  <c r="I108" i="2"/>
  <c r="I44" i="2"/>
  <c r="I45" i="2"/>
  <c r="W10" i="23"/>
  <c r="L204" i="20"/>
  <c r="P5" i="44"/>
  <c r="H163" i="31" s="1"/>
  <c r="H169" i="31"/>
  <c r="H171" i="31"/>
  <c r="H164" i="31"/>
  <c r="H165" i="31"/>
  <c r="H166" i="31"/>
  <c r="P32" i="44"/>
  <c r="H186" i="31" s="1"/>
  <c r="P33" i="44"/>
  <c r="H187" i="31" s="1"/>
  <c r="P34" i="44"/>
  <c r="H188" i="31" s="1"/>
  <c r="P35" i="44"/>
  <c r="H189" i="31" s="1"/>
  <c r="P36" i="44"/>
  <c r="H190" i="31" s="1"/>
  <c r="P37" i="44"/>
  <c r="H191" i="31" s="1"/>
  <c r="P43" i="44"/>
  <c r="P15" i="44"/>
  <c r="H172" i="31" s="1"/>
  <c r="P39" i="44"/>
  <c r="H194" i="31" s="1"/>
  <c r="H209" i="31" s="1"/>
  <c r="G134" i="2"/>
  <c r="G136" i="2" s="1"/>
  <c r="G138" i="2" s="1"/>
  <c r="H121" i="20"/>
  <c r="J259" i="31" s="1"/>
  <c r="D17" i="5"/>
  <c r="A10" i="31"/>
  <c r="A11" i="31" s="1"/>
  <c r="F12" i="31" s="1"/>
  <c r="A16" i="31"/>
  <c r="A17" i="31" s="1"/>
  <c r="A18" i="31" s="1"/>
  <c r="F19" i="31" s="1"/>
  <c r="I132" i="2"/>
  <c r="I134" i="2" s="1"/>
  <c r="H134" i="2"/>
  <c r="H136" i="2" s="1"/>
  <c r="H138" i="2" s="1"/>
  <c r="G40" i="22"/>
  <c r="D134" i="2"/>
  <c r="D136" i="2" s="1"/>
  <c r="E93" i="2"/>
  <c r="F93" i="2" s="1"/>
  <c r="E94" i="2"/>
  <c r="F94" i="2" s="1"/>
  <c r="E95" i="2"/>
  <c r="E96" i="2"/>
  <c r="E92" i="2"/>
  <c r="F92" i="2" s="1"/>
  <c r="E91" i="2"/>
  <c r="F91" i="2" s="1"/>
  <c r="E89" i="2"/>
  <c r="F89" i="2" s="1"/>
  <c r="E64" i="2"/>
  <c r="F64" i="2" s="1"/>
  <c r="F68" i="2" s="1"/>
  <c r="F71" i="2" s="1"/>
  <c r="F36" i="2"/>
  <c r="F33" i="2"/>
  <c r="F32" i="2"/>
  <c r="F31" i="2"/>
  <c r="F29" i="2"/>
  <c r="E210" i="31"/>
  <c r="I227" i="20"/>
  <c r="B56" i="3"/>
  <c r="B57" i="3" s="1"/>
  <c r="B58" i="3" s="1"/>
  <c r="B59" i="3" s="1"/>
  <c r="B60" i="3" s="1"/>
  <c r="B61" i="3" s="1"/>
  <c r="B62" i="3" s="1"/>
  <c r="B63" i="3" s="1"/>
  <c r="B64" i="3" s="1"/>
  <c r="B65" i="3" s="1"/>
  <c r="B66" i="3" s="1"/>
  <c r="B67" i="3" s="1"/>
  <c r="B68" i="3" s="1"/>
  <c r="B70" i="3" s="1"/>
  <c r="B72" i="3" s="1"/>
  <c r="B74" i="3" s="1"/>
  <c r="I73" i="41"/>
  <c r="J73" i="41"/>
  <c r="K49" i="41"/>
  <c r="K45" i="41"/>
  <c r="K37" i="41"/>
  <c r="K41" i="41"/>
  <c r="J49" i="41"/>
  <c r="J45" i="41"/>
  <c r="J37" i="41"/>
  <c r="G49" i="41"/>
  <c r="G45" i="41"/>
  <c r="G41" i="41"/>
  <c r="G37" i="41"/>
  <c r="F49" i="41"/>
  <c r="F45" i="41"/>
  <c r="F37" i="41"/>
  <c r="F41" i="41"/>
  <c r="I24" i="41"/>
  <c r="I20" i="41"/>
  <c r="I16" i="41"/>
  <c r="I12" i="41"/>
  <c r="J24" i="41"/>
  <c r="J12" i="41"/>
  <c r="G24" i="41"/>
  <c r="G20" i="41"/>
  <c r="G12" i="41"/>
  <c r="G16" i="41"/>
  <c r="H24" i="41"/>
  <c r="H20" i="41"/>
  <c r="H16" i="41"/>
  <c r="H12" i="41"/>
  <c r="H246" i="20"/>
  <c r="F246" i="20"/>
  <c r="G246" i="20"/>
  <c r="A1" i="22"/>
  <c r="A1" i="5"/>
  <c r="A1" i="3"/>
  <c r="A1" i="2"/>
  <c r="C272" i="31"/>
  <c r="E129" i="31"/>
  <c r="A2" i="40"/>
  <c r="C220" i="20"/>
  <c r="A1" i="20"/>
  <c r="C234" i="20"/>
  <c r="H232" i="20" s="1"/>
  <c r="G35" i="22"/>
  <c r="G34" i="22"/>
  <c r="G33" i="22"/>
  <c r="F78" i="31"/>
  <c r="J149" i="20"/>
  <c r="J136" i="20"/>
  <c r="E13" i="33"/>
  <c r="E16" i="33" s="1"/>
  <c r="E12" i="20"/>
  <c r="C282" i="31"/>
  <c r="E267" i="31"/>
  <c r="E259" i="31"/>
  <c r="C258" i="31"/>
  <c r="E228" i="31"/>
  <c r="E223" i="31"/>
  <c r="F149" i="31"/>
  <c r="E147" i="31"/>
  <c r="B139" i="31"/>
  <c r="E126" i="31"/>
  <c r="E125" i="31"/>
  <c r="F121" i="31"/>
  <c r="E119" i="31"/>
  <c r="E117" i="31"/>
  <c r="E96" i="31"/>
  <c r="E97" i="31" s="1"/>
  <c r="F85" i="31"/>
  <c r="E84" i="31"/>
  <c r="E78" i="31"/>
  <c r="F56" i="31"/>
  <c r="C56" i="31"/>
  <c r="E47" i="31"/>
  <c r="F40" i="31"/>
  <c r="E31" i="31"/>
  <c r="B30" i="31"/>
  <c r="E16" i="31"/>
  <c r="J155" i="20"/>
  <c r="J153" i="20"/>
  <c r="J152" i="20"/>
  <c r="E47" i="20"/>
  <c r="E43" i="20"/>
  <c r="E38" i="20"/>
  <c r="E24" i="20"/>
  <c r="E30" i="20" s="1"/>
  <c r="E20" i="20"/>
  <c r="A28" i="5"/>
  <c r="A30" i="5" s="1"/>
  <c r="I222" i="20"/>
  <c r="B16" i="19"/>
  <c r="J76" i="20"/>
  <c r="H221" i="20"/>
  <c r="H226" i="20"/>
  <c r="J84" i="20"/>
  <c r="J70" i="20"/>
  <c r="C228" i="20"/>
  <c r="A16" i="22"/>
  <c r="A17" i="22"/>
  <c r="A18" i="22" s="1"/>
  <c r="A20" i="22" s="1"/>
  <c r="A21" i="22" s="1"/>
  <c r="A22" i="22" s="1"/>
  <c r="A24" i="22" s="1"/>
  <c r="A25" i="22" s="1"/>
  <c r="A26" i="22" s="1"/>
  <c r="A27" i="22" s="1"/>
  <c r="C11" i="22"/>
  <c r="H118" i="20"/>
  <c r="E70" i="2"/>
  <c r="A116" i="2"/>
  <c r="E51" i="20"/>
  <c r="E16" i="20"/>
  <c r="G36" i="22"/>
  <c r="E138" i="2"/>
  <c r="O147" i="46"/>
  <c r="O148" i="46" s="1"/>
  <c r="M167" i="34"/>
  <c r="M168" i="34" s="1"/>
  <c r="M169" i="34" s="1"/>
  <c r="M170" i="34" s="1"/>
  <c r="M33" i="45"/>
  <c r="M34" i="45" s="1"/>
  <c r="M35" i="45" s="1"/>
  <c r="M36" i="45" s="1"/>
  <c r="M37" i="45" s="1"/>
  <c r="M38" i="45" s="1"/>
  <c r="M39" i="45" s="1"/>
  <c r="M40" i="45" s="1"/>
  <c r="M41" i="45" s="1"/>
  <c r="M42" i="45" s="1"/>
  <c r="M43" i="45" s="1"/>
  <c r="O34" i="46"/>
  <c r="O35" i="46" s="1"/>
  <c r="O36" i="46" s="1"/>
  <c r="M33" i="34"/>
  <c r="M34" i="34" s="1"/>
  <c r="M35" i="34" s="1"/>
  <c r="M36" i="34" s="1"/>
  <c r="J16" i="41"/>
  <c r="J20" i="41"/>
  <c r="K148" i="45"/>
  <c r="K149" i="45" s="1"/>
  <c r="J33" i="45"/>
  <c r="J34" i="45" s="1"/>
  <c r="J35" i="45" s="1"/>
  <c r="J36" i="45" s="1"/>
  <c r="J37" i="45" s="1"/>
  <c r="J38" i="45" s="1"/>
  <c r="J39" i="45" s="1"/>
  <c r="J40" i="45" s="1"/>
  <c r="J41" i="45" s="1"/>
  <c r="J42" i="45" s="1"/>
  <c r="J43" i="45" s="1"/>
  <c r="J158" i="46"/>
  <c r="E70" i="3" l="1"/>
  <c r="E74" i="3" s="1"/>
  <c r="H50" i="31"/>
  <c r="H52" i="31" s="1"/>
  <c r="H179" i="31"/>
  <c r="P29" i="44"/>
  <c r="H180" i="31"/>
  <c r="I90" i="2"/>
  <c r="I106" i="2" s="1"/>
  <c r="I109" i="2" s="1"/>
  <c r="H11" i="2" s="1"/>
  <c r="A29" i="22"/>
  <c r="A33" i="22" s="1"/>
  <c r="A34" i="22" s="1"/>
  <c r="A35" i="22" s="1"/>
  <c r="A36" i="22" s="1"/>
  <c r="A37" i="22" s="1"/>
  <c r="E29" i="22"/>
  <c r="A19" i="31"/>
  <c r="A20" i="31" s="1"/>
  <c r="A22" i="31" s="1"/>
  <c r="G50" i="41"/>
  <c r="A5" i="38"/>
  <c r="A6" i="38" s="1"/>
  <c r="J196" i="20"/>
  <c r="L196" i="20" s="1"/>
  <c r="H198" i="31"/>
  <c r="H201" i="31" s="1"/>
  <c r="P46" i="44"/>
  <c r="H25" i="41"/>
  <c r="H87" i="31"/>
  <c r="H88" i="31" s="1"/>
  <c r="J87" i="31"/>
  <c r="H115" i="31"/>
  <c r="H120" i="31" s="1"/>
  <c r="F17" i="31"/>
  <c r="J167" i="34"/>
  <c r="J168" i="34" s="1"/>
  <c r="J169" i="34" s="1"/>
  <c r="J170" i="34" s="1"/>
  <c r="J171" i="34" s="1"/>
  <c r="J172" i="34" s="1"/>
  <c r="J173" i="34" s="1"/>
  <c r="J174" i="34" s="1"/>
  <c r="J175" i="34" s="1"/>
  <c r="J176" i="34" s="1"/>
  <c r="J177" i="34" s="1"/>
  <c r="H98" i="31"/>
  <c r="H192" i="31"/>
  <c r="H167" i="31"/>
  <c r="H174" i="31" s="1"/>
  <c r="K31" i="31"/>
  <c r="K33" i="31" s="1"/>
  <c r="K35" i="31"/>
  <c r="H35" i="31"/>
  <c r="H37" i="31" s="1"/>
  <c r="L15" i="19"/>
  <c r="H83" i="46"/>
  <c r="J83" i="46" s="1"/>
  <c r="G108" i="34"/>
  <c r="H108" i="34" s="1"/>
  <c r="J108" i="34" s="1"/>
  <c r="G107" i="34"/>
  <c r="H107" i="34" s="1"/>
  <c r="J107" i="34" s="1"/>
  <c r="H89" i="34"/>
  <c r="J89" i="34" s="1"/>
  <c r="G106" i="34"/>
  <c r="H106" i="34" s="1"/>
  <c r="J106" i="34" s="1"/>
  <c r="H88" i="34"/>
  <c r="J88" i="34" s="1"/>
  <c r="G105" i="34"/>
  <c r="H105" i="34" s="1"/>
  <c r="J105" i="34" s="1"/>
  <c r="K17" i="19"/>
  <c r="L17" i="19" s="1"/>
  <c r="V5" i="23"/>
  <c r="V6" i="23" s="1"/>
  <c r="F107" i="2"/>
  <c r="C49" i="41"/>
  <c r="K25" i="41"/>
  <c r="L44" i="45"/>
  <c r="G45" i="3"/>
  <c r="D16" i="5"/>
  <c r="J50" i="41"/>
  <c r="H43" i="2"/>
  <c r="H46" i="2" s="1"/>
  <c r="G12" i="2" s="1"/>
  <c r="D74" i="46"/>
  <c r="L34" i="46"/>
  <c r="L35" i="46" s="1"/>
  <c r="L36" i="46" s="1"/>
  <c r="L37" i="46" s="1"/>
  <c r="L38" i="46" s="1"/>
  <c r="L39" i="46" s="1"/>
  <c r="L40" i="46" s="1"/>
  <c r="L41" i="46" s="1"/>
  <c r="L42" i="46" s="1"/>
  <c r="L43" i="46" s="1"/>
  <c r="K93" i="31"/>
  <c r="H106" i="2"/>
  <c r="H109" i="2" s="1"/>
  <c r="G11" i="2" s="1"/>
  <c r="E106" i="2"/>
  <c r="F20" i="31"/>
  <c r="M44" i="45"/>
  <c r="J25" i="41"/>
  <c r="E26" i="22"/>
  <c r="N158" i="46"/>
  <c r="F7" i="5"/>
  <c r="D7" i="5" s="1"/>
  <c r="C45" i="41"/>
  <c r="G85" i="46"/>
  <c r="H85" i="46" s="1"/>
  <c r="J85" i="46" s="1"/>
  <c r="E27" i="22"/>
  <c r="E43" i="2"/>
  <c r="E46" i="2" s="1"/>
  <c r="A12" i="31"/>
  <c r="F13" i="31" s="1"/>
  <c r="C37" i="41"/>
  <c r="G79" i="46"/>
  <c r="H79" i="46" s="1"/>
  <c r="J79" i="46" s="1"/>
  <c r="K158" i="31"/>
  <c r="C41" i="41"/>
  <c r="E68" i="2"/>
  <c r="E71" i="2" s="1"/>
  <c r="K111" i="31"/>
  <c r="J54" i="31"/>
  <c r="J38" i="31"/>
  <c r="J39" i="31" s="1"/>
  <c r="H120" i="20"/>
  <c r="K259" i="31" s="1"/>
  <c r="H259" i="31" s="1"/>
  <c r="L13" i="19"/>
  <c r="K54" i="31"/>
  <c r="K38" i="31"/>
  <c r="K50" i="41"/>
  <c r="E8" i="38"/>
  <c r="H50" i="41"/>
  <c r="G25" i="41"/>
  <c r="J133" i="20"/>
  <c r="L133" i="20" s="1"/>
  <c r="K150" i="45"/>
  <c r="K151" i="45" s="1"/>
  <c r="K152" i="45" s="1"/>
  <c r="K153" i="45" s="1"/>
  <c r="K154" i="45" s="1"/>
  <c r="K155" i="45" s="1"/>
  <c r="K156" i="45" s="1"/>
  <c r="K157" i="45" s="1"/>
  <c r="K158" i="45" s="1"/>
  <c r="M171" i="34"/>
  <c r="M172" i="34" s="1"/>
  <c r="M173" i="34" s="1"/>
  <c r="M174" i="34" s="1"/>
  <c r="M175" i="34" s="1"/>
  <c r="M176" i="34" s="1"/>
  <c r="M177" i="34" s="1"/>
  <c r="A23" i="31"/>
  <c r="A25" i="31" s="1"/>
  <c r="A26" i="31" s="1"/>
  <c r="F23" i="31"/>
  <c r="I25" i="41"/>
  <c r="F50" i="41"/>
  <c r="I136" i="2"/>
  <c r="I138" i="2" s="1"/>
  <c r="P10" i="44"/>
  <c r="P17" i="44" s="1"/>
  <c r="H81" i="45"/>
  <c r="J81" i="45" s="1"/>
  <c r="K48" i="31"/>
  <c r="H80" i="45"/>
  <c r="J80" i="45" s="1"/>
  <c r="J145" i="31"/>
  <c r="J12" i="31"/>
  <c r="G41" i="22"/>
  <c r="H90" i="34"/>
  <c r="J90" i="34" s="1"/>
  <c r="F25" i="41"/>
  <c r="I50" i="41"/>
  <c r="C36" i="39"/>
  <c r="J131" i="31"/>
  <c r="Q215" i="20"/>
  <c r="F43" i="2"/>
  <c r="F46" i="2" s="1"/>
  <c r="K151" i="46"/>
  <c r="K152" i="46" s="1"/>
  <c r="K153" i="46" s="1"/>
  <c r="K154" i="46" s="1"/>
  <c r="K155" i="46" s="1"/>
  <c r="K156" i="46" s="1"/>
  <c r="K157" i="46" s="1"/>
  <c r="A40" i="22"/>
  <c r="A41" i="22" s="1"/>
  <c r="A42" i="22" s="1"/>
  <c r="A43" i="22" s="1"/>
  <c r="E49" i="22"/>
  <c r="M150" i="45"/>
  <c r="M151" i="45" s="1"/>
  <c r="M152" i="45" s="1"/>
  <c r="M153" i="45" s="1"/>
  <c r="M154" i="45" s="1"/>
  <c r="M155" i="45" s="1"/>
  <c r="M156" i="45" s="1"/>
  <c r="M157" i="45" s="1"/>
  <c r="M158" i="45" s="1"/>
  <c r="O37" i="46"/>
  <c r="O38" i="46" s="1"/>
  <c r="O39" i="46" s="1"/>
  <c r="O40" i="46" s="1"/>
  <c r="O41" i="46" s="1"/>
  <c r="O42" i="46" s="1"/>
  <c r="O43" i="46" s="1"/>
  <c r="O149" i="46"/>
  <c r="O150" i="46" s="1"/>
  <c r="O151" i="46" s="1"/>
  <c r="O152" i="46" s="1"/>
  <c r="O153" i="46" s="1"/>
  <c r="O154" i="46" s="1"/>
  <c r="O155" i="46" s="1"/>
  <c r="O156" i="46" s="1"/>
  <c r="O157" i="46" s="1"/>
  <c r="K35" i="45"/>
  <c r="K36" i="45" s="1"/>
  <c r="K37" i="45" s="1"/>
  <c r="K38" i="45" s="1"/>
  <c r="K39" i="45" s="1"/>
  <c r="K40" i="45" s="1"/>
  <c r="K41" i="45" s="1"/>
  <c r="K42" i="45" s="1"/>
  <c r="K43" i="45" s="1"/>
  <c r="F26" i="31"/>
  <c r="J156" i="34"/>
  <c r="I10" i="2"/>
  <c r="F13" i="2"/>
  <c r="K35" i="34"/>
  <c r="K36" i="34" s="1"/>
  <c r="K37" i="34" s="1"/>
  <c r="K38" i="34" s="1"/>
  <c r="K39" i="34" s="1"/>
  <c r="K40" i="34" s="1"/>
  <c r="K41" i="34" s="1"/>
  <c r="K42" i="34" s="1"/>
  <c r="K43" i="34" s="1"/>
  <c r="L35" i="34"/>
  <c r="L36" i="34" s="1"/>
  <c r="L37" i="34" s="1"/>
  <c r="L38" i="34" s="1"/>
  <c r="L39" i="34" s="1"/>
  <c r="L40" i="34" s="1"/>
  <c r="L41" i="34" s="1"/>
  <c r="L42" i="34" s="1"/>
  <c r="L43" i="34" s="1"/>
  <c r="O150" i="45"/>
  <c r="O151" i="45" s="1"/>
  <c r="O152" i="45" s="1"/>
  <c r="O153" i="45" s="1"/>
  <c r="O154" i="45" s="1"/>
  <c r="O155" i="45" s="1"/>
  <c r="O156" i="45" s="1"/>
  <c r="O157" i="45" s="1"/>
  <c r="O158" i="45" s="1"/>
  <c r="J149" i="45"/>
  <c r="J150" i="45" s="1"/>
  <c r="J151" i="45" s="1"/>
  <c r="J152" i="45" s="1"/>
  <c r="J153" i="45" s="1"/>
  <c r="J154" i="45" s="1"/>
  <c r="J155" i="45" s="1"/>
  <c r="J156" i="45" s="1"/>
  <c r="J157" i="45" s="1"/>
  <c r="J158" i="45" s="1"/>
  <c r="L168" i="34"/>
  <c r="L169" i="34" s="1"/>
  <c r="L170" i="34" s="1"/>
  <c r="L171" i="34" s="1"/>
  <c r="L172" i="34" s="1"/>
  <c r="L173" i="34" s="1"/>
  <c r="L174" i="34" s="1"/>
  <c r="L175" i="34" s="1"/>
  <c r="L176" i="34" s="1"/>
  <c r="L177" i="34" s="1"/>
  <c r="N169" i="34"/>
  <c r="N170" i="34" s="1"/>
  <c r="N171" i="34" s="1"/>
  <c r="N172" i="34" s="1"/>
  <c r="N173" i="34" s="1"/>
  <c r="N174" i="34" s="1"/>
  <c r="N175" i="34" s="1"/>
  <c r="N176" i="34" s="1"/>
  <c r="N177" i="34" s="1"/>
  <c r="K34" i="46"/>
  <c r="K35" i="46" s="1"/>
  <c r="K36" i="46" s="1"/>
  <c r="K37" i="46" s="1"/>
  <c r="K38" i="46" s="1"/>
  <c r="K39" i="46" s="1"/>
  <c r="K40" i="46" s="1"/>
  <c r="K41" i="46" s="1"/>
  <c r="K42" i="46" s="1"/>
  <c r="K43" i="46" s="1"/>
  <c r="M34" i="46"/>
  <c r="M35" i="46" s="1"/>
  <c r="M36" i="46" s="1"/>
  <c r="M37" i="46" s="1"/>
  <c r="M38" i="46" s="1"/>
  <c r="M39" i="46" s="1"/>
  <c r="M40" i="46" s="1"/>
  <c r="M41" i="46" s="1"/>
  <c r="M42" i="46" s="1"/>
  <c r="M43" i="46" s="1"/>
  <c r="J34" i="46"/>
  <c r="J35" i="46" s="1"/>
  <c r="J36" i="46" s="1"/>
  <c r="J37" i="46" s="1"/>
  <c r="J38" i="46" s="1"/>
  <c r="J39" i="46" s="1"/>
  <c r="J40" i="46" s="1"/>
  <c r="J41" i="46" s="1"/>
  <c r="J42" i="46" s="1"/>
  <c r="J43" i="46" s="1"/>
  <c r="M148" i="46"/>
  <c r="M149" i="46" s="1"/>
  <c r="M150" i="46" s="1"/>
  <c r="M151" i="46" s="1"/>
  <c r="M152" i="46" s="1"/>
  <c r="M153" i="46" s="1"/>
  <c r="M154" i="46" s="1"/>
  <c r="M155" i="46" s="1"/>
  <c r="M156" i="46" s="1"/>
  <c r="M157" i="46" s="1"/>
  <c r="O172" i="34"/>
  <c r="O173" i="34" s="1"/>
  <c r="O174" i="34" s="1"/>
  <c r="O175" i="34" s="1"/>
  <c r="O176" i="34" s="1"/>
  <c r="O177" i="34" s="1"/>
  <c r="O178" i="34" s="1"/>
  <c r="N36" i="46"/>
  <c r="N37" i="46" s="1"/>
  <c r="N38" i="46" s="1"/>
  <c r="N39" i="46" s="1"/>
  <c r="N40" i="46" s="1"/>
  <c r="N41" i="46" s="1"/>
  <c r="N42" i="46" s="1"/>
  <c r="N43" i="46" s="1"/>
  <c r="M37" i="34"/>
  <c r="M38" i="34" s="1"/>
  <c r="M39" i="34" s="1"/>
  <c r="M40" i="34" s="1"/>
  <c r="M41" i="34" s="1"/>
  <c r="M42" i="34" s="1"/>
  <c r="M43" i="34" s="1"/>
  <c r="J34" i="34"/>
  <c r="J35" i="34" s="1"/>
  <c r="J36" i="34" s="1"/>
  <c r="J37" i="34" s="1"/>
  <c r="J38" i="34" s="1"/>
  <c r="J39" i="34" s="1"/>
  <c r="J40" i="34" s="1"/>
  <c r="J41" i="34" s="1"/>
  <c r="J42" i="34" s="1"/>
  <c r="J43" i="34" s="1"/>
  <c r="N35" i="45"/>
  <c r="N36" i="45" s="1"/>
  <c r="N37" i="45" s="1"/>
  <c r="N38" i="45" s="1"/>
  <c r="N39" i="45" s="1"/>
  <c r="N40" i="45" s="1"/>
  <c r="N41" i="45" s="1"/>
  <c r="N42" i="45" s="1"/>
  <c r="N43" i="45" s="1"/>
  <c r="L149" i="45"/>
  <c r="L150" i="45" s="1"/>
  <c r="L151" i="45" s="1"/>
  <c r="L152" i="45" s="1"/>
  <c r="L153" i="45" s="1"/>
  <c r="L154" i="45" s="1"/>
  <c r="L155" i="45" s="1"/>
  <c r="L156" i="45" s="1"/>
  <c r="L157" i="45" s="1"/>
  <c r="L158" i="45" s="1"/>
  <c r="N149" i="45"/>
  <c r="N150" i="45" s="1"/>
  <c r="N151" i="45" s="1"/>
  <c r="N152" i="45" s="1"/>
  <c r="N153" i="45" s="1"/>
  <c r="N154" i="45" s="1"/>
  <c r="N155" i="45" s="1"/>
  <c r="N156" i="45" s="1"/>
  <c r="N157" i="45" s="1"/>
  <c r="N158" i="45" s="1"/>
  <c r="K168" i="34"/>
  <c r="K169" i="34" s="1"/>
  <c r="K170" i="34" s="1"/>
  <c r="K171" i="34" s="1"/>
  <c r="K172" i="34" s="1"/>
  <c r="K173" i="34" s="1"/>
  <c r="K174" i="34" s="1"/>
  <c r="K175" i="34" s="1"/>
  <c r="K176" i="34" s="1"/>
  <c r="K177" i="34" s="1"/>
  <c r="L148" i="46"/>
  <c r="L149" i="46" s="1"/>
  <c r="L150" i="46" s="1"/>
  <c r="L151" i="46" s="1"/>
  <c r="L152" i="46" s="1"/>
  <c r="L153" i="46" s="1"/>
  <c r="L154" i="46" s="1"/>
  <c r="L155" i="46" s="1"/>
  <c r="L156" i="46" s="1"/>
  <c r="L157" i="46" s="1"/>
  <c r="I34" i="34"/>
  <c r="I35" i="34" s="1"/>
  <c r="I36" i="34" s="1"/>
  <c r="I37" i="34" s="1"/>
  <c r="I38" i="34" s="1"/>
  <c r="I39" i="34" s="1"/>
  <c r="I40" i="34" s="1"/>
  <c r="I41" i="34" s="1"/>
  <c r="I42" i="34" s="1"/>
  <c r="I43" i="34" s="1"/>
  <c r="O44" i="45"/>
  <c r="J44" i="45"/>
  <c r="I46" i="2"/>
  <c r="H12" i="2" s="1"/>
  <c r="E4" i="19"/>
  <c r="G13" i="5" s="1"/>
  <c r="P21" i="44"/>
  <c r="D33" i="39"/>
  <c r="G33" i="39"/>
  <c r="H82" i="45"/>
  <c r="J82" i="45" s="1"/>
  <c r="G37" i="22"/>
  <c r="J98" i="31"/>
  <c r="J84" i="31"/>
  <c r="J50" i="31"/>
  <c r="H47" i="31"/>
  <c r="H48" i="31" s="1"/>
  <c r="H59" i="31" s="1"/>
  <c r="J47" i="31"/>
  <c r="J37" i="31"/>
  <c r="J31" i="31"/>
  <c r="G82" i="34"/>
  <c r="H80" i="34"/>
  <c r="J80" i="34" s="1"/>
  <c r="G97" i="34"/>
  <c r="H97" i="34" s="1"/>
  <c r="J97" i="34" s="1"/>
  <c r="G85" i="34"/>
  <c r="G83" i="34"/>
  <c r="G86" i="34"/>
  <c r="H84" i="46"/>
  <c r="J84" i="46" s="1"/>
  <c r="H91" i="34"/>
  <c r="J91" i="34" s="1"/>
  <c r="C12" i="41"/>
  <c r="G81" i="34"/>
  <c r="C16" i="41"/>
  <c r="G84" i="34"/>
  <c r="C20" i="41"/>
  <c r="G87" i="34"/>
  <c r="C24" i="41"/>
  <c r="J273" i="31" l="1"/>
  <c r="H183" i="31"/>
  <c r="H208" i="31" s="1"/>
  <c r="A7" i="38"/>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J203" i="20"/>
  <c r="H204" i="31"/>
  <c r="H213" i="31" s="1"/>
  <c r="J120" i="31"/>
  <c r="H122" i="31"/>
  <c r="L120" i="31"/>
  <c r="L122" i="31" s="1"/>
  <c r="K37" i="31"/>
  <c r="L35" i="31"/>
  <c r="L37" i="31" s="1"/>
  <c r="L43" i="31" s="1"/>
  <c r="J178" i="34"/>
  <c r="H205" i="31"/>
  <c r="H214" i="31" s="1"/>
  <c r="K273" i="31"/>
  <c r="K282" i="31" s="1"/>
  <c r="F4" i="19"/>
  <c r="H13" i="5" s="1"/>
  <c r="H86" i="34"/>
  <c r="J86" i="34" s="1"/>
  <c r="G103" i="34"/>
  <c r="H103" i="34" s="1"/>
  <c r="J103" i="34" s="1"/>
  <c r="H87" i="34"/>
  <c r="J87" i="34" s="1"/>
  <c r="G104" i="34"/>
  <c r="H104" i="34" s="1"/>
  <c r="J104" i="34" s="1"/>
  <c r="H84" i="34"/>
  <c r="J84" i="34" s="1"/>
  <c r="G101" i="34"/>
  <c r="H101" i="34" s="1"/>
  <c r="J101" i="34" s="1"/>
  <c r="H83" i="34"/>
  <c r="J83" i="34" s="1"/>
  <c r="G100" i="34"/>
  <c r="H100" i="34" s="1"/>
  <c r="J100" i="34" s="1"/>
  <c r="H85" i="34"/>
  <c r="J85" i="34" s="1"/>
  <c r="G102" i="34"/>
  <c r="H102" i="34" s="1"/>
  <c r="J102" i="34" s="1"/>
  <c r="H82" i="34"/>
  <c r="J82" i="34" s="1"/>
  <c r="G99" i="34"/>
  <c r="H99" i="34" s="1"/>
  <c r="J99" i="34" s="1"/>
  <c r="H81" i="34"/>
  <c r="J81" i="34" s="1"/>
  <c r="G98" i="34"/>
  <c r="H98" i="34" s="1"/>
  <c r="J98" i="34" s="1"/>
  <c r="E109" i="2"/>
  <c r="H14" i="2"/>
  <c r="M44" i="46"/>
  <c r="L44" i="46"/>
  <c r="C50" i="41"/>
  <c r="K98" i="20" s="1"/>
  <c r="G13" i="2"/>
  <c r="F109" i="2"/>
  <c r="I11" i="2"/>
  <c r="K258" i="31"/>
  <c r="K55" i="31"/>
  <c r="K57" i="31" s="1"/>
  <c r="J13" i="31"/>
  <c r="J149" i="31" s="1"/>
  <c r="F31" i="3"/>
  <c r="G31" i="3" s="1"/>
  <c r="K44" i="46"/>
  <c r="J55" i="31"/>
  <c r="K251" i="31"/>
  <c r="K150" i="31"/>
  <c r="N178" i="34"/>
  <c r="K39" i="31"/>
  <c r="K41" i="31" s="1"/>
  <c r="L44" i="34"/>
  <c r="K44" i="34"/>
  <c r="K120" i="31"/>
  <c r="H123" i="20"/>
  <c r="G21" i="22"/>
  <c r="J48" i="31"/>
  <c r="J52" i="31"/>
  <c r="K202" i="20"/>
  <c r="K149" i="20"/>
  <c r="K99" i="20"/>
  <c r="C29" i="41"/>
  <c r="E85" i="38"/>
  <c r="H13" i="2"/>
  <c r="C25" i="41"/>
  <c r="I99" i="20" s="1"/>
  <c r="J44" i="34"/>
  <c r="J159" i="45"/>
  <c r="O159" i="45"/>
  <c r="C38" i="39"/>
  <c r="C37" i="39"/>
  <c r="M178" i="34"/>
  <c r="K159" i="45"/>
  <c r="N159" i="45"/>
  <c r="L159" i="45"/>
  <c r="O158" i="46"/>
  <c r="K158" i="46"/>
  <c r="F59" i="20"/>
  <c r="K84" i="31"/>
  <c r="L84" i="31" s="1"/>
  <c r="L86" i="31" s="1"/>
  <c r="L88" i="31" s="1"/>
  <c r="L100" i="31" s="1"/>
  <c r="L246" i="31" s="1"/>
  <c r="H83" i="45"/>
  <c r="J83" i="45" s="1"/>
  <c r="I44" i="34"/>
  <c r="L158" i="46"/>
  <c r="K178" i="34"/>
  <c r="N44" i="45"/>
  <c r="I12" i="2"/>
  <c r="M44" i="34"/>
  <c r="N44" i="46"/>
  <c r="J44" i="46"/>
  <c r="F16" i="2"/>
  <c r="H86" i="46"/>
  <c r="J86" i="46" s="1"/>
  <c r="M158" i="46"/>
  <c r="L178" i="34"/>
  <c r="F132" i="31"/>
  <c r="A31" i="31"/>
  <c r="F231" i="31"/>
  <c r="K44" i="45"/>
  <c r="M46" i="45" s="1"/>
  <c r="O44" i="46"/>
  <c r="M159" i="45"/>
  <c r="A49" i="22"/>
  <c r="A51" i="22" s="1"/>
  <c r="E9" i="22" s="1"/>
  <c r="H18" i="31" l="1"/>
  <c r="H19" i="31" s="1"/>
  <c r="L149" i="20"/>
  <c r="L197" i="20" s="1"/>
  <c r="M161" i="45"/>
  <c r="L61" i="31"/>
  <c r="L245" i="31" s="1"/>
  <c r="L22" i="31"/>
  <c r="M180" i="34"/>
  <c r="F9" i="20"/>
  <c r="H203" i="31"/>
  <c r="H212" i="31" s="1"/>
  <c r="J109" i="34"/>
  <c r="F114" i="34" s="1"/>
  <c r="J92" i="34"/>
  <c r="F113" i="34" s="1"/>
  <c r="H113" i="34" s="1"/>
  <c r="L113" i="34" s="1"/>
  <c r="I98" i="20"/>
  <c r="H98" i="20" s="1"/>
  <c r="H99" i="20"/>
  <c r="I13" i="2"/>
  <c r="H16" i="2"/>
  <c r="J56" i="31"/>
  <c r="J57" i="31" s="1"/>
  <c r="J59" i="31" s="1"/>
  <c r="J121" i="31"/>
  <c r="J122" i="31" s="1"/>
  <c r="M160" i="46"/>
  <c r="D4" i="19"/>
  <c r="F13" i="5" s="1"/>
  <c r="D13" i="5" s="1"/>
  <c r="K100" i="20"/>
  <c r="C51" i="41"/>
  <c r="L293" i="31" s="1"/>
  <c r="K59" i="31"/>
  <c r="K43" i="31"/>
  <c r="K22" i="31" s="1"/>
  <c r="K152" i="31"/>
  <c r="K122" i="31"/>
  <c r="J150" i="31"/>
  <c r="J40" i="31"/>
  <c r="J85" i="31"/>
  <c r="K260" i="31"/>
  <c r="J282" i="31"/>
  <c r="C26" i="41"/>
  <c r="C28" i="41"/>
  <c r="C39" i="39"/>
  <c r="C40" i="39"/>
  <c r="H87" i="46"/>
  <c r="J87" i="46" s="1"/>
  <c r="M46" i="46"/>
  <c r="H84" i="45"/>
  <c r="J84" i="45" s="1"/>
  <c r="A32" i="31"/>
  <c r="A33" i="31" s="1"/>
  <c r="L46" i="34"/>
  <c r="K86" i="31"/>
  <c r="J18" i="31" l="1"/>
  <c r="J19" i="31" s="1"/>
  <c r="H31" i="31"/>
  <c r="J72" i="31"/>
  <c r="H72" i="31"/>
  <c r="H215" i="31"/>
  <c r="L25" i="31"/>
  <c r="L102" i="31"/>
  <c r="L247" i="31" s="1"/>
  <c r="H33" i="31"/>
  <c r="J33" i="31"/>
  <c r="J258" i="31" s="1"/>
  <c r="J260" i="31" s="1"/>
  <c r="J261" i="31" s="1"/>
  <c r="F28" i="20"/>
  <c r="H273" i="31"/>
  <c r="H282" i="31" s="1"/>
  <c r="I100" i="20"/>
  <c r="I103" i="20" s="1"/>
  <c r="F115" i="34"/>
  <c r="H114" i="34"/>
  <c r="H293" i="31"/>
  <c r="J293" i="31" s="1"/>
  <c r="J41" i="31"/>
  <c r="J152" i="31"/>
  <c r="J250" i="31" s="1"/>
  <c r="K261" i="31"/>
  <c r="K250" i="31"/>
  <c r="J86" i="31"/>
  <c r="K61" i="31"/>
  <c r="K88" i="31"/>
  <c r="G18" i="22"/>
  <c r="G26" i="22" s="1"/>
  <c r="C42" i="39"/>
  <c r="C41" i="39"/>
  <c r="F33" i="31"/>
  <c r="J102" i="20"/>
  <c r="J103" i="20"/>
  <c r="K103" i="20"/>
  <c r="K102" i="20"/>
  <c r="A35" i="31"/>
  <c r="A36" i="31" s="1"/>
  <c r="A37" i="31" s="1"/>
  <c r="A38" i="31" s="1"/>
  <c r="F258" i="31"/>
  <c r="H85" i="45"/>
  <c r="J85" i="45" s="1"/>
  <c r="H88" i="46"/>
  <c r="J88" i="46" s="1"/>
  <c r="K18" i="31" l="1"/>
  <c r="L18" i="31" s="1"/>
  <c r="L19" i="31" s="1"/>
  <c r="H16" i="31"/>
  <c r="H17" i="31" s="1"/>
  <c r="H20" i="31" s="1"/>
  <c r="H43" i="31"/>
  <c r="H258" i="31"/>
  <c r="H260" i="31" s="1"/>
  <c r="H261" i="31" s="1"/>
  <c r="J43" i="31"/>
  <c r="J22" i="31" s="1"/>
  <c r="J16" i="31"/>
  <c r="K16" i="31" s="1"/>
  <c r="L16" i="31" s="1"/>
  <c r="L17" i="31" s="1"/>
  <c r="L23" i="31" s="1"/>
  <c r="E22" i="33"/>
  <c r="E26" i="33" s="1"/>
  <c r="I102" i="20"/>
  <c r="I109" i="20" s="1"/>
  <c r="J125" i="31" s="1"/>
  <c r="H115" i="34"/>
  <c r="L115" i="34" s="1"/>
  <c r="F122" i="34" s="1"/>
  <c r="L114" i="34"/>
  <c r="K245" i="31"/>
  <c r="K25" i="31"/>
  <c r="J88" i="31"/>
  <c r="K100" i="31"/>
  <c r="K102" i="31" s="1"/>
  <c r="K247" i="31" s="1"/>
  <c r="G20" i="22"/>
  <c r="G16" i="22"/>
  <c r="G17" i="22"/>
  <c r="J109" i="20"/>
  <c r="K125" i="31" s="1"/>
  <c r="C44" i="39"/>
  <c r="C43" i="39"/>
  <c r="H89" i="46"/>
  <c r="J89" i="46" s="1"/>
  <c r="H90" i="46"/>
  <c r="J90" i="46" s="1"/>
  <c r="H103" i="20"/>
  <c r="A39" i="31"/>
  <c r="F39" i="31"/>
  <c r="K19" i="31"/>
  <c r="K109" i="20"/>
  <c r="L125" i="31" s="1"/>
  <c r="L127" i="31" s="1"/>
  <c r="L135" i="31" s="1"/>
  <c r="L249" i="31" s="1"/>
  <c r="H86" i="45"/>
  <c r="J86" i="45" s="1"/>
  <c r="L20" i="31" l="1"/>
  <c r="L26" i="31" s="1"/>
  <c r="H61" i="31"/>
  <c r="H22" i="31"/>
  <c r="H23" i="31" s="1"/>
  <c r="J17" i="31"/>
  <c r="J20" i="31" s="1"/>
  <c r="K17" i="31"/>
  <c r="K23" i="31" s="1"/>
  <c r="H102" i="20"/>
  <c r="H109" i="20" s="1"/>
  <c r="E25" i="33"/>
  <c r="E27" i="33"/>
  <c r="F123" i="34"/>
  <c r="I122" i="34"/>
  <c r="J122" i="34" s="1"/>
  <c r="G24" i="22"/>
  <c r="K217" i="31"/>
  <c r="K246" i="31"/>
  <c r="K127" i="31"/>
  <c r="J61" i="31"/>
  <c r="J91" i="46"/>
  <c r="F95" i="46" s="1"/>
  <c r="G25" i="22"/>
  <c r="J127" i="31"/>
  <c r="C45" i="39"/>
  <c r="C46" i="39"/>
  <c r="H87" i="45"/>
  <c r="J87" i="45" s="1"/>
  <c r="A40" i="31"/>
  <c r="A41" i="31" s="1"/>
  <c r="J25" i="31" l="1"/>
  <c r="J245" i="31"/>
  <c r="H125" i="31"/>
  <c r="H127" i="31" s="1"/>
  <c r="G27" i="22"/>
  <c r="F19" i="3"/>
  <c r="F40" i="3" s="1"/>
  <c r="G40" i="3" s="1"/>
  <c r="F251" i="20"/>
  <c r="F14" i="3"/>
  <c r="G15" i="2"/>
  <c r="G16" i="2" s="1"/>
  <c r="I16" i="2" s="1"/>
  <c r="H245" i="31"/>
  <c r="H25" i="31"/>
  <c r="H26" i="31" s="1"/>
  <c r="K203" i="20" s="1"/>
  <c r="L203" i="20" s="1"/>
  <c r="K20" i="31"/>
  <c r="K26" i="31" s="1"/>
  <c r="E3" i="19" s="1"/>
  <c r="E8" i="19" s="1"/>
  <c r="G8" i="5" s="1"/>
  <c r="F3" i="19"/>
  <c r="E30" i="33"/>
  <c r="E33" i="33" s="1"/>
  <c r="E29" i="33"/>
  <c r="E32" i="33" s="1"/>
  <c r="F124" i="34"/>
  <c r="I123" i="34"/>
  <c r="J123" i="34" s="1"/>
  <c r="K135" i="31"/>
  <c r="J23" i="31"/>
  <c r="K252" i="31"/>
  <c r="C47" i="39"/>
  <c r="C48" i="39"/>
  <c r="A43" i="31"/>
  <c r="F43" i="31"/>
  <c r="H88" i="45"/>
  <c r="J88" i="45" s="1"/>
  <c r="F41" i="31"/>
  <c r="H66" i="31" l="1"/>
  <c r="H67" i="31" s="1"/>
  <c r="G19" i="3"/>
  <c r="F18" i="3"/>
  <c r="F17" i="3" s="1"/>
  <c r="F252" i="20"/>
  <c r="H252" i="20" s="1"/>
  <c r="H251" i="20"/>
  <c r="H132" i="31"/>
  <c r="H133" i="31" s="1"/>
  <c r="J133" i="31" s="1"/>
  <c r="H231" i="31"/>
  <c r="H232" i="31" s="1"/>
  <c r="G43" i="22" s="1"/>
  <c r="E9" i="19"/>
  <c r="G9" i="5" s="1"/>
  <c r="G10" i="5" s="1"/>
  <c r="G22" i="5" s="1"/>
  <c r="K266" i="31" s="1"/>
  <c r="F8" i="19"/>
  <c r="H8" i="5" s="1"/>
  <c r="F9" i="19"/>
  <c r="H9" i="5" s="1"/>
  <c r="F125" i="34"/>
  <c r="I124" i="34"/>
  <c r="J124" i="34" s="1"/>
  <c r="K249" i="31"/>
  <c r="J26" i="31"/>
  <c r="C49" i="39"/>
  <c r="C50" i="39"/>
  <c r="A47" i="31"/>
  <c r="F22" i="31"/>
  <c r="H89" i="45"/>
  <c r="J89" i="45" s="1"/>
  <c r="H90" i="45"/>
  <c r="J90" i="45" s="1"/>
  <c r="H254" i="20" l="1"/>
  <c r="J66" i="31"/>
  <c r="J67" i="31" s="1"/>
  <c r="G18" i="3"/>
  <c r="G42" i="22"/>
  <c r="J132" i="31"/>
  <c r="H10" i="5"/>
  <c r="H22" i="5" s="1"/>
  <c r="L266" i="31" s="1"/>
  <c r="F126" i="34"/>
  <c r="I125" i="34"/>
  <c r="J125" i="34" s="1"/>
  <c r="D3" i="19"/>
  <c r="C52" i="39"/>
  <c r="C51" i="39"/>
  <c r="F16" i="3"/>
  <c r="F15" i="3" s="1"/>
  <c r="G17" i="3"/>
  <c r="J91" i="45"/>
  <c r="F96" i="45" s="1"/>
  <c r="A48" i="31"/>
  <c r="F48" i="31"/>
  <c r="F273" i="31"/>
  <c r="F282" i="31"/>
  <c r="H235" i="31" l="1"/>
  <c r="I126" i="34"/>
  <c r="J126" i="34" s="1"/>
  <c r="F127" i="34"/>
  <c r="D9" i="19"/>
  <c r="F9" i="5" s="1"/>
  <c r="D9" i="5" s="1"/>
  <c r="D8" i="19"/>
  <c r="F8" i="5" s="1"/>
  <c r="C54" i="39"/>
  <c r="C53" i="39"/>
  <c r="A50" i="31"/>
  <c r="A51" i="31" s="1"/>
  <c r="A52" i="31" s="1"/>
  <c r="A53" i="31" s="1"/>
  <c r="G16" i="3"/>
  <c r="G46" i="22" l="1"/>
  <c r="G47" i="22" s="1"/>
  <c r="H236" i="31"/>
  <c r="F128" i="34"/>
  <c r="I127" i="34"/>
  <c r="J127" i="34" s="1"/>
  <c r="D8" i="5"/>
  <c r="D10" i="5" s="1"/>
  <c r="D22" i="5" s="1"/>
  <c r="F10" i="5"/>
  <c r="F22" i="5" s="1"/>
  <c r="J266" i="31" s="1"/>
  <c r="C55" i="39"/>
  <c r="C56" i="39"/>
  <c r="G14" i="3"/>
  <c r="G15" i="3"/>
  <c r="A54" i="31"/>
  <c r="A55" i="31" s="1"/>
  <c r="H266" i="31" l="1"/>
  <c r="F129" i="34"/>
  <c r="I128" i="34"/>
  <c r="J128" i="34" s="1"/>
  <c r="F55" i="31"/>
  <c r="C58" i="39"/>
  <c r="C57" i="39"/>
  <c r="A56" i="31"/>
  <c r="A57" i="31" s="1"/>
  <c r="G20" i="3"/>
  <c r="G47" i="3" l="1"/>
  <c r="G52" i="3" s="1"/>
  <c r="F130" i="34"/>
  <c r="I129" i="34"/>
  <c r="J129" i="34" s="1"/>
  <c r="C59" i="39"/>
  <c r="C60" i="39"/>
  <c r="A59" i="31"/>
  <c r="F59" i="31"/>
  <c r="F57" i="31"/>
  <c r="J156" i="31" l="1"/>
  <c r="J158" i="31" s="1"/>
  <c r="J251" i="31" s="1"/>
  <c r="I130" i="34"/>
  <c r="J130" i="34" s="1"/>
  <c r="F131" i="34"/>
  <c r="C61" i="39"/>
  <c r="C62" i="39"/>
  <c r="A61" i="31"/>
  <c r="F25" i="31" s="1"/>
  <c r="F61" i="31"/>
  <c r="H156" i="31" l="1"/>
  <c r="H158" i="31" s="1"/>
  <c r="H251" i="31" s="1"/>
  <c r="I131" i="34"/>
  <c r="J131" i="34" s="1"/>
  <c r="F132" i="34"/>
  <c r="C64" i="39"/>
  <c r="C63" i="39"/>
  <c r="F245" i="31"/>
  <c r="A66" i="31"/>
  <c r="I132" i="34" l="1"/>
  <c r="J132" i="34" s="1"/>
  <c r="F133" i="34"/>
  <c r="I133" i="34" s="1"/>
  <c r="J133" i="34" s="1"/>
  <c r="C66" i="39"/>
  <c r="C65" i="39"/>
  <c r="A67" i="31"/>
  <c r="F67" i="31"/>
  <c r="J134" i="34" l="1"/>
  <c r="F136" i="34" s="1"/>
  <c r="I136" i="34" s="1"/>
  <c r="J136" i="34" s="1"/>
  <c r="F137" i="34" s="1"/>
  <c r="C67" i="39"/>
  <c r="C68" i="39"/>
  <c r="A69" i="31"/>
  <c r="A72" i="31" s="1"/>
  <c r="I137" i="34" l="1"/>
  <c r="J137" i="34" s="1"/>
  <c r="F138" i="34" s="1"/>
  <c r="C69" i="39"/>
  <c r="C70" i="39"/>
  <c r="A75" i="31"/>
  <c r="A128" i="20"/>
  <c r="I138" i="34" l="1"/>
  <c r="J138" i="34" s="1"/>
  <c r="C71" i="39"/>
  <c r="C72" i="39"/>
  <c r="C73" i="39" s="1"/>
  <c r="F76" i="31"/>
  <c r="A76" i="31"/>
  <c r="A201" i="20"/>
  <c r="F139" i="34" l="1"/>
  <c r="A78" i="31"/>
  <c r="I139" i="34" l="1"/>
  <c r="J139" i="34" s="1"/>
  <c r="A76" i="20"/>
  <c r="A80" i="31"/>
  <c r="F140" i="34" l="1"/>
  <c r="A81" i="31"/>
  <c r="A84" i="31" s="1"/>
  <c r="I140" i="34" l="1"/>
  <c r="J140" i="34" s="1"/>
  <c r="H141" i="34" s="1"/>
  <c r="A85" i="31"/>
  <c r="A86" i="31" s="1"/>
  <c r="H142" i="34" l="1"/>
  <c r="H143" i="34" s="1"/>
  <c r="H144" i="34" s="1"/>
  <c r="H145" i="34" s="1"/>
  <c r="H146" i="34" s="1"/>
  <c r="H147" i="34" s="1"/>
  <c r="H148" i="34" s="1"/>
  <c r="H149" i="34" s="1"/>
  <c r="H150" i="34" s="1"/>
  <c r="H151" i="34" s="1"/>
  <c r="H152" i="34" s="1"/>
  <c r="F141" i="34"/>
  <c r="A87" i="31"/>
  <c r="A88" i="31" s="1"/>
  <c r="F86" i="31"/>
  <c r="H153" i="34" l="1"/>
  <c r="H155" i="34" s="1"/>
  <c r="F88" i="31"/>
  <c r="I141" i="34"/>
  <c r="J141" i="34" s="1"/>
  <c r="A91" i="31"/>
  <c r="I155" i="34" l="1"/>
  <c r="J155" i="34"/>
  <c r="F142" i="34"/>
  <c r="A92" i="31"/>
  <c r="A93" i="31" s="1"/>
  <c r="E18" i="33" l="1"/>
  <c r="J157" i="34"/>
  <c r="I142" i="34"/>
  <c r="J142" i="34" s="1"/>
  <c r="F143" i="34" s="1"/>
  <c r="A96" i="31"/>
  <c r="F93" i="31"/>
  <c r="J109" i="31" l="1"/>
  <c r="H109" i="31" s="1"/>
  <c r="H111" i="31" s="1"/>
  <c r="H135" i="31" s="1"/>
  <c r="H91" i="31" s="1"/>
  <c r="H93" i="31" s="1"/>
  <c r="I143" i="34"/>
  <c r="J143" i="34" s="1"/>
  <c r="F144" i="34" s="1"/>
  <c r="A97" i="31"/>
  <c r="A220" i="20"/>
  <c r="F98" i="31"/>
  <c r="J111" i="31" l="1"/>
  <c r="J135" i="31" s="1"/>
  <c r="J249" i="31" s="1"/>
  <c r="H249" i="31"/>
  <c r="I144" i="34"/>
  <c r="J144" i="34" s="1"/>
  <c r="F145" i="34" s="1"/>
  <c r="A98" i="31"/>
  <c r="A225" i="20"/>
  <c r="J91" i="31" l="1"/>
  <c r="I145" i="34"/>
  <c r="J145" i="34" s="1"/>
  <c r="F146" i="34" s="1"/>
  <c r="A100" i="31"/>
  <c r="F100" i="31"/>
  <c r="J93" i="31" l="1"/>
  <c r="I146" i="34"/>
  <c r="J146" i="34" s="1"/>
  <c r="A102" i="31"/>
  <c r="E14" i="22" s="1"/>
  <c r="F246" i="31"/>
  <c r="F102" i="31"/>
  <c r="F147" i="34" l="1"/>
  <c r="F247" i="31"/>
  <c r="A107" i="31"/>
  <c r="I147" i="34" l="1"/>
  <c r="J147" i="34" s="1"/>
  <c r="A108" i="31"/>
  <c r="A109" i="31" s="1"/>
  <c r="A110" i="31" s="1"/>
  <c r="F111" i="31" s="1"/>
  <c r="F148" i="34" l="1"/>
  <c r="A241" i="20"/>
  <c r="A111" i="31"/>
  <c r="I148" i="34" l="1"/>
  <c r="J148" i="34" s="1"/>
  <c r="A114" i="31"/>
  <c r="F149" i="34" l="1"/>
  <c r="A115" i="31"/>
  <c r="I149" i="34" l="1"/>
  <c r="J149" i="34" s="1"/>
  <c r="A116" i="31"/>
  <c r="A83" i="20"/>
  <c r="F150" i="34" l="1"/>
  <c r="A117" i="31"/>
  <c r="A118" i="31" s="1"/>
  <c r="A119" i="31" s="1"/>
  <c r="F129" i="31"/>
  <c r="I150" i="34" l="1"/>
  <c r="J150" i="34" s="1"/>
  <c r="A120" i="31"/>
  <c r="A93" i="20"/>
  <c r="F120" i="31"/>
  <c r="H95" i="46" l="1"/>
  <c r="L95" i="46" s="1"/>
  <c r="F102" i="46" s="1"/>
  <c r="F151" i="34"/>
  <c r="A121" i="31"/>
  <c r="A122" i="31" s="1"/>
  <c r="I102" i="46" l="1"/>
  <c r="J102" i="46" s="1"/>
  <c r="F103" i="46"/>
  <c r="I151" i="34"/>
  <c r="J151" i="34" s="1"/>
  <c r="A125" i="31"/>
  <c r="F122" i="31"/>
  <c r="F104" i="46" l="1"/>
  <c r="I103" i="46"/>
  <c r="J103" i="46" s="1"/>
  <c r="F152" i="34"/>
  <c r="A126" i="31"/>
  <c r="F127" i="31" s="1"/>
  <c r="I104" i="46" l="1"/>
  <c r="J104" i="46" s="1"/>
  <c r="F105" i="46"/>
  <c r="I152" i="34"/>
  <c r="J152" i="34" s="1"/>
  <c r="A127" i="31"/>
  <c r="A109" i="20"/>
  <c r="I105" i="46" l="1"/>
  <c r="J105" i="46" s="1"/>
  <c r="F106" i="46"/>
  <c r="A129" i="31"/>
  <c r="I106" i="46" l="1"/>
  <c r="J106" i="46" s="1"/>
  <c r="F107" i="46"/>
  <c r="A130" i="31"/>
  <c r="A131" i="31" s="1"/>
  <c r="I107" i="46" l="1"/>
  <c r="J107" i="46" s="1"/>
  <c r="F108" i="46"/>
  <c r="F131" i="31"/>
  <c r="A132" i="31"/>
  <c r="A133" i="31" s="1"/>
  <c r="I108" i="46" l="1"/>
  <c r="J108" i="46" s="1"/>
  <c r="F109" i="46"/>
  <c r="F133" i="31"/>
  <c r="A135" i="31"/>
  <c r="F135" i="31"/>
  <c r="F110" i="46" l="1"/>
  <c r="I109" i="46"/>
  <c r="J109" i="46" s="1"/>
  <c r="F91" i="31"/>
  <c r="A140" i="31"/>
  <c r="F249" i="31"/>
  <c r="I110" i="46" l="1"/>
  <c r="J110" i="46" s="1"/>
  <c r="F111" i="46"/>
  <c r="A141" i="31"/>
  <c r="A143" i="31"/>
  <c r="A144" i="31" s="1"/>
  <c r="A145" i="31" s="1"/>
  <c r="A146" i="31" s="1"/>
  <c r="F141" i="31"/>
  <c r="I111" i="46" l="1"/>
  <c r="J111" i="46" s="1"/>
  <c r="F112" i="46"/>
  <c r="A147" i="31"/>
  <c r="A148" i="31" s="1"/>
  <c r="F148" i="31" l="1"/>
  <c r="I112" i="46"/>
  <c r="J112" i="46" s="1"/>
  <c r="F113" i="46"/>
  <c r="I113" i="46" s="1"/>
  <c r="J113" i="46" s="1"/>
  <c r="A149" i="31"/>
  <c r="A150" i="31" s="1"/>
  <c r="F150" i="31" l="1"/>
  <c r="J114" i="46"/>
  <c r="A152" i="31"/>
  <c r="F152" i="31"/>
  <c r="F116" i="46" l="1"/>
  <c r="H118" i="46"/>
  <c r="H119" i="46" s="1"/>
  <c r="H120" i="46" s="1"/>
  <c r="H118" i="45"/>
  <c r="H119" i="45" s="1"/>
  <c r="H120" i="45" s="1"/>
  <c r="H121" i="45" s="1"/>
  <c r="A156" i="31"/>
  <c r="F250" i="31"/>
  <c r="I116" i="46" l="1"/>
  <c r="A158" i="31"/>
  <c r="F158" i="31"/>
  <c r="J116" i="46" l="1"/>
  <c r="F117" i="46" s="1"/>
  <c r="F251" i="31"/>
  <c r="A163" i="31"/>
  <c r="I117" i="46" l="1"/>
  <c r="J117" i="46" s="1"/>
  <c r="A164" i="31"/>
  <c r="A165" i="31" s="1"/>
  <c r="A166" i="31" s="1"/>
  <c r="A167" i="31" s="1"/>
  <c r="A169" i="31" s="1"/>
  <c r="D167" i="31" l="1"/>
  <c r="F118" i="46"/>
  <c r="A170" i="31"/>
  <c r="A171" i="31" s="1"/>
  <c r="A172" i="31" s="1"/>
  <c r="A173" i="31" s="1"/>
  <c r="A174" i="31" s="1"/>
  <c r="A177" i="31" s="1"/>
  <c r="I118" i="46" l="1"/>
  <c r="J118" i="46" s="1"/>
  <c r="F119" i="46" s="1"/>
  <c r="D174" i="31"/>
  <c r="A178" i="31"/>
  <c r="A179" i="31" s="1"/>
  <c r="A180" i="31" s="1"/>
  <c r="A181" i="31" s="1"/>
  <c r="A182" i="31" s="1"/>
  <c r="A183" i="31" s="1"/>
  <c r="D183" i="31" s="1"/>
  <c r="I119" i="46" l="1"/>
  <c r="J119" i="46" s="1"/>
  <c r="F120" i="46" s="1"/>
  <c r="F208" i="31"/>
  <c r="A186" i="31"/>
  <c r="I120" i="46" l="1"/>
  <c r="J120" i="46" s="1"/>
  <c r="A187" i="31"/>
  <c r="A188" i="31" s="1"/>
  <c r="A189" i="31" s="1"/>
  <c r="A190" i="31" s="1"/>
  <c r="A191" i="31" s="1"/>
  <c r="A192" i="31" s="1"/>
  <c r="F121" i="46" l="1"/>
  <c r="I121" i="46" s="1"/>
  <c r="H121" i="46"/>
  <c r="D192" i="31"/>
  <c r="A194" i="31"/>
  <c r="J121" i="46" l="1"/>
  <c r="F122" i="46" s="1"/>
  <c r="I122" i="46" s="1"/>
  <c r="H122" i="46"/>
  <c r="H123" i="46" s="1"/>
  <c r="H124" i="46" s="1"/>
  <c r="H125" i="46" s="1"/>
  <c r="H126" i="46" s="1"/>
  <c r="H127" i="46" s="1"/>
  <c r="H128" i="46" s="1"/>
  <c r="H129" i="46" s="1"/>
  <c r="H130" i="46" s="1"/>
  <c r="H131" i="46" s="1"/>
  <c r="H132" i="46" s="1"/>
  <c r="F209" i="31"/>
  <c r="A197" i="31"/>
  <c r="J122" i="46" l="1"/>
  <c r="F123" i="46" s="1"/>
  <c r="I123" i="46" s="1"/>
  <c r="J123" i="46" s="1"/>
  <c r="F124" i="46" s="1"/>
  <c r="H133" i="46"/>
  <c r="H135" i="46" s="1"/>
  <c r="A198" i="31"/>
  <c r="A199" i="31" s="1"/>
  <c r="A200" i="31" s="1"/>
  <c r="A201" i="31" s="1"/>
  <c r="D201" i="31"/>
  <c r="I124" i="46" l="1"/>
  <c r="J124" i="46" s="1"/>
  <c r="F125" i="46" s="1"/>
  <c r="F205" i="31"/>
  <c r="A203" i="31"/>
  <c r="E16" i="22" s="1"/>
  <c r="F204" i="31"/>
  <c r="I125" i="46" l="1"/>
  <c r="J125" i="46" s="1"/>
  <c r="F126" i="46" s="1"/>
  <c r="A204" i="31"/>
  <c r="E17" i="22" s="1"/>
  <c r="I126" i="46" l="1"/>
  <c r="J126" i="46" s="1"/>
  <c r="F127" i="46" s="1"/>
  <c r="I127" i="46" s="1"/>
  <c r="A205" i="31"/>
  <c r="E18" i="22" s="1"/>
  <c r="J127" i="46" l="1"/>
  <c r="F128" i="46" s="1"/>
  <c r="A208" i="31"/>
  <c r="E20" i="22" s="1"/>
  <c r="F203" i="31"/>
  <c r="I128" i="46" l="1"/>
  <c r="J128" i="46" s="1"/>
  <c r="A209" i="31"/>
  <c r="E21" i="22" s="1"/>
  <c r="F212" i="31"/>
  <c r="F129" i="46" l="1"/>
  <c r="A210" i="31"/>
  <c r="E22" i="22" s="1"/>
  <c r="F213" i="31"/>
  <c r="I129" i="46" l="1"/>
  <c r="J129" i="46" s="1"/>
  <c r="A212" i="31"/>
  <c r="E24" i="22" s="1"/>
  <c r="F214" i="31"/>
  <c r="F130" i="46" l="1"/>
  <c r="A213" i="31"/>
  <c r="E25" i="22" s="1"/>
  <c r="I130" i="46" l="1"/>
  <c r="J130" i="46" s="1"/>
  <c r="A214" i="31"/>
  <c r="F131" i="46" l="1"/>
  <c r="A215" i="31"/>
  <c r="F215" i="31"/>
  <c r="I131" i="46" l="1"/>
  <c r="J131" i="46" s="1"/>
  <c r="A217" i="31"/>
  <c r="F217" i="31"/>
  <c r="F132" i="46" l="1"/>
  <c r="A222" i="31"/>
  <c r="E33" i="22" s="1"/>
  <c r="F252" i="31"/>
  <c r="I132" i="46" l="1"/>
  <c r="J132" i="46" s="1"/>
  <c r="A223" i="31"/>
  <c r="E34" i="22" s="1"/>
  <c r="A224" i="31" l="1"/>
  <c r="E35" i="22" s="1"/>
  <c r="A225" i="31" l="1"/>
  <c r="E36" i="22" s="1"/>
  <c r="A226" i="31" l="1"/>
  <c r="E37" i="22" s="1"/>
  <c r="F230" i="31"/>
  <c r="A229" i="31" l="1"/>
  <c r="E40" i="22" s="1"/>
  <c r="F238" i="31"/>
  <c r="A230" i="31" l="1"/>
  <c r="E41" i="22" s="1"/>
  <c r="A231" i="31" l="1"/>
  <c r="E42" i="22" s="1"/>
  <c r="A232" i="31" l="1"/>
  <c r="E43" i="22" s="1"/>
  <c r="F232" i="31"/>
  <c r="A238" i="31" l="1"/>
  <c r="A240" i="31" s="1"/>
  <c r="A245" i="31" l="1"/>
  <c r="A246" i="31" s="1"/>
  <c r="A247" i="31" s="1"/>
  <c r="A249" i="31" s="1"/>
  <c r="F253" i="31"/>
  <c r="A250" i="31" l="1"/>
  <c r="A251" i="31" s="1"/>
  <c r="A252" i="31" s="1"/>
  <c r="A253" i="31" s="1"/>
  <c r="A255" i="31" s="1"/>
  <c r="F255" i="31" l="1"/>
  <c r="F279" i="31"/>
  <c r="A258" i="31"/>
  <c r="F262" i="31"/>
  <c r="F272" i="31"/>
  <c r="A259" i="31" l="1"/>
  <c r="F260" i="31" s="1"/>
  <c r="A260" i="31" l="1"/>
  <c r="A120" i="20"/>
  <c r="F261" i="31" l="1"/>
  <c r="A261" i="31"/>
  <c r="A262" i="31" l="1"/>
  <c r="A263" i="31" s="1"/>
  <c r="F263" i="31" l="1"/>
  <c r="A266" i="31"/>
  <c r="A267" i="31" s="1"/>
  <c r="F269" i="31"/>
  <c r="A269" i="31" l="1"/>
  <c r="A234" i="20"/>
  <c r="F286" i="31" l="1"/>
  <c r="A272" i="31"/>
  <c r="A273" i="31" s="1"/>
  <c r="A274" i="31" l="1"/>
  <c r="A275" i="31" s="1"/>
  <c r="F275" i="31"/>
  <c r="F274" i="31"/>
  <c r="F276" i="31"/>
  <c r="C8" i="39" l="1"/>
  <c r="A276" i="31"/>
  <c r="C12" i="39" l="1"/>
  <c r="A279" i="31"/>
  <c r="A280" i="31" l="1"/>
  <c r="A281" i="31" s="1"/>
  <c r="F281" i="31" l="1"/>
  <c r="A282" i="31"/>
  <c r="A283" i="31" s="1"/>
  <c r="A284" i="31" s="1"/>
  <c r="F284" i="31"/>
  <c r="F283" i="31"/>
  <c r="A286" i="31" l="1"/>
  <c r="C9" i="39"/>
  <c r="A287" i="31" l="1"/>
  <c r="A288" i="31" s="1"/>
  <c r="A289" i="31" s="1"/>
  <c r="F290" i="31" l="1"/>
  <c r="A290" i="31"/>
  <c r="FH289" i="31"/>
  <c r="A293" i="31" l="1"/>
  <c r="F294" i="31" s="1"/>
  <c r="F295" i="31" l="1"/>
  <c r="A294" i="31"/>
  <c r="A295" i="31" s="1"/>
  <c r="W22" i="23"/>
  <c r="J202" i="20" l="1"/>
  <c r="L202" i="20" s="1"/>
  <c r="L205" i="20"/>
  <c r="L207" i="20" l="1"/>
  <c r="H75" i="31" l="1"/>
  <c r="H76" i="31" s="1"/>
  <c r="J75" i="31"/>
  <c r="J76" i="31" s="1"/>
  <c r="J100" i="31" s="1"/>
  <c r="J102" i="31" l="1"/>
  <c r="J247" i="31" s="1"/>
  <c r="J246" i="31"/>
  <c r="H100" i="31"/>
  <c r="H246" i="31" s="1"/>
  <c r="H102" i="31" l="1"/>
  <c r="H247" i="31" s="1"/>
  <c r="H217" i="31" l="1"/>
  <c r="H238" i="31" s="1"/>
  <c r="H240" i="31" s="1"/>
  <c r="H253" i="31" s="1"/>
  <c r="G14" i="22"/>
  <c r="G29" i="22" s="1"/>
  <c r="G49" i="22" s="1"/>
  <c r="G51" i="22" s="1"/>
  <c r="K103" i="31"/>
  <c r="L103" i="31"/>
  <c r="J103" i="31"/>
  <c r="J240" i="31" l="1"/>
  <c r="J253" i="31" s="1"/>
  <c r="H252" i="31"/>
  <c r="H255" i="31" s="1"/>
  <c r="H262" i="31" s="1"/>
  <c r="H263" i="31" s="1"/>
  <c r="L240" i="31"/>
  <c r="L253" i="31" s="1"/>
  <c r="K240" i="31"/>
  <c r="K253" i="31" s="1"/>
  <c r="K255" i="31" s="1"/>
  <c r="K262" i="31" s="1"/>
  <c r="K263" i="31" s="1"/>
  <c r="K269" i="31" s="1"/>
  <c r="K286" i="31" s="1"/>
  <c r="G9" i="22"/>
  <c r="H280" i="31" s="1"/>
  <c r="J280" i="31" s="1"/>
  <c r="J217" i="31"/>
  <c r="J252" i="31" s="1"/>
  <c r="L217" i="31"/>
  <c r="L252" i="31" s="1"/>
  <c r="J255" i="31" l="1"/>
  <c r="J262" i="31" s="1"/>
  <c r="J263" i="31" s="1"/>
  <c r="J272" i="31" s="1"/>
  <c r="L255" i="31"/>
  <c r="L262" i="31" s="1"/>
  <c r="L263" i="31" s="1"/>
  <c r="L269" i="31" s="1"/>
  <c r="L286" i="31" s="1"/>
  <c r="L290" i="31" s="1"/>
  <c r="L294" i="31" s="1"/>
  <c r="L295" i="31" s="1"/>
  <c r="K272" i="31"/>
  <c r="K274" i="31" s="1"/>
  <c r="K279" i="31"/>
  <c r="L280" i="31"/>
  <c r="H276" i="31"/>
  <c r="I12" i="39" s="1"/>
  <c r="H275" i="31"/>
  <c r="I8" i="39" s="1"/>
  <c r="K280" i="31"/>
  <c r="H279" i="31"/>
  <c r="H281" i="31" s="1"/>
  <c r="H283" i="31" s="1"/>
  <c r="H274" i="31"/>
  <c r="H269" i="31"/>
  <c r="H286" i="31" s="1"/>
  <c r="H272" i="31"/>
  <c r="H137" i="45"/>
  <c r="D96" i="45"/>
  <c r="H96" i="45" s="1"/>
  <c r="L96" i="45" s="1"/>
  <c r="F103" i="45" s="1"/>
  <c r="J269" i="31" l="1"/>
  <c r="J286" i="31" s="1"/>
  <c r="I156" i="34" s="1"/>
  <c r="I157" i="34" s="1"/>
  <c r="J279" i="31"/>
  <c r="J281" i="31" s="1"/>
  <c r="J284" i="31" s="1"/>
  <c r="J9" i="39" s="1"/>
  <c r="H136" i="46"/>
  <c r="H137" i="46" s="1"/>
  <c r="L279" i="31"/>
  <c r="L281" i="31" s="1"/>
  <c r="L283" i="31" s="1"/>
  <c r="L272" i="31"/>
  <c r="L276" i="31" s="1"/>
  <c r="L12" i="39" s="1"/>
  <c r="K275" i="31"/>
  <c r="K8" i="39" s="1"/>
  <c r="K276" i="31"/>
  <c r="K12" i="39" s="1"/>
  <c r="K281" i="31"/>
  <c r="K284" i="31" s="1"/>
  <c r="K9" i="39" s="1"/>
  <c r="C185" i="34"/>
  <c r="D189" i="34" s="1"/>
  <c r="J275" i="31"/>
  <c r="J8" i="39" s="1"/>
  <c r="G26" i="39" s="1"/>
  <c r="J276" i="31"/>
  <c r="J12" i="39" s="1"/>
  <c r="J274" i="31"/>
  <c r="H284" i="31"/>
  <c r="I9" i="39" s="1"/>
  <c r="I10" i="39" s="1"/>
  <c r="F104" i="45"/>
  <c r="I103" i="45"/>
  <c r="J103" i="45" s="1"/>
  <c r="J283" i="31" l="1"/>
  <c r="L275" i="31"/>
  <c r="L8" i="39" s="1"/>
  <c r="L274" i="31"/>
  <c r="K10" i="39"/>
  <c r="K283" i="31"/>
  <c r="J10" i="39"/>
  <c r="G27" i="39" s="1"/>
  <c r="L284" i="31"/>
  <c r="L9" i="39" s="1"/>
  <c r="D26" i="39"/>
  <c r="F56" i="39" s="1"/>
  <c r="I56" i="39"/>
  <c r="I58" i="39"/>
  <c r="I32" i="39"/>
  <c r="I42" i="39"/>
  <c r="I46" i="39"/>
  <c r="I40" i="39"/>
  <c r="I38" i="39"/>
  <c r="I48" i="39"/>
  <c r="I52" i="39"/>
  <c r="I68" i="39"/>
  <c r="I62" i="39"/>
  <c r="I34" i="39"/>
  <c r="I60" i="39"/>
  <c r="I70" i="39"/>
  <c r="I64" i="39"/>
  <c r="I50" i="39"/>
  <c r="I36" i="39"/>
  <c r="I66" i="39"/>
  <c r="I44" i="39"/>
  <c r="I54" i="39"/>
  <c r="F105" i="45"/>
  <c r="I104" i="45"/>
  <c r="J104" i="45" s="1"/>
  <c r="L10" i="39" l="1"/>
  <c r="F44" i="39"/>
  <c r="J44" i="39" s="1"/>
  <c r="L44" i="39" s="1"/>
  <c r="F50" i="39"/>
  <c r="J50" i="39" s="1"/>
  <c r="L50" i="39" s="1"/>
  <c r="F68" i="39"/>
  <c r="J68" i="39" s="1"/>
  <c r="L68" i="39" s="1"/>
  <c r="F46" i="39"/>
  <c r="J46" i="39" s="1"/>
  <c r="L46" i="39" s="1"/>
  <c r="F70" i="39"/>
  <c r="J70" i="39" s="1"/>
  <c r="L70" i="39" s="1"/>
  <c r="F62" i="39"/>
  <c r="J62" i="39" s="1"/>
  <c r="L62" i="39" s="1"/>
  <c r="F34" i="39"/>
  <c r="J34" i="39" s="1"/>
  <c r="L34" i="39" s="1"/>
  <c r="F52" i="39"/>
  <c r="J52" i="39" s="1"/>
  <c r="L52" i="39" s="1"/>
  <c r="F40" i="39"/>
  <c r="J40" i="39" s="1"/>
  <c r="L40" i="39" s="1"/>
  <c r="F60" i="39"/>
  <c r="J60" i="39" s="1"/>
  <c r="L60" i="39" s="1"/>
  <c r="F36" i="39"/>
  <c r="J36" i="39" s="1"/>
  <c r="L36" i="39" s="1"/>
  <c r="D27" i="39"/>
  <c r="F47" i="39" s="1"/>
  <c r="F58" i="39"/>
  <c r="J58" i="39" s="1"/>
  <c r="L58" i="39" s="1"/>
  <c r="F64" i="39"/>
  <c r="J64" i="39" s="1"/>
  <c r="L64" i="39" s="1"/>
  <c r="F38" i="39"/>
  <c r="J38" i="39" s="1"/>
  <c r="L38" i="39" s="1"/>
  <c r="F42" i="39"/>
  <c r="J42" i="39" s="1"/>
  <c r="L42" i="39" s="1"/>
  <c r="F66" i="39"/>
  <c r="J66" i="39" s="1"/>
  <c r="L66" i="39" s="1"/>
  <c r="F54" i="39"/>
  <c r="J54" i="39" s="1"/>
  <c r="L54" i="39" s="1"/>
  <c r="F48" i="39"/>
  <c r="J48" i="39" s="1"/>
  <c r="L48" i="39" s="1"/>
  <c r="F32" i="39"/>
  <c r="J32" i="39" s="1"/>
  <c r="L32" i="39" s="1"/>
  <c r="J56" i="39"/>
  <c r="L56" i="39" s="1"/>
  <c r="F106" i="45"/>
  <c r="I105" i="45"/>
  <c r="J105" i="45" s="1"/>
  <c r="I47" i="39"/>
  <c r="I41" i="39"/>
  <c r="I43" i="39"/>
  <c r="I71" i="39"/>
  <c r="I33" i="39"/>
  <c r="I57" i="39"/>
  <c r="I55" i="39"/>
  <c r="I39" i="39"/>
  <c r="I59" i="39"/>
  <c r="I49" i="39"/>
  <c r="I35" i="39"/>
  <c r="I53" i="39"/>
  <c r="I63" i="39"/>
  <c r="I65" i="39"/>
  <c r="I67" i="39"/>
  <c r="I51" i="39"/>
  <c r="I45" i="39"/>
  <c r="I69" i="39"/>
  <c r="I61" i="39"/>
  <c r="I37" i="39"/>
  <c r="F41" i="39" l="1"/>
  <c r="J41" i="39" s="1"/>
  <c r="K41" i="39" s="1"/>
  <c r="M40" i="39" s="1"/>
  <c r="F57" i="39"/>
  <c r="J57" i="39" s="1"/>
  <c r="K57" i="39" s="1"/>
  <c r="M56" i="39" s="1"/>
  <c r="F55" i="39"/>
  <c r="J55" i="39" s="1"/>
  <c r="K55" i="39" s="1"/>
  <c r="M54" i="39" s="1"/>
  <c r="F71" i="39"/>
  <c r="J71" i="39" s="1"/>
  <c r="K71" i="39" s="1"/>
  <c r="M70" i="39" s="1"/>
  <c r="F51" i="39"/>
  <c r="J51" i="39" s="1"/>
  <c r="K51" i="39" s="1"/>
  <c r="M50" i="39" s="1"/>
  <c r="F45" i="39"/>
  <c r="J45" i="39" s="1"/>
  <c r="K45" i="39" s="1"/>
  <c r="M44" i="39" s="1"/>
  <c r="F37" i="39"/>
  <c r="J37" i="39" s="1"/>
  <c r="K37" i="39" s="1"/>
  <c r="M36" i="39" s="1"/>
  <c r="F53" i="39"/>
  <c r="J53" i="39" s="1"/>
  <c r="K53" i="39" s="1"/>
  <c r="M52" i="39" s="1"/>
  <c r="F35" i="39"/>
  <c r="J35" i="39" s="1"/>
  <c r="K35" i="39" s="1"/>
  <c r="M34" i="39" s="1"/>
  <c r="F39" i="39"/>
  <c r="J39" i="39" s="1"/>
  <c r="K39" i="39" s="1"/>
  <c r="M38" i="39" s="1"/>
  <c r="F61" i="39"/>
  <c r="J61" i="39" s="1"/>
  <c r="K61" i="39" s="1"/>
  <c r="M60" i="39" s="1"/>
  <c r="F63" i="39"/>
  <c r="J63" i="39" s="1"/>
  <c r="K63" i="39" s="1"/>
  <c r="M62" i="39" s="1"/>
  <c r="F49" i="39"/>
  <c r="J49" i="39" s="1"/>
  <c r="K49" i="39" s="1"/>
  <c r="M48" i="39" s="1"/>
  <c r="F65" i="39"/>
  <c r="J65" i="39" s="1"/>
  <c r="K65" i="39" s="1"/>
  <c r="M64" i="39" s="1"/>
  <c r="F43" i="39"/>
  <c r="J43" i="39" s="1"/>
  <c r="K43" i="39" s="1"/>
  <c r="M42" i="39" s="1"/>
  <c r="F67" i="39"/>
  <c r="J67" i="39" s="1"/>
  <c r="K67" i="39" s="1"/>
  <c r="M66" i="39" s="1"/>
  <c r="F59" i="39"/>
  <c r="J59" i="39" s="1"/>
  <c r="K59" i="39" s="1"/>
  <c r="M58" i="39" s="1"/>
  <c r="F69" i="39"/>
  <c r="J69" i="39" s="1"/>
  <c r="K69" i="39" s="1"/>
  <c r="M68" i="39" s="1"/>
  <c r="F33" i="39"/>
  <c r="J33" i="39" s="1"/>
  <c r="K33" i="39" s="1"/>
  <c r="M32" i="39" s="1"/>
  <c r="I106" i="45"/>
  <c r="J106" i="45" s="1"/>
  <c r="F107" i="45"/>
  <c r="J47" i="39"/>
  <c r="K47" i="39" s="1"/>
  <c r="M46" i="39" s="1"/>
  <c r="H288" i="31" l="1"/>
  <c r="J288" i="31" s="1"/>
  <c r="J290" i="31" s="1"/>
  <c r="J294" i="31" s="1"/>
  <c r="J295" i="31" s="1"/>
  <c r="F108" i="45"/>
  <c r="I107" i="45"/>
  <c r="J107" i="45" s="1"/>
  <c r="F109" i="45" l="1"/>
  <c r="I108" i="45"/>
  <c r="J108" i="45" s="1"/>
  <c r="I109" i="45" l="1"/>
  <c r="J109" i="45" s="1"/>
  <c r="F110" i="45"/>
  <c r="I110" i="45" l="1"/>
  <c r="J110" i="45" s="1"/>
  <c r="F111" i="45"/>
  <c r="I111" i="45" l="1"/>
  <c r="J111" i="45" s="1"/>
  <c r="F112" i="45"/>
  <c r="I112" i="45" l="1"/>
  <c r="J112" i="45" s="1"/>
  <c r="F113" i="45"/>
  <c r="I113" i="45" l="1"/>
  <c r="J113" i="45" s="1"/>
  <c r="F114" i="45"/>
  <c r="I114" i="45" s="1"/>
  <c r="J114" i="45" s="1"/>
  <c r="J115" i="45" l="1"/>
  <c r="F117" i="45" s="1"/>
  <c r="I117" i="45" s="1"/>
  <c r="J117" i="45" s="1"/>
  <c r="F118" i="45" s="1"/>
  <c r="I118" i="45" s="1"/>
  <c r="J118" i="45" s="1"/>
  <c r="F119" i="45" s="1"/>
  <c r="I119" i="45" s="1"/>
  <c r="J119" i="45" s="1"/>
  <c r="F120" i="45" s="1"/>
  <c r="I120" i="45" s="1"/>
  <c r="J120" i="45" s="1"/>
  <c r="F121" i="45" s="1"/>
  <c r="I121" i="45" s="1"/>
  <c r="J121" i="45" s="1"/>
  <c r="H122" i="45" l="1"/>
  <c r="F122" i="45"/>
  <c r="I122" i="45" l="1"/>
  <c r="J122" i="45" s="1"/>
  <c r="F123" i="45" s="1"/>
  <c r="I123" i="45" s="1"/>
  <c r="H123" i="45"/>
  <c r="H124" i="45" s="1"/>
  <c r="H125" i="45" s="1"/>
  <c r="H126" i="45" s="1"/>
  <c r="H127" i="45" s="1"/>
  <c r="H128" i="45" s="1"/>
  <c r="H129" i="45" s="1"/>
  <c r="H130" i="45" s="1"/>
  <c r="H131" i="45" s="1"/>
  <c r="H132" i="45" s="1"/>
  <c r="H133" i="45" s="1"/>
  <c r="H134" i="45" l="1"/>
  <c r="H136" i="45" s="1"/>
  <c r="J123" i="45"/>
  <c r="F124" i="45" s="1"/>
  <c r="I124" i="45" s="1"/>
  <c r="J124" i="45" s="1"/>
  <c r="F125" i="45" s="1"/>
  <c r="I125" i="45" s="1"/>
  <c r="J125" i="45" s="1"/>
  <c r="F126" i="45" s="1"/>
  <c r="I126" i="45" s="1"/>
  <c r="J126" i="45" s="1"/>
  <c r="F127" i="45" s="1"/>
  <c r="I127" i="45" s="1"/>
  <c r="J127" i="45" s="1"/>
  <c r="F128" i="45" s="1"/>
  <c r="I128" i="45" s="1"/>
  <c r="J128" i="45" s="1"/>
  <c r="F129" i="45" s="1"/>
  <c r="I129" i="45" s="1"/>
  <c r="J129" i="45" s="1"/>
  <c r="F130" i="45" s="1"/>
  <c r="I130" i="45" s="1"/>
  <c r="J130" i="45" s="1"/>
  <c r="F131" i="45" s="1"/>
  <c r="I131" i="45" s="1"/>
  <c r="J131" i="45" s="1"/>
  <c r="F132" i="45" s="1"/>
  <c r="I132" i="45" s="1"/>
  <c r="J132" i="45" s="1"/>
  <c r="F133" i="45" s="1"/>
  <c r="I133" i="45" s="1"/>
  <c r="J133" i="45" s="1"/>
  <c r="H290" i="31" l="1"/>
  <c r="H138" i="45"/>
  <c r="K290" i="31" l="1"/>
  <c r="K294" i="31" s="1"/>
  <c r="K295" i="31" s="1"/>
</calcChain>
</file>

<file path=xl/sharedStrings.xml><?xml version="1.0" encoding="utf-8"?>
<sst xmlns="http://schemas.openxmlformats.org/spreadsheetml/2006/main" count="3117" uniqueCount="1355">
  <si>
    <t>E3539 (GIF) Sta Eq, Upper Baker</t>
  </si>
  <si>
    <t>E3539 (GIF) Sta Eq, WHDE sub@plant</t>
  </si>
  <si>
    <t>E3539 (GIF) Sta Eq, Whitehorn</t>
  </si>
  <si>
    <t>E3539 (GIF) Sta Eq, Wild H sub@plt</t>
  </si>
  <si>
    <t>E3539 (GIF) Sta Eq, Wild Horse Exp</t>
  </si>
  <si>
    <t>E3539 (GIF) Sta Eq, Wind Ridge</t>
  </si>
  <si>
    <t>E3539 (GIF) Sta Eq, WindRid NonProj</t>
  </si>
  <si>
    <t>E3559 (GIF) Poles, Hopkins Ridge</t>
  </si>
  <si>
    <t>E3559 (GIF) Poles, Lower Baker</t>
  </si>
  <si>
    <t>E3559 (GIF) Poles, Poison Spring</t>
  </si>
  <si>
    <t>E3559 (GIF) Poles, Scl-Tolt</t>
  </si>
  <si>
    <t>E3559 (GIF) Poles, Snoqualmie 2</t>
  </si>
  <si>
    <t>E3559 (GIF) Poles, Sumas</t>
  </si>
  <si>
    <t>E3559 (GIF) Poles, Upper Baker</t>
  </si>
  <si>
    <t>E3559 (GIF) Poles, Wild Horse</t>
  </si>
  <si>
    <t>E3569 (GIF) O/H Cond, Hopkins</t>
  </si>
  <si>
    <t>E3569 (GIF) O/H Cond, Poison Spring</t>
  </si>
  <si>
    <t>E3569 (GIF) O/H Cond, Scl-Tolt</t>
  </si>
  <si>
    <t>E3569 (GIF) O/H Cond, Snoqualmie 1</t>
  </si>
  <si>
    <t>E3569 (GIF) O/H Cond, Snoqualmie 2</t>
  </si>
  <si>
    <t>E3569 (GIF) O/H Cond, Sumas</t>
  </si>
  <si>
    <t>E3569 (GIF) O/H Cond, Upper Baker</t>
  </si>
  <si>
    <t>E3569 (GIF) O/H Cond, Wild Horse</t>
  </si>
  <si>
    <t>E35999 (GIF) Rd/Trail, Upper Baker</t>
  </si>
  <si>
    <t>"Pursuant to the Settlement Agreement approved by the Commission in Docket No. ER12-778-000 et al. PSE is entitled to earn a return of 10.3 percent with respect to its transmission rate base comprising those facilities identified in the Memorandum of Agreement between BPA, PSE, and Seattle City Light dated 1/1/2012.  The Increased ROE (Basis Points) for PSE's share of the PSANI Project in Line 7 of this Attachment 7 shall be calculated by subtracting the ROE stated in Note J of Attachment H Direct from 10.3." </t>
  </si>
  <si>
    <t>ROE of 9.8%.  Changes to the ROE require a filing under Section 205 or 206 of the Federal Power Act after the Moratorium in Article II, Section F.1. of the settlement agreement in Docket No. ER12-778 et al. The equity component of the capital structure is capped at 50%.  If the actual equity ratio exceeds 50%, the debt ratio will be equal to 1 minus sum of the preferred stock ratio and common stock ratio.</t>
  </si>
  <si>
    <t>Reference</t>
  </si>
  <si>
    <t>p.256, various lines, col a,b</t>
  </si>
  <si>
    <t>p.112.22.c,d</t>
  </si>
  <si>
    <t>p.113.61.c,d</t>
  </si>
  <si>
    <t>p.257.33.i</t>
  </si>
  <si>
    <t>p.112.18.c,d</t>
  </si>
  <si>
    <t>p.112.19.c,d</t>
  </si>
  <si>
    <t>p.112.21.c,d</t>
  </si>
  <si>
    <t>p.112.23.c,d</t>
  </si>
  <si>
    <t>p.111.69.c,d</t>
  </si>
  <si>
    <t>p.111.81.c,d</t>
  </si>
  <si>
    <t>p.117.63.c</t>
  </si>
  <si>
    <t>p.117.64.c</t>
  </si>
  <si>
    <t>p.117.65.c</t>
  </si>
  <si>
    <t>p.117.66.c</t>
  </si>
  <si>
    <t>p.112.3.c,d</t>
  </si>
  <si>
    <t>p.112.13.c,d (portion)</t>
  </si>
  <si>
    <t>p112.6.c,d (portion)</t>
  </si>
  <si>
    <t>p.112.7.c,d (portion)</t>
  </si>
  <si>
    <t>p.112.9.c,d (portion)</t>
  </si>
  <si>
    <t>p.118.29.c</t>
  </si>
  <si>
    <t>p.112.16.c,d</t>
  </si>
  <si>
    <t>p.112.12.c,d</t>
  </si>
  <si>
    <t>p.112.15.c,d</t>
  </si>
  <si>
    <t>p.112.10.c,d (portion)</t>
  </si>
  <si>
    <t>Acct 208-211 Other Paid in Capital (Pfd)</t>
  </si>
  <si>
    <t>p.112.2.c,d</t>
  </si>
  <si>
    <t>p.112.11.c,d</t>
  </si>
  <si>
    <t>p.112.6.c,d (portion)</t>
  </si>
  <si>
    <t>Other Service                  (j)</t>
  </si>
  <si>
    <t>Monthly Peak MW - Total</t>
  </si>
  <si>
    <t>Day of Monthly Peak</t>
  </si>
  <si>
    <t>Hour of Monthly Peak</t>
  </si>
  <si>
    <t>Firm Network Service for Others</t>
  </si>
  <si>
    <t>Long-Term Firm Point-to-point Reservations</t>
  </si>
  <si>
    <t>Short-Term Firm Point-to-Point Reservation</t>
  </si>
  <si>
    <t>Total for Quarter</t>
  </si>
  <si>
    <t>Total for Year</t>
  </si>
  <si>
    <t xml:space="preserve">NAME OF SYSTEM:  Southern Intertie </t>
  </si>
  <si>
    <t>NAME OF SYSTEM:  WA Area Facilities</t>
  </si>
  <si>
    <t>Rev Req based on Year 2 data with estimated Cap Adds and CWIP for Year 3 (Step 9)</t>
  </si>
  <si>
    <t>Revenue Requirement for Year 3</t>
  </si>
  <si>
    <t>Non-Incentive</t>
  </si>
  <si>
    <t>Project 1</t>
  </si>
  <si>
    <t>Project 2</t>
  </si>
  <si>
    <t>Project 3</t>
  </si>
  <si>
    <t>Cumulative</t>
  </si>
  <si>
    <t>Column (A)</t>
  </si>
  <si>
    <t>Column (B)</t>
  </si>
  <si>
    <t>Column (C)</t>
  </si>
  <si>
    <t>Column (D)</t>
  </si>
  <si>
    <t>Column (E)</t>
  </si>
  <si>
    <t>Column (F)</t>
  </si>
  <si>
    <t>Average</t>
  </si>
  <si>
    <t>Sum average from Columns H-M</t>
  </si>
  <si>
    <t xml:space="preserve">New Transmission Plant Additions </t>
  </si>
  <si>
    <t>Note 1: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</si>
  <si>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 xml:space="preserve">Note 2: If the facilities associated with the revenues are not included in the formula, the revenue is shown here but not included in the total above and is explained in the Cost Support; for example revenues associated with LV distribution facilities.   </t>
  </si>
  <si>
    <t>Liability Reserve - Electric</t>
  </si>
  <si>
    <t>SERP Pension &amp; Benefit Plan Liability</t>
  </si>
  <si>
    <t>Postretirement Benefit Plan Liability</t>
  </si>
  <si>
    <t>Residential Exchange</t>
  </si>
  <si>
    <t>Gas</t>
  </si>
  <si>
    <t>Pension and other compensation</t>
  </si>
  <si>
    <t>Derivative Instruments</t>
  </si>
  <si>
    <t>Production Tax Credits</t>
  </si>
  <si>
    <t>Regulatory Assets</t>
  </si>
  <si>
    <t xml:space="preserve">Land Held for Future Use </t>
  </si>
  <si>
    <t>Total Transmission and Distribution</t>
  </si>
  <si>
    <t>Total Allocated to Transmission</t>
  </si>
  <si>
    <t>Losses on sales of land</t>
  </si>
  <si>
    <t>Multiplier</t>
  </si>
  <si>
    <t>Formula rate and OATT compliance matters</t>
  </si>
  <si>
    <t xml:space="preserve">Puget Sound Energy, Inc. </t>
  </si>
  <si>
    <t xml:space="preserve">NAME OF SYSTEM:  Colstrip </t>
  </si>
  <si>
    <t>Sum of Total for Year of: (f) Firm Network Service for Others + (g) Long-Term Firm Point-to-Point Reservations + (h) Other Long-Term Firm Service</t>
  </si>
  <si>
    <t>Worksheet 4</t>
  </si>
  <si>
    <t xml:space="preserve">Total </t>
  </si>
  <si>
    <t>Colstrip Property Tax</t>
  </si>
  <si>
    <t>Southern Intertie Property Tax</t>
  </si>
  <si>
    <t>WA Area Total</t>
  </si>
  <si>
    <t>(Note J)</t>
  </si>
  <si>
    <t>Gains on sales of land</t>
  </si>
  <si>
    <t>Cash Working Capital Allowance</t>
  </si>
  <si>
    <t>Cash working capital allowance is 0.00% of O&amp;M</t>
  </si>
  <si>
    <t>Gas related</t>
  </si>
  <si>
    <t>Employee benefit</t>
  </si>
  <si>
    <t xml:space="preserve">(Note A)             </t>
  </si>
  <si>
    <t>Facility Credits</t>
  </si>
  <si>
    <t xml:space="preserve">Plant </t>
  </si>
  <si>
    <t>Related</t>
  </si>
  <si>
    <t>Labor</t>
  </si>
  <si>
    <t>Gas, Prod</t>
  </si>
  <si>
    <t>Or Other</t>
  </si>
  <si>
    <t>Only</t>
  </si>
  <si>
    <t>Instructions for Account 190:</t>
  </si>
  <si>
    <t>Instructions for Account 283:</t>
  </si>
  <si>
    <t>Instructions for Account 282:</t>
  </si>
  <si>
    <t>Subtotal - p234</t>
  </si>
  <si>
    <t>ADIT</t>
  </si>
  <si>
    <t>Plant Related</t>
  </si>
  <si>
    <t>Page 263</t>
  </si>
  <si>
    <t>Col (i)</t>
  </si>
  <si>
    <t>Labor Related</t>
  </si>
  <si>
    <t>Other Included</t>
  </si>
  <si>
    <t>Total Plant Related</t>
  </si>
  <si>
    <t>Total Labor Related</t>
  </si>
  <si>
    <t>Total Other Included</t>
  </si>
  <si>
    <t>Currently Excluded</t>
  </si>
  <si>
    <t>Allocated</t>
  </si>
  <si>
    <t>Amount</t>
  </si>
  <si>
    <t>ADIT net of FASB 106 and 109</t>
  </si>
  <si>
    <t>Net Transmission Plant</t>
  </si>
  <si>
    <t>Details</t>
  </si>
  <si>
    <t>Network Credits</t>
  </si>
  <si>
    <t>Line No.</t>
  </si>
  <si>
    <t>Facility Name</t>
  </si>
  <si>
    <t>Generation Interconnection Facilities - Colstrip - Transmission</t>
  </si>
  <si>
    <t>Outstanding Network Credits</t>
  </si>
  <si>
    <t>p219.20 thru 219.24</t>
  </si>
  <si>
    <t>p205.46.g</t>
  </si>
  <si>
    <t>Seattle City Light</t>
  </si>
  <si>
    <t>Snohomish County PUD</t>
  </si>
  <si>
    <t>Tacoma City Light</t>
  </si>
  <si>
    <t>Air Liquide</t>
  </si>
  <si>
    <t>Boeing</t>
  </si>
  <si>
    <t>Tesoro</t>
  </si>
  <si>
    <t>Net Outstanding Credits</t>
  </si>
  <si>
    <t>Interest on Network Credits</t>
  </si>
  <si>
    <t>Revenue Credits &amp; Interest on Network Credits</t>
  </si>
  <si>
    <t>Prior Year True Up</t>
  </si>
  <si>
    <t>Total Account 454 (p300,19.b.)</t>
  </si>
  <si>
    <t>Total Account 456 (p300,21.b.)</t>
  </si>
  <si>
    <t>CUSTOMER</t>
  </si>
  <si>
    <t>AD</t>
  </si>
  <si>
    <t>Account 456.1 (p300,22.b.)</t>
  </si>
  <si>
    <t>FERC Form 1  Page # or Instruction</t>
  </si>
  <si>
    <t>Electric Portion</t>
  </si>
  <si>
    <t>Form 1 Amount</t>
  </si>
  <si>
    <t>Non-electric  Portion</t>
  </si>
  <si>
    <t>Transmission Related</t>
  </si>
  <si>
    <t>Safety Related</t>
  </si>
  <si>
    <t>Education &amp; Outreach</t>
  </si>
  <si>
    <t>Other</t>
  </si>
  <si>
    <t>Enter $</t>
  </si>
  <si>
    <t>Description of the Facilities</t>
  </si>
  <si>
    <t>Add more lines if necessary</t>
  </si>
  <si>
    <t>General Description of the Credits</t>
  </si>
  <si>
    <t>Description of the Credits</t>
  </si>
  <si>
    <t>F</t>
  </si>
  <si>
    <t>N</t>
  </si>
  <si>
    <t>Rent from Electric Property - Pole Contacts</t>
  </si>
  <si>
    <t>Rent from PCS (personal cell sites)</t>
  </si>
  <si>
    <t>(Sum Lines 1-3)</t>
  </si>
  <si>
    <t>In filling out this attachment, a full and complete description of each item and justification for the allocation to Columns B-E and each separate ADIT item will be listed, dissimilar items</t>
  </si>
  <si>
    <t>Excludes prior period adjustments in the first year of the formula's operation and reconciliation for the first year</t>
  </si>
  <si>
    <t>Plant in Service Worksheet</t>
  </si>
  <si>
    <t>Source</t>
  </si>
  <si>
    <t>December</t>
  </si>
  <si>
    <t>Distribution Plant In Service</t>
  </si>
  <si>
    <t>Calculation of Intangible Plant In Service</t>
  </si>
  <si>
    <t>Related to</t>
  </si>
  <si>
    <t>GL</t>
  </si>
  <si>
    <t>Texts</t>
  </si>
  <si>
    <t>Not Include</t>
  </si>
  <si>
    <t>100% Trans</t>
  </si>
  <si>
    <t>Plant</t>
  </si>
  <si>
    <t xml:space="preserve">  Easements</t>
  </si>
  <si>
    <t xml:space="preserve">  Structures and Improvements</t>
  </si>
  <si>
    <t xml:space="preserve">  Station Equipment</t>
  </si>
  <si>
    <t xml:space="preserve">  Towers and Fixtures</t>
  </si>
  <si>
    <t xml:space="preserve">  Overhead Conductors and Devices</t>
  </si>
  <si>
    <t xml:space="preserve">  Underground Conductors and Devices</t>
  </si>
  <si>
    <t xml:space="preserve">  Roads and Trails</t>
  </si>
  <si>
    <t>Transportation Equipment</t>
  </si>
  <si>
    <t>Stores and Equipment</t>
  </si>
  <si>
    <t>Power Operated Equipment</t>
  </si>
  <si>
    <t>data</t>
  </si>
  <si>
    <t>WA area credits</t>
  </si>
  <si>
    <t>Colstrip area credits</t>
  </si>
  <si>
    <t>Southern Intertie area credits</t>
  </si>
  <si>
    <t xml:space="preserve">  Poles and Fixtures</t>
  </si>
  <si>
    <t>ASCM Allocation</t>
  </si>
  <si>
    <t>Common Plant Allocated to Transmission</t>
  </si>
  <si>
    <t>Common Plant Depreciation Allocated to Transmission</t>
  </si>
  <si>
    <t>Prepaid - Mint Farm Capital FFH</t>
  </si>
  <si>
    <t>Plant Related:</t>
  </si>
  <si>
    <t>Labor Related:</t>
  </si>
  <si>
    <t>Total Transmission Related:</t>
  </si>
  <si>
    <t>Average balance</t>
  </si>
  <si>
    <t>Excluded:</t>
  </si>
  <si>
    <t>Total Excluded</t>
  </si>
  <si>
    <t>Transmission related</t>
  </si>
  <si>
    <t>Monthly Additions</t>
  </si>
  <si>
    <t>Intangible Plant In Service</t>
  </si>
  <si>
    <t>Calculation of General Plant In Service</t>
  </si>
  <si>
    <t>General Plant In Service</t>
  </si>
  <si>
    <t>Calculation of Production Plant In Service</t>
  </si>
  <si>
    <t>Production Plant In Service</t>
  </si>
  <si>
    <t>Accumulated Depreciation Worksheet</t>
  </si>
  <si>
    <t>Distribution Accumulated Depreciation</t>
  </si>
  <si>
    <t>Calculation of Intangible Accumulated Depreciation</t>
  </si>
  <si>
    <t>Calculation of General Accumulated Depreciation</t>
  </si>
  <si>
    <t>Calculation of Production Accumulated Depreciation</t>
  </si>
  <si>
    <t>Production Accumulated Depreciation</t>
  </si>
  <si>
    <t>p200.21.c</t>
  </si>
  <si>
    <t>p227.6c &amp; 15.c</t>
  </si>
  <si>
    <t>p336.1d&amp;e</t>
  </si>
  <si>
    <t>Beg of year</t>
  </si>
  <si>
    <t>End of Year</t>
  </si>
  <si>
    <t>End of Year for Est. Average for Final</t>
  </si>
  <si>
    <t>PBOPs Cost Support</t>
  </si>
  <si>
    <t>PBOBs</t>
  </si>
  <si>
    <t>All other</t>
  </si>
  <si>
    <t>Account 926 (Current Year)</t>
  </si>
  <si>
    <t>Current Year</t>
  </si>
  <si>
    <t>Change in PBOP Expense</t>
  </si>
  <si>
    <t>General Description of the Facilities</t>
  </si>
  <si>
    <t>Materials &amp; Supplies</t>
  </si>
  <si>
    <t>Description of the Interest on the  Credits</t>
  </si>
  <si>
    <t>Credits</t>
  </si>
  <si>
    <t>Transmission of Electricity By Others; Account 565</t>
  </si>
  <si>
    <t xml:space="preserve">  Total</t>
  </si>
  <si>
    <t>FERC Form 1 p321.96b</t>
  </si>
  <si>
    <t>BPA O&amp;M</t>
  </si>
  <si>
    <t>Total 565 to Reduce O&amp;M</t>
  </si>
  <si>
    <t>Whatcom PUD Line Loss</t>
  </si>
  <si>
    <t>BPA Lease Rights</t>
  </si>
  <si>
    <t>Northwestern O&amp;M</t>
  </si>
  <si>
    <t>Common Plant</t>
  </si>
  <si>
    <t>Accumulated Common Plant</t>
  </si>
  <si>
    <t>Excluded Transmission Facilities - Colstrip Facilities</t>
  </si>
  <si>
    <t>Excluded Transmission Facilities - WA Area Transmission</t>
  </si>
  <si>
    <t>Deferred Compensation - Salary Deferred</t>
  </si>
  <si>
    <t>Other Deferred Credits - LTIP Liability</t>
  </si>
  <si>
    <t>Firm Network Service for Self</t>
  </si>
  <si>
    <t>(F)</t>
  </si>
  <si>
    <t>(A)</t>
  </si>
  <si>
    <t>(B)</t>
  </si>
  <si>
    <t>(D)</t>
  </si>
  <si>
    <t>(E)</t>
  </si>
  <si>
    <t>Income Tax Component = CIT=(T/1-T) * Investment Return * (1-(WCLTD/R)) =</t>
  </si>
  <si>
    <t>(B) Sum Labor Related</t>
  </si>
  <si>
    <t>(A) Total</t>
  </si>
  <si>
    <t>(A) - (B)</t>
  </si>
  <si>
    <t>100% Transmission Related</t>
  </si>
  <si>
    <t>Other (Excluded)</t>
  </si>
  <si>
    <t>Average Beginning and End of Year</t>
  </si>
  <si>
    <t xml:space="preserve"> Accumulated Depreciation Associated with Facilities with Outstanding Network Credits</t>
  </si>
  <si>
    <t>p   (percent of federal income tax deductible for state purposes)</t>
  </si>
  <si>
    <t>T   =1 - {[(1 - SIT) * (1 - FIT)] / (1 - SIT * FIT * p)} =</t>
  </si>
  <si>
    <t>1/(1-T)</t>
  </si>
  <si>
    <t>Accumulated Intangible Depreciation</t>
  </si>
  <si>
    <t>A&amp;G</t>
  </si>
  <si>
    <t>Trans Related</t>
  </si>
  <si>
    <t>Total Transmission Accumulated Depreciation</t>
  </si>
  <si>
    <t>Total Transmission Depreciation Expense</t>
  </si>
  <si>
    <t>O</t>
  </si>
  <si>
    <t>Land Held for Future Use</t>
  </si>
  <si>
    <t>FNO</t>
  </si>
  <si>
    <t>LFP</t>
  </si>
  <si>
    <t>OLF</t>
  </si>
  <si>
    <t>NF</t>
  </si>
  <si>
    <t>OS</t>
  </si>
  <si>
    <t>SFP</t>
  </si>
  <si>
    <t>Powerex</t>
  </si>
  <si>
    <t>Rent from Electric Property - Pole Contacts - J</t>
  </si>
  <si>
    <t>Rent from Electric Property - Transformers</t>
  </si>
  <si>
    <t>Difference (must be zero)</t>
  </si>
  <si>
    <t>Total Revenues</t>
  </si>
  <si>
    <t>Other Charges</t>
  </si>
  <si>
    <t>Energy Charges</t>
  </si>
  <si>
    <t>$ Included on Attachment 3</t>
  </si>
  <si>
    <t>Classification</t>
  </si>
  <si>
    <t>Less Account 561.0 to 561.5</t>
  </si>
  <si>
    <t>Sch 1</t>
  </si>
  <si>
    <t xml:space="preserve">  Transmission future use</t>
  </si>
  <si>
    <t>AFUDC shall not be applied to the portion of a Network Upgrade for which the customer has provided the funds.</t>
  </si>
  <si>
    <t>Changes in depreciation or amortization rates must be filed with the Commission, as well as any new depreciation or amortization rates.</t>
  </si>
  <si>
    <t>P</t>
  </si>
  <si>
    <t>Acc 221 Bonds</t>
  </si>
  <si>
    <t>Less Acc 222 Reacq'd Bonds</t>
  </si>
  <si>
    <t>Acc 223 LT Advances from Assoc Cos.</t>
  </si>
  <si>
    <t>Acc 224 Other LT Debt</t>
  </si>
  <si>
    <t>Less Acc 226 Unamort Discount</t>
  </si>
  <si>
    <t>Less Acc 181 Unamort Debt Expense</t>
  </si>
  <si>
    <t>Less Acc 189 Unamort Loss on Reacqd Debt</t>
  </si>
  <si>
    <t>Plus Acc 225 Unamort Premium</t>
  </si>
  <si>
    <t>Plus Acc 257 Unamort Gain on Reacqd Debt</t>
  </si>
  <si>
    <t>Acc 427 and Acc 430 Interest Expense</t>
  </si>
  <si>
    <t>Acc 428 Amort Debt Discount and Expense</t>
  </si>
  <si>
    <t>Acc 428.1 Amort Loss on Reacqd Debt</t>
  </si>
  <si>
    <t>Less Acc 429 Amort Premium</t>
  </si>
  <si>
    <t>Less Acc 429.1 Amort Gain on Reacqd Debt</t>
  </si>
  <si>
    <t>Acc 204 Preferred Stock Issued</t>
  </si>
  <si>
    <t>Less Acc 217 Reacq Capital Stock (Pfd)</t>
  </si>
  <si>
    <t>Acc 207 Premium on Pfd Stock</t>
  </si>
  <si>
    <t>Acc 207-208 Other Paid In Capital (Pfd)</t>
  </si>
  <si>
    <t>Less Acc 213 discount on Capital Stock (Pfd)</t>
  </si>
  <si>
    <t>Less Acc 214 Capital Stock Expense (Pfd)</t>
  </si>
  <si>
    <t xml:space="preserve">Total Preferred Stock </t>
  </si>
  <si>
    <t>Enter Positive</t>
  </si>
  <si>
    <t>Less: Preferred Stock</t>
  </si>
  <si>
    <t>Less Acc 216.1 Unap Undis Subsidiary Earnings</t>
  </si>
  <si>
    <t>Less:  Account 219 (enter negative)</t>
  </si>
  <si>
    <t>Debt percent</t>
  </si>
  <si>
    <t>Preferred percent</t>
  </si>
  <si>
    <t>Common percent</t>
  </si>
  <si>
    <t>Long Term Debt Cost = 
Long Term Debt Cost / 
Net Proceeds Long Term Debt</t>
  </si>
  <si>
    <t>Preferred Stock cost  =  Preferred Dividends / 
Total Preferred Stock</t>
  </si>
  <si>
    <t>Less Hedging Adjustment</t>
  </si>
  <si>
    <t>Q</t>
  </si>
  <si>
    <t>These line items will include only the balances associated with long-term debt and shall exclude balances associated with short-term debt.</t>
  </si>
  <si>
    <t>R</t>
  </si>
  <si>
    <t xml:space="preserve">The gains and losses on hedges, except for interest rate locks for new debt issuances, are removed from the revenue requirement on this line. </t>
  </si>
  <si>
    <t>(Note R)</t>
  </si>
  <si>
    <t>(Notes R &amp; Q)</t>
  </si>
  <si>
    <t>Wksht 6</t>
  </si>
  <si>
    <t xml:space="preserve"> Long Term Debt</t>
  </si>
  <si>
    <t>Preferred Stock and Dividend</t>
  </si>
  <si>
    <t>Beginning of Year</t>
  </si>
  <si>
    <t>Avg BOY EOY</t>
  </si>
  <si>
    <t>BOY</t>
  </si>
  <si>
    <t>EOY</t>
  </si>
  <si>
    <t>avg BOY EOY</t>
  </si>
  <si>
    <t>Attachment 4 - Calculation of 100 Basis Point Increase in ROE</t>
  </si>
  <si>
    <t>Attachment 5 - Cost Support</t>
  </si>
  <si>
    <t>Attachment 6 - Estimate and Reconciliation Worksheet</t>
  </si>
  <si>
    <t>Base year</t>
  </si>
  <si>
    <t>(G)</t>
  </si>
  <si>
    <t>(C)</t>
  </si>
  <si>
    <t>Total General</t>
  </si>
  <si>
    <t>General Allocated to Transmission</t>
  </si>
  <si>
    <t>Allocated General Expenses</t>
  </si>
  <si>
    <t>General Expenses</t>
  </si>
  <si>
    <t>General Plant Allocated to Transmission</t>
  </si>
  <si>
    <t>General Expenses Allocated to Transmission</t>
  </si>
  <si>
    <t>Labor Related, or General plant related</t>
  </si>
  <si>
    <t>Account 253</t>
  </si>
  <si>
    <t>Attachment 7</t>
  </si>
  <si>
    <t>Rev Req based on Year 1 data</t>
  </si>
  <si>
    <t>Year 1</t>
  </si>
  <si>
    <t>Increased Return and Taxes</t>
  </si>
  <si>
    <t>True-up amount</t>
  </si>
  <si>
    <t>Scheduling, System Control and Dispatch Service</t>
  </si>
  <si>
    <t>Schedule 1</t>
  </si>
  <si>
    <t>Line</t>
  </si>
  <si>
    <t>FERC Form 1 page #/ Ref.</t>
  </si>
  <si>
    <t>(561.0) Load Dispatching</t>
  </si>
  <si>
    <t>pg. 321.84b</t>
  </si>
  <si>
    <t>(561.1) Load Dispatch-Reliability</t>
  </si>
  <si>
    <t>pg. 321.85b</t>
  </si>
  <si>
    <t>(561.2) Load Dispatch-Monitor and Operate Transmission System</t>
  </si>
  <si>
    <t>pg. 321.86b</t>
  </si>
  <si>
    <t>(561.3) Load Dispatch-Transmission Service and Scheduling</t>
  </si>
  <si>
    <t>pg. 321.87b</t>
  </si>
  <si>
    <t>(561.4) Scheduling, System Control and Dispatch Services</t>
  </si>
  <si>
    <t>pg. 321.88b</t>
  </si>
  <si>
    <t>(561.5) Reliability, Planning and Standards Development</t>
  </si>
  <si>
    <t>pg. 321.89b</t>
  </si>
  <si>
    <t>Total 561 Costs for Schedule 1 Annual Revenue Requirement</t>
  </si>
  <si>
    <t>(sum of Ln 1 through Ln 6)</t>
  </si>
  <si>
    <t>Schedule 1 Annual Revenue Requirement</t>
  </si>
  <si>
    <t>(Ln 7)</t>
  </si>
  <si>
    <t>Attachment 6 of OATT Attachment H-1</t>
  </si>
  <si>
    <t>(ln 8 + Ln 9)</t>
  </si>
  <si>
    <t>Schedule 1 - Rate Calculations:</t>
  </si>
  <si>
    <t>Average 12-Month Demand - Current Year (kW)</t>
  </si>
  <si>
    <t>Divisor</t>
  </si>
  <si>
    <t>Rate in $/kW - Yearly</t>
  </si>
  <si>
    <t>Rate in $/kW - Monthly</t>
  </si>
  <si>
    <t>Rate in $/kW - Weekly</t>
  </si>
  <si>
    <t>Rate in $/kW - Daily On-Peak</t>
  </si>
  <si>
    <t>Rate in $/kW - Daily Off-Peak</t>
  </si>
  <si>
    <t>(Ln 12/7)</t>
  </si>
  <si>
    <t>Rate in $/MW - Hourly On-Peak</t>
  </si>
  <si>
    <t>((Ln 13/16) * 1000)</t>
  </si>
  <si>
    <t>Rate in $/MW - Hourly Off-Peak</t>
  </si>
  <si>
    <t>((Ln 14/24) * 1000)</t>
  </si>
  <si>
    <t>Notes:</t>
  </si>
  <si>
    <t xml:space="preserve">Prior year True-up Adjustment is calculated on Attachment 6 as well as the related interest on prior year true-up. </t>
  </si>
  <si>
    <t>Puget Sound Energy</t>
  </si>
  <si>
    <t>Account 456 - Other Electric Revenues (Note 1)</t>
  </si>
  <si>
    <t>Wash St Annual Filing Fee-Electric</t>
  </si>
  <si>
    <t>Gross Book Value</t>
  </si>
  <si>
    <t>Undistr. Stores Exp, Account 163</t>
  </si>
  <si>
    <t>Transmission Plant materials from Account 154</t>
  </si>
  <si>
    <t xml:space="preserve">13 month </t>
  </si>
  <si>
    <t>system</t>
  </si>
  <si>
    <t>labor</t>
  </si>
  <si>
    <t>13 month average</t>
  </si>
  <si>
    <t>Monthly rate</t>
  </si>
  <si>
    <t>Attachment 6A - Estimate and Reconciliation Worksheet - Colstrip</t>
  </si>
  <si>
    <t>Note 1</t>
  </si>
  <si>
    <t>PSANI Project (Note 1)</t>
  </si>
  <si>
    <t xml:space="preserve">Schedule 1 Reconciliation </t>
  </si>
  <si>
    <t>-</t>
  </si>
  <si>
    <t>=</t>
  </si>
  <si>
    <t>FCR W base ROE</t>
  </si>
  <si>
    <t xml:space="preserve">FERC/NERC Expenses directly related to transmission service, RTO filings, OATT compliance, costs in maintaining the formula, transmission siting, FERC annual fee, and any other transmission related expenses itemized in Form 1 at 351.h. </t>
  </si>
  <si>
    <t>Wage Alloc</t>
  </si>
  <si>
    <t>E35016 TSM Easements</t>
  </si>
  <si>
    <t>E3526 TSM Structures &amp; Improvement</t>
  </si>
  <si>
    <t>E3566 TSM O/H Conductor/Devices</t>
  </si>
  <si>
    <t>Depreciation (Note 2)</t>
  </si>
  <si>
    <t>FERC Fees Payable - Power Supply Transaction</t>
  </si>
  <si>
    <t>Stays in rate base</t>
  </si>
  <si>
    <t>Average of the 12 CP</t>
  </si>
  <si>
    <t>p219.28</t>
  </si>
  <si>
    <t>WA Area Transmission</t>
  </si>
  <si>
    <t>Worksheet 5</t>
  </si>
  <si>
    <t>Colstrip</t>
  </si>
  <si>
    <t>Southern Intertie</t>
  </si>
  <si>
    <t xml:space="preserve">Includes all annual membership dues for EPRI and EEI. </t>
  </si>
  <si>
    <t>Property Insurance excludes prior period adjustment in the first year of the formula's operation and reconciliation for the first year.</t>
  </si>
  <si>
    <t xml:space="preserve">Includes all Regulatory Commission Expenses </t>
  </si>
  <si>
    <t xml:space="preserve">Education and outreach expenses relating to transmission, for example siting or billing </t>
  </si>
  <si>
    <t>Gross Revenue Requirement Less Return and Taxes</t>
  </si>
  <si>
    <t>Revenue Requirement per 100 Basis Point increase in ROE</t>
  </si>
  <si>
    <t>Gas Amortization</t>
  </si>
  <si>
    <t>Electric Amortization</t>
  </si>
  <si>
    <t xml:space="preserve">Puget Sound Energy </t>
  </si>
  <si>
    <t>Attachment 8 - Depreciation Rates</t>
  </si>
  <si>
    <t>Plant Type</t>
  </si>
  <si>
    <t>General &amp; Common</t>
  </si>
  <si>
    <t>Structures and Improvements</t>
  </si>
  <si>
    <t>Office Furniture</t>
  </si>
  <si>
    <t>Office Equipment</t>
  </si>
  <si>
    <t>Tools, Shop, Garage and Other Tangible Equipment</t>
  </si>
  <si>
    <t>Laboratory Equipment</t>
  </si>
  <si>
    <t>Communications Equipment</t>
  </si>
  <si>
    <t>Miscellaneous Equipment</t>
  </si>
  <si>
    <t>PSE</t>
  </si>
  <si>
    <t>Projected ARR is based on prior year FERC Form 1 data (lines 1-6 for the prior year) becomes effective with the projected 2012 rate.</t>
  </si>
  <si>
    <t>Post results of Step 9 on OASIS web site</t>
  </si>
  <si>
    <t>Plant related</t>
  </si>
  <si>
    <t>FAS 109 is excluded per note below</t>
  </si>
  <si>
    <t xml:space="preserve">    Less Post Retirement Benefits Other Than Pensions (PBOP) Adjustment</t>
  </si>
  <si>
    <t>Allocator for Pole Contact Rental Revenues:</t>
  </si>
  <si>
    <t>(Ln 8/Ln 11)</t>
  </si>
  <si>
    <t>((Ln 8/Ln 11)/12)</t>
  </si>
  <si>
    <t>((Ln 8/Ln 11)/52)</t>
  </si>
  <si>
    <t>Common Plant Electric Depreciation</t>
  </si>
  <si>
    <t>p336.11f</t>
  </si>
  <si>
    <t xml:space="preserve">  Less Acct 213 discount on Capital Stock (Common)</t>
  </si>
  <si>
    <t>Beginning = 13 month Plant CWIP or Plant balance</t>
  </si>
  <si>
    <t xml:space="preserve">    Less Fish Friendly hydropower turbine development and deployment</t>
  </si>
  <si>
    <t>Hydro power expense</t>
  </si>
  <si>
    <t>Total Transmission</t>
  </si>
  <si>
    <t>January</t>
  </si>
  <si>
    <t>February</t>
  </si>
  <si>
    <t>March</t>
  </si>
  <si>
    <t>July</t>
  </si>
  <si>
    <t>August</t>
  </si>
  <si>
    <t>September</t>
  </si>
  <si>
    <t>October</t>
  </si>
  <si>
    <t>November</t>
  </si>
  <si>
    <t>Amortized Investment Tax Credit-Electric</t>
  </si>
  <si>
    <t>Attachment 7 - Transmission Enhancement Charge Worksheet</t>
  </si>
  <si>
    <t>line #</t>
  </si>
  <si>
    <t>E3500 TSM Land &amp; Land Rights</t>
  </si>
  <si>
    <t>E35017 TSM Easements</t>
  </si>
  <si>
    <t>E3507 TSM Land &amp; Land Rights</t>
  </si>
  <si>
    <t>E352 TSM Str/Impv, 3rd AC Line</t>
  </si>
  <si>
    <t>E352 TSM Str/Impv, Colstrip 3-4 Com</t>
  </si>
  <si>
    <t>E352 TSM Structures &amp; Improvement</t>
  </si>
  <si>
    <t>E3527 TSM Structures &amp; Improvement</t>
  </si>
  <si>
    <t>E353 TSM Sta Eq, 3rd AC Line</t>
  </si>
  <si>
    <t>E353 TSM Sta Eq, Wind Ridge-NonProj</t>
  </si>
  <si>
    <t>E353 TSM Station Equipment</t>
  </si>
  <si>
    <t>E3537 TSM Sta Eq, Fredonia3&amp;4 OP</t>
  </si>
  <si>
    <t>E3537 TSM Substation Equipment</t>
  </si>
  <si>
    <t>E354 TSM Towers &amp; Fixtures</t>
  </si>
  <si>
    <t>E354 TSM Twr/Fixt, 3rd AC Line</t>
  </si>
  <si>
    <t>E354 TSM Twr/Fixt, Colstrip 1-2 Com</t>
  </si>
  <si>
    <t>E354 TSM Twr/Fixt, Colstrip 3-4 Com</t>
  </si>
  <si>
    <t>E354 TSM Twr/Fixt, N Intertie</t>
  </si>
  <si>
    <t>E3547 TSM Towers/Fixtures</t>
  </si>
  <si>
    <t>E355 TSM Poles &amp; Fixtures</t>
  </si>
  <si>
    <t>E355 TSM Poles, 3rd AC Line</t>
  </si>
  <si>
    <t>E355 TSM Poles, N Intertie</t>
  </si>
  <si>
    <t>E355 TSM Poles, Wind Ridge-NonProje</t>
  </si>
  <si>
    <t>E356 TSM O/H Cond, 3rd AC Line</t>
  </si>
  <si>
    <t>E356 TSM O/H Cond, Colstrip 1-2 Com</t>
  </si>
  <si>
    <t>E356 TSM O/H Cond, Colstrip 3-4 Com</t>
  </si>
  <si>
    <t>E356 TSM O/H Cond, N Intertie</t>
  </si>
  <si>
    <t>E356 TSM O/H Cond, Wind Ridge-NonPr</t>
  </si>
  <si>
    <t>E356 TSM O/H Conductor &amp; Devices</t>
  </si>
  <si>
    <t>E3567 TSM O/H Conductor/Devices</t>
  </si>
  <si>
    <t>Exclude Construction Work In Progress expensed as O&amp;M (rather than amortized).  New Transmission plant that is expected to be placed in service in the current calendar year weighted by number of months it is expected to be in-service.  New Transmission plant expected to be placed in service in the current calendar year that is not included in the Transmission Plan must be separately detailed on Attachment 5.  For the Reconciliation, new transmission plant that was actually placed in service weighted by the number of months it was actually in service</t>
  </si>
  <si>
    <t>The currently effective income tax rate,  where FIT is the Federal income tax rate; SIT is the State income tax rate, and p ="the percentage of federal income tax deductible for state income taxes".  If the utility includes taxes in more than one state, it must explain in  Attachment 5 the name of each state and how the blended or composite SIT was developed.  Furthermore, a utility that  elected to use amortization of tax credits against taxable income, rather than book tax credits to Account No. 255 and reduce   rate base, must reduce its income tax expense by the amount of the Amortized Investment Tax Credit (Form 1, 266.8.f) multiplied by (1/1-T).  A utility must not include tax credits as a reduction to rate base and as an amortization against taxable income.   If the tax rates change during a calendar year, an average tax rate will be used - calculated based on the number of days each was effective in the calendar year.</t>
  </si>
  <si>
    <t>The 12 CP monthly peak is the average of the 12 monthly system peaks calculated as the Network customers monthly network load plus the reserve capacity of all long term firm point-to-Point customers.</t>
  </si>
  <si>
    <t>H</t>
  </si>
  <si>
    <t>(Note H)</t>
  </si>
  <si>
    <t>69, 75, 78</t>
  </si>
  <si>
    <t>Qualified Pension Plan Liability</t>
  </si>
  <si>
    <t/>
  </si>
  <si>
    <t>Bonneville Power Admin</t>
  </si>
  <si>
    <t>Macquarie Energy, LLC</t>
  </si>
  <si>
    <t>Morgan Stanley Capital</t>
  </si>
  <si>
    <t>Shell Energy North America</t>
  </si>
  <si>
    <t>Sierra Pacific Industries</t>
  </si>
  <si>
    <t>The Energy Authority</t>
  </si>
  <si>
    <t>TransAlta Energy</t>
  </si>
  <si>
    <t>Whatcom County PUD</t>
  </si>
  <si>
    <t>E3577 TSM U/G Conduit</t>
  </si>
  <si>
    <t>E3587 TSM U/G Conductor/Devices</t>
  </si>
  <si>
    <t>E3590 TSM Roads &amp; Trails</t>
  </si>
  <si>
    <t>E3590 TSM Roads, 3rd AC Line</t>
  </si>
  <si>
    <t>E3590 TSM Roads, Colstrip 1-2 Com</t>
  </si>
  <si>
    <t>E3590 TSM Roads, Colstrip 3-4 Com</t>
  </si>
  <si>
    <t>E3597 TSM Roads &amp; Trails</t>
  </si>
  <si>
    <t>in Thousands</t>
  </si>
  <si>
    <t>Formula Line</t>
  </si>
  <si>
    <t>Fixed Charge Rate (FCR) if not a CIAC</t>
  </si>
  <si>
    <t xml:space="preserve">Line B less Line A </t>
  </si>
  <si>
    <t>Note 3</t>
  </si>
  <si>
    <t>CWIP is a placeholder that is zero until PSE receives authorization by FERC to include amounts.</t>
  </si>
  <si>
    <t>Worksheet 2 - Prepayments</t>
  </si>
  <si>
    <t>Worksheet 1 - Revenue Credits</t>
  </si>
  <si>
    <t>Worksheet 3 - Generator Interconnection Facilities - Transmission Plant</t>
  </si>
  <si>
    <t>Worksheet 4 - Monthly Transmission System Peak Worksheet</t>
  </si>
  <si>
    <t>Worksheet 5 - Transmission Plant Average Balances</t>
  </si>
  <si>
    <t>Worksheet 6 - Cost of Capital</t>
  </si>
  <si>
    <t>FCR if a CIAC</t>
  </si>
  <si>
    <t>The FCR resulting from Formula in a given year is used for that year only.</t>
  </si>
  <si>
    <t>Therefore actual revenues collected in a year do not change based on cost data for subsequent years</t>
  </si>
  <si>
    <t>Common Plant not allocated to gas or electric</t>
  </si>
  <si>
    <t>p356</t>
  </si>
  <si>
    <t xml:space="preserve">  Common Plant in Service</t>
  </si>
  <si>
    <t xml:space="preserve">  Accumulated Depreciation common plant</t>
  </si>
  <si>
    <t>4 factor allocator</t>
  </si>
  <si>
    <t>Deprec = 13 month avg Accumulated Depreciation</t>
  </si>
  <si>
    <t>Project B</t>
  </si>
  <si>
    <t>Life</t>
  </si>
  <si>
    <t>CIAC</t>
  </si>
  <si>
    <t>Increased ROE (Basis Points)</t>
  </si>
  <si>
    <t>FCR W increased ROE</t>
  </si>
  <si>
    <t>Annual Depreciation Exp</t>
  </si>
  <si>
    <t>Invest Yr</t>
  </si>
  <si>
    <t>W Increased ROE</t>
  </si>
  <si>
    <t>….</t>
  </si>
  <si>
    <t>…..</t>
  </si>
  <si>
    <t>Washington</t>
  </si>
  <si>
    <t>(H)</t>
  </si>
  <si>
    <t>(I)</t>
  </si>
  <si>
    <t>Taxes Other than Income - Transmission</t>
  </si>
  <si>
    <t>1.  ADIT items related only to Non-Electric Operations (e.g., Gas, Water, Sewer) or Production are directly assigned to Column C</t>
  </si>
  <si>
    <t>2.  ADIT items related only to Transmission are directly assigned to Column D</t>
  </si>
  <si>
    <t xml:space="preserve">Short term firm and nonfirm transmission purchased by PSE merchant </t>
  </si>
  <si>
    <t>(Ln 12/6)</t>
  </si>
  <si>
    <t>Green Energy Option</t>
  </si>
  <si>
    <t>Other Electric Revenues - Sale of Non Core Gas</t>
  </si>
  <si>
    <t>Other Electric Revenues - Cost Non Core Gas Sold</t>
  </si>
  <si>
    <t>Lifetime O&amp;M Revenue - Elec</t>
  </si>
  <si>
    <t>5. Deferred income taxes arise when items are included in taxable income in different periods than they are included in rates, therefore if the item giving rise to the ADIT is not included in the formula, the associated ADIT amount shall be excluded</t>
  </si>
  <si>
    <t>Other taxes that are assessed based on labor will be allocated based on the Wages and Salary Allocator</t>
  </si>
  <si>
    <t>Allocator.  If the taxes are 100% recovered at retail they will not be included</t>
  </si>
  <si>
    <t>p205.5.g</t>
  </si>
  <si>
    <t>p207.96.g</t>
  </si>
  <si>
    <t>p323.191.b</t>
  </si>
  <si>
    <t>Tacoma Power</t>
  </si>
  <si>
    <t>Bellingham Cold Storage - Orchard</t>
  </si>
  <si>
    <t>Bellingham Cold Storage - Roeder</t>
  </si>
  <si>
    <t>Rent from Electric Property - Land and Buildings</t>
  </si>
  <si>
    <t>Rent from PCS</t>
  </si>
  <si>
    <t>Rent from Common Property - Land and Buildings</t>
  </si>
  <si>
    <t>p207.75.g</t>
  </si>
  <si>
    <t>Calculation of Distribution Plant In Service</t>
  </si>
  <si>
    <t>Calculation of Total Transmission Plant In Service</t>
  </si>
  <si>
    <t>Calculation of Total Transmission Accumulated Depreciation</t>
  </si>
  <si>
    <t>p219.26</t>
  </si>
  <si>
    <t>Calculation of Distribution Accumulated Depreciation</t>
  </si>
  <si>
    <t>Other Electric Revenues - Summit Buyout</t>
  </si>
  <si>
    <t>100 Basis Point increase in ROE and Income Taxes</t>
  </si>
  <si>
    <t>Year 2</t>
  </si>
  <si>
    <t>Year 3</t>
  </si>
  <si>
    <t xml:space="preserve">Composite Income Taxes                                                                                                       </t>
  </si>
  <si>
    <t>p354.21.b</t>
  </si>
  <si>
    <t>p354.28b</t>
  </si>
  <si>
    <t>p354.27b</t>
  </si>
  <si>
    <t>p321.112.b</t>
  </si>
  <si>
    <t>p323.197.b</t>
  </si>
  <si>
    <t>p323.185b</t>
  </si>
  <si>
    <t>p323.189b</t>
  </si>
  <si>
    <t>p323.191b</t>
  </si>
  <si>
    <t xml:space="preserve">Plus any increased ROE calculated on Attachment 7 </t>
  </si>
  <si>
    <t>p323.187b</t>
  </si>
  <si>
    <t>p350.1 thru 350.21</t>
  </si>
  <si>
    <t>Production related</t>
  </si>
  <si>
    <t>Net Adjusted Revenue Requirement</t>
  </si>
  <si>
    <t>T = 1-{[(1-SIT) * (1-FIT)]/(1-SIT * FIT * p)}</t>
  </si>
  <si>
    <t>p336.7f</t>
  </si>
  <si>
    <t>p336.10f</t>
  </si>
  <si>
    <t>p336.1f</t>
  </si>
  <si>
    <t>Step</t>
  </si>
  <si>
    <t>Month</t>
  </si>
  <si>
    <t>Year</t>
  </si>
  <si>
    <t>Action</t>
  </si>
  <si>
    <t>Exec Summary</t>
  </si>
  <si>
    <t>April</t>
  </si>
  <si>
    <t>May</t>
  </si>
  <si>
    <t>June</t>
  </si>
  <si>
    <t>Jan</t>
  </si>
  <si>
    <t>Feb</t>
  </si>
  <si>
    <t>Mar</t>
  </si>
  <si>
    <t>Apr</t>
  </si>
  <si>
    <t>Jun</t>
  </si>
  <si>
    <t>Jul</t>
  </si>
  <si>
    <t>Aug</t>
  </si>
  <si>
    <t>Sep</t>
  </si>
  <si>
    <t>Oct</t>
  </si>
  <si>
    <t>Nov</t>
  </si>
  <si>
    <t>Dec</t>
  </si>
  <si>
    <t>Interest on Amount of Refunds or Surcharges</t>
  </si>
  <si>
    <t>Yr</t>
  </si>
  <si>
    <t>Interest</t>
  </si>
  <si>
    <t>Months</t>
  </si>
  <si>
    <t>Balance</t>
  </si>
  <si>
    <t>Total Transmission Plant In Service</t>
  </si>
  <si>
    <t>New Transmission Plant Additions for Current Calendar Year  (weighted by months in service)</t>
  </si>
  <si>
    <t xml:space="preserve">    Less Accumulated Depreciation Associated with Facilities with Outstanding Network Credits</t>
  </si>
  <si>
    <t>Non-safety Related</t>
  </si>
  <si>
    <t>Electric / Non-electric Cost Support</t>
  </si>
  <si>
    <t>Transmission / Non-transmission Cost Support</t>
  </si>
  <si>
    <t>Regulatory Expense Related to Transmission Cost Support</t>
  </si>
  <si>
    <t>Safety Related Advertising Cost Support</t>
  </si>
  <si>
    <t>Excluded Plant Cost Support</t>
  </si>
  <si>
    <t>Outstanding Network Credits Cost Support</t>
  </si>
  <si>
    <t>Interest on Outstanding Network Credits Cost Support</t>
  </si>
  <si>
    <t>Return Calculation</t>
  </si>
  <si>
    <t>Rev Req based on Prior Year data</t>
  </si>
  <si>
    <t>Total with interest</t>
  </si>
  <si>
    <t xml:space="preserve">Taxes Other than Income                                                    </t>
  </si>
  <si>
    <t>Account 454 - Rent from Electric Property</t>
  </si>
  <si>
    <t>Total Rent Revenues</t>
  </si>
  <si>
    <t>None</t>
  </si>
  <si>
    <t>Shaded cells are input cells</t>
  </si>
  <si>
    <t>Attachment 1 - Accumulated Deferred Income Taxes (ADIT) Worksheet</t>
  </si>
  <si>
    <t>Attachment 2 - Taxes Other Than Income Worksheet</t>
  </si>
  <si>
    <t>Attachment 6</t>
  </si>
  <si>
    <t>Attachment 1</t>
  </si>
  <si>
    <t>Attachment 5</t>
  </si>
  <si>
    <t>Attachment 3</t>
  </si>
  <si>
    <t>Attachment 2</t>
  </si>
  <si>
    <t>Less FASB 109 Above if not separately removed</t>
  </si>
  <si>
    <t>Less FASB 106 Above if not separately removed</t>
  </si>
  <si>
    <t>Gross Proceeds Outstanding LT Debt</t>
  </si>
  <si>
    <t>Net Proceeds Long Term Debt</t>
  </si>
  <si>
    <t>Total Long Term Debt Cost</t>
  </si>
  <si>
    <t>Preferred Dividend</t>
  </si>
  <si>
    <t>Total Common Stock</t>
  </si>
  <si>
    <t>Acct 221 - Bonds</t>
  </si>
  <si>
    <t>Acct 223 LT Advances from Assoc Cos.</t>
  </si>
  <si>
    <t xml:space="preserve">  Less Acct 222 Reaq'd Bonds</t>
  </si>
  <si>
    <t>Acct 224 Other LT Debt</t>
  </si>
  <si>
    <t xml:space="preserve">  Less Acct 226 Unamort Discount</t>
  </si>
  <si>
    <t xml:space="preserve">  Less Acct 181 Unamort Debt Expense</t>
  </si>
  <si>
    <t xml:space="preserve">  Less Acct 189 Unamort Loss Reaq'd Debt</t>
  </si>
  <si>
    <t xml:space="preserve">  Plus Acct 225 Unamort Premium</t>
  </si>
  <si>
    <t xml:space="preserve">  Plus Acct 257 Unamort Gain Reaq'd Debt</t>
  </si>
  <si>
    <t>Long Term Debt Cost</t>
  </si>
  <si>
    <t>Acct 428 Amort Debt Discount &amp; Expense</t>
  </si>
  <si>
    <t>Acct 428.1 Amort Loss on Reaq'd Debt</t>
  </si>
  <si>
    <t>PSE merchant short term firm and nonfirm transmission is based on projected 2012 in line with PSE merchant's new business practice implemented in 2012. (No longer applicable after 2012)</t>
  </si>
  <si>
    <t xml:space="preserve">  Less Acct 429 Amort Premium</t>
  </si>
  <si>
    <t xml:space="preserve">  Less Acct 429.1 Amort Gain Reaq'd Debt</t>
  </si>
  <si>
    <t>Preferred Stock &amp; Dividend</t>
  </si>
  <si>
    <t>Acct 204 Preferred Stock Issued</t>
  </si>
  <si>
    <t xml:space="preserve">  Less Acct 217 Reaq'd Capital Stock (Pfd)</t>
  </si>
  <si>
    <t>Acct 207 Premium on Pfd Stock</t>
  </si>
  <si>
    <t xml:space="preserve">  Less Acct 213 discount on Capital Stock (Pfd)</t>
  </si>
  <si>
    <t xml:space="preserve">  Less Acct 214 Capital Stock Exp (Pfd)</t>
  </si>
  <si>
    <t>Total Preferred Stock</t>
  </si>
  <si>
    <t xml:space="preserve">  Less Preferred Stock</t>
  </si>
  <si>
    <t xml:space="preserve">  Less Acct 216.1 Unap Undis Subs Earnings</t>
  </si>
  <si>
    <t xml:space="preserve">  Less Acct 219 (enter negative)</t>
  </si>
  <si>
    <t xml:space="preserve"> Common Stock Issued (201)</t>
  </si>
  <si>
    <t xml:space="preserve"> Premium on Capital Stock (207)</t>
  </si>
  <si>
    <t xml:space="preserve"> Other Pd in Capital (208-211)</t>
  </si>
  <si>
    <t xml:space="preserve">   Less Stock Expense (214)</t>
  </si>
  <si>
    <t xml:space="preserve"> Retained Earnings (215, 215.1, 216)</t>
  </si>
  <si>
    <t>Unappr Undistr Sub Retnd Earn (216.1)</t>
  </si>
  <si>
    <t>Accumulated OCI (219)</t>
  </si>
  <si>
    <t xml:space="preserve">   Adjustments - Hedges</t>
  </si>
  <si>
    <t xml:space="preserve">   Adjustments - Accrued to Cash</t>
  </si>
  <si>
    <t>13 month</t>
  </si>
  <si>
    <t>Total Revenue Credits</t>
  </si>
  <si>
    <t>6.  Re:  Form 1-F filer:  Sum of subtotals for Accounts 282 and 283 should tie to Form No. 1-F, p.113.57.c</t>
  </si>
  <si>
    <t>Subtotal - p275  (Form 1-F filer:  see note 6 below)</t>
  </si>
  <si>
    <t>Subtotal - p277  (Form 1-F filer:  see note 6, below)</t>
  </si>
  <si>
    <t>Transmission O&amp;M Reserves</t>
  </si>
  <si>
    <t>Enter Negative</t>
  </si>
  <si>
    <t xml:space="preserve">Prepayments </t>
  </si>
  <si>
    <t xml:space="preserve">Attachment 5 </t>
  </si>
  <si>
    <t>Difference</t>
  </si>
  <si>
    <t xml:space="preserve">Other taxes that are incurred through ownership of plant including transmission plant will be allocated based on the Gross Plant </t>
  </si>
  <si>
    <t>Other taxes that are incurred through ownership of only general or intangible plant will be allocated based on the Wages and Salary</t>
  </si>
  <si>
    <t>Transmission Related Account 242 Reserves (exclude current year environmental site related reserves)</t>
  </si>
  <si>
    <t>Gross Revenue Credits</t>
  </si>
  <si>
    <t>NOL Carryforward</t>
  </si>
  <si>
    <t>FIT deductible for SIT</t>
  </si>
  <si>
    <t>Pursuant to state retail regulatory order</t>
  </si>
  <si>
    <t>Transmission for Others (Note 3)</t>
  </si>
  <si>
    <t>Net revenues associated with Network Integration Transmission Service (NITS) for which the load is not included in the divisor (Note 3)</t>
  </si>
  <si>
    <t>Attachment 3 - Revenue Credit Worksheet</t>
  </si>
  <si>
    <t>Facilities Charges including Interconnection Agreements (Note 2)</t>
  </si>
  <si>
    <t>Short-tern and non-firm service revenues for which the load is not included in the divisor received by Transmission Owner</t>
  </si>
  <si>
    <t>Air Products</t>
  </si>
  <si>
    <t>Justification</t>
  </si>
  <si>
    <t>Total Income Taxes</t>
  </si>
  <si>
    <t>Summary</t>
  </si>
  <si>
    <t>Net Property, Plant &amp; Equipment</t>
  </si>
  <si>
    <t>Taxes Other than Income</t>
  </si>
  <si>
    <t>Common Stock</t>
  </si>
  <si>
    <t>END</t>
  </si>
  <si>
    <t>Revenue Credits</t>
  </si>
  <si>
    <t>C</t>
  </si>
  <si>
    <t>Gross Plant Allocator</t>
  </si>
  <si>
    <t>Total Long Term Debt</t>
  </si>
  <si>
    <t>Total Return ( R )</t>
  </si>
  <si>
    <t>REVENUE REQUIREMENT</t>
  </si>
  <si>
    <t>I</t>
  </si>
  <si>
    <t>Transmission Storm O&amp;M Deferred to 182.1</t>
  </si>
  <si>
    <t>workpaper</t>
  </si>
  <si>
    <t>Total Taxes Other than Income</t>
  </si>
  <si>
    <t>J</t>
  </si>
  <si>
    <t>Long Term Debt</t>
  </si>
  <si>
    <t>Depreciation Expense</t>
  </si>
  <si>
    <t>Note L</t>
  </si>
  <si>
    <t>Accumulated Depreciation (Total Electric Plant)</t>
  </si>
  <si>
    <t>Transmission Depreciation Expense</t>
  </si>
  <si>
    <t>Transmission Wages Expense</t>
  </si>
  <si>
    <t>Total Wages Expense</t>
  </si>
  <si>
    <t xml:space="preserve"> </t>
  </si>
  <si>
    <t>E</t>
  </si>
  <si>
    <t>A</t>
  </si>
  <si>
    <t>D</t>
  </si>
  <si>
    <t>G</t>
  </si>
  <si>
    <t>Preferred Stock</t>
  </si>
  <si>
    <t>K</t>
  </si>
  <si>
    <t>Other Taxes</t>
  </si>
  <si>
    <t>Total Prepayments Allocated to Transmission</t>
  </si>
  <si>
    <t xml:space="preserve">Accumulated Deferred Income Taxes </t>
  </si>
  <si>
    <t>Common Stock (Note J)</t>
  </si>
  <si>
    <t>Revenue= FCR* 13 Month + Depreciation</t>
  </si>
  <si>
    <t>13 Month * FCR + Depreciation</t>
  </si>
  <si>
    <t>Line 179 Attach H</t>
  </si>
  <si>
    <t>Non-incentive</t>
  </si>
  <si>
    <t>Increase</t>
  </si>
  <si>
    <t>……</t>
  </si>
  <si>
    <t>Line 179 Attach H = Total for "W Increased ROE" row</t>
  </si>
  <si>
    <t>Non-Incentive = Total for ''FCR W base ROE'' row</t>
  </si>
  <si>
    <t>Total = Sum all projects</t>
  </si>
  <si>
    <t>13 Month Balance</t>
  </si>
  <si>
    <t>The depreciation expense will be the estimated amount for the projection based on the projected in-service dates and the actual depreciation expense for the year</t>
  </si>
  <si>
    <t>Note 2</t>
  </si>
  <si>
    <t>Total Cash Working Capital Allocated to Transmission</t>
  </si>
  <si>
    <t>Transmission Materials &amp; Supplies</t>
  </si>
  <si>
    <t>Directly Assigned A&amp;G</t>
  </si>
  <si>
    <t>A&amp;G Directly Assigned to Transmission</t>
  </si>
  <si>
    <t>Adjustment to Remove Revenue Requirements Associated with Excluded Transmission Facilities</t>
  </si>
  <si>
    <t>Excluded Transmission Facilities</t>
  </si>
  <si>
    <t>Included Transmission Facilities</t>
  </si>
  <si>
    <t>Inclusion Ratio</t>
  </si>
  <si>
    <t>Adjusted Gross Revenue Requirement</t>
  </si>
  <si>
    <t>Total Materials &amp; Supplies Allocated to Transmission</t>
  </si>
  <si>
    <t>Materials and Supplies</t>
  </si>
  <si>
    <t>Accumulated Depreciation</t>
  </si>
  <si>
    <t>Prepayments</t>
  </si>
  <si>
    <t>Cash Working Capital</t>
  </si>
  <si>
    <t>FERC 354 Towers and Fixtures  (p.207.51.g)</t>
  </si>
  <si>
    <t>FERC 364 Poles, Towers, and Fixtures (p.207.64.g)</t>
  </si>
  <si>
    <t>Allocators</t>
  </si>
  <si>
    <t>Less A&amp;G Wages Expense</t>
  </si>
  <si>
    <t>Transmission Gross Plant</t>
  </si>
  <si>
    <t>Transmission Net Plant</t>
  </si>
  <si>
    <t>Total Accumulated Depreciation</t>
  </si>
  <si>
    <t>Total Plant In Service</t>
  </si>
  <si>
    <t>Wages &amp; Salary Allocation Factor</t>
  </si>
  <si>
    <t>TOTAL Plant In Service</t>
  </si>
  <si>
    <t>Adjustment To Rate Base</t>
  </si>
  <si>
    <t>Net Plant Allocation Factor</t>
  </si>
  <si>
    <t>Intangible Amortization</t>
  </si>
  <si>
    <t>Undistributed Stores Exp</t>
  </si>
  <si>
    <t>General Depreciation Allocated to Transmission</t>
  </si>
  <si>
    <t>Return / Capitalization Calculations</t>
  </si>
  <si>
    <t>ITC Adjustment</t>
  </si>
  <si>
    <t>ITC Adjustment Allocated to Transmission</t>
  </si>
  <si>
    <t>SIT=State Income Tax Rate or Composite</t>
  </si>
  <si>
    <t>FIT=Federal Income Tax Rate</t>
  </si>
  <si>
    <t>Investment Return = Rate Base * Rate of Return</t>
  </si>
  <si>
    <t>Income Tax Rates</t>
  </si>
  <si>
    <t>Depreciation &amp; Amortization</t>
  </si>
  <si>
    <t>Accumulated Deferred Income Taxes Allocated To Transmission</t>
  </si>
  <si>
    <t>Depreciation &amp; Amortization Expense</t>
  </si>
  <si>
    <t>Total Transmission Depreciation &amp; Amortization</t>
  </si>
  <si>
    <t>L</t>
  </si>
  <si>
    <t>M</t>
  </si>
  <si>
    <t>Transmission O&amp;M</t>
  </si>
  <si>
    <t>Wages &amp; Salary Allocator</t>
  </si>
  <si>
    <t>Total Transmission O&amp;M</t>
  </si>
  <si>
    <t>Total A&amp;G</t>
  </si>
  <si>
    <t>General &amp; Intangible</t>
  </si>
  <si>
    <t>Transmission Plant In Service</t>
  </si>
  <si>
    <t>TOTAL Accumulated Depreciation</t>
  </si>
  <si>
    <t>Prepmts - Interest</t>
  </si>
  <si>
    <t>TOTAL Net Property, Plant &amp; Equipment</t>
  </si>
  <si>
    <t>Adjustment to Rate Base</t>
  </si>
  <si>
    <t>Plant Calculations</t>
  </si>
  <si>
    <t>Net Plant</t>
  </si>
  <si>
    <t>Net Plant Allocator</t>
  </si>
  <si>
    <t>Rate Base</t>
  </si>
  <si>
    <t xml:space="preserve">Income Tax Component = </t>
  </si>
  <si>
    <t>p352-353</t>
  </si>
  <si>
    <t xml:space="preserve">     CIT=(T/1-T) * Investment Return * (1-(WCLTD/R)) =</t>
  </si>
  <si>
    <t>Plant Allocation Factors</t>
  </si>
  <si>
    <t>Wage &amp; Salary Allocation Factor</t>
  </si>
  <si>
    <t>TOTAL Adjustment to Rate Base</t>
  </si>
  <si>
    <t>Description</t>
  </si>
  <si>
    <t>Account 456 - Other Electric Revenues</t>
  </si>
  <si>
    <t>Account 456.1 - Revenues from Transmission of Electricity of Others</t>
  </si>
  <si>
    <t>Demand Charges</t>
  </si>
  <si>
    <t>Exclude PTP Scheduling from Ancillary Services</t>
  </si>
  <si>
    <t>General Depreciation</t>
  </si>
  <si>
    <t>Total</t>
  </si>
  <si>
    <t>B</t>
  </si>
  <si>
    <t>Proprietary Capital</t>
  </si>
  <si>
    <t>Operation &amp; Maintenance Expense</t>
  </si>
  <si>
    <t>Amortized Investment Tax Credit</t>
  </si>
  <si>
    <t>Direct Assigned</t>
  </si>
  <si>
    <t>Total Transmission Allocated</t>
  </si>
  <si>
    <t>Transmission Accumulated Depreciation</t>
  </si>
  <si>
    <t>Electric Plant in Service</t>
  </si>
  <si>
    <t>Investment Return</t>
  </si>
  <si>
    <t>Income Taxes</t>
  </si>
  <si>
    <t>Total Balance Transmission Related Account 242 Reserves</t>
  </si>
  <si>
    <t>ATTACHMENT H</t>
  </si>
  <si>
    <t>with amounts exceeding $100,000 will be listed separately.</t>
  </si>
  <si>
    <t>Attachment 1- Accumulated Deferred Income Taxes (ADIT) Worksheet</t>
  </si>
  <si>
    <t>ADITC-255</t>
  </si>
  <si>
    <t>Amortization</t>
  </si>
  <si>
    <t>Rate Base Treatment</t>
  </si>
  <si>
    <t>Difference  /1</t>
  </si>
  <si>
    <t>/1 Difference must be zero</t>
  </si>
  <si>
    <t>Criteria for Allocation:</t>
  </si>
  <si>
    <t xml:space="preserve">Wages &amp; Salary Allocator </t>
  </si>
  <si>
    <t>Transmission Related Account 242 Reserves</t>
  </si>
  <si>
    <t>Worksheet 2</t>
  </si>
  <si>
    <t>Worksheet 3</t>
  </si>
  <si>
    <t>Directly Assignable to Transmission</t>
  </si>
  <si>
    <t>Allocation</t>
  </si>
  <si>
    <t>Total "Other" Taxes (included on p. 263)</t>
  </si>
  <si>
    <t>Acct 427 &amp; Acc 430 Interest Expense</t>
  </si>
  <si>
    <t>NOTE: p.207.75.g  FERC Form 1 2010 balance was prior to reclass and totaled $3,508,513,900; classified as LV distribution for 2010 was $2,947,625,914 (No longer applicable after 2012)</t>
  </si>
  <si>
    <t>NOTE: p.207.75.g  FERC Form 1 2010 balance was prior to reclass and totaled $1,224,444,770; classified as LV distribution for 2010 was $1,053,043,130 (No longer applicable after 2012)</t>
  </si>
  <si>
    <t>Attachment 6B - Estimate and Reconciliation Worksheet - Southern Intertie</t>
  </si>
  <si>
    <t>Total "Taxes Other Than Income Taxes" - acct 408.10 (p. 114.14)</t>
  </si>
  <si>
    <t>Gross Revenue Requirement</t>
  </si>
  <si>
    <t xml:space="preserve">    Less EPRI Dues</t>
  </si>
  <si>
    <t>Subtotal - Transmission Related</t>
  </si>
  <si>
    <t>T/ (1-T)</t>
  </si>
  <si>
    <t>p</t>
  </si>
  <si>
    <t>(percent of federal income tax deductible for state purposes)</t>
  </si>
  <si>
    <t>Notes</t>
  </si>
  <si>
    <t>Allocator</t>
  </si>
  <si>
    <t>p214</t>
  </si>
  <si>
    <t>enter negative</t>
  </si>
  <si>
    <t>Fixed</t>
  </si>
  <si>
    <t>Net Revenue Requirement</t>
  </si>
  <si>
    <t>O&amp;M</t>
  </si>
  <si>
    <t xml:space="preserve">     Less Account 565</t>
  </si>
  <si>
    <t>p200.21c</t>
  </si>
  <si>
    <t>Subtotal</t>
  </si>
  <si>
    <t>Electric portion only</t>
  </si>
  <si>
    <t>Transmission Portion Only</t>
  </si>
  <si>
    <t xml:space="preserve">    Less Property Insurance Account 924</t>
  </si>
  <si>
    <t xml:space="preserve">    Less Regulatory Commission Exp Account 928</t>
  </si>
  <si>
    <t xml:space="preserve">    Less General Advertising Exp Account 930.1</t>
  </si>
  <si>
    <t>Regulatory Commission Exp Account 928</t>
  </si>
  <si>
    <t>General Advertising Exp Account 930.1</t>
  </si>
  <si>
    <t>Property Insurance Account 924</t>
  </si>
  <si>
    <t xml:space="preserve">     T=1 - {[(1 - SIT) * (1 - FIT)] / (1 - SIT * FIT * p)} =</t>
  </si>
  <si>
    <t>Debt %</t>
  </si>
  <si>
    <t>Common %</t>
  </si>
  <si>
    <t>Debt Cost</t>
  </si>
  <si>
    <t>Common Cost</t>
  </si>
  <si>
    <t>Weighted Cost of Debt</t>
  </si>
  <si>
    <t>Weighted Cost of Common</t>
  </si>
  <si>
    <t>Accumulated General Depreciation</t>
  </si>
  <si>
    <t>Preferred %</t>
  </si>
  <si>
    <t>Preferred Cost</t>
  </si>
  <si>
    <t xml:space="preserve">Other taxes except as provided for in A, B and C above, that are incurred and (1) are not fully recovered at retail or (2) are </t>
  </si>
  <si>
    <t xml:space="preserve">directly or indirectly related to transmission service will be allocated based on the Gross Plant Allocator; provided, however, that </t>
  </si>
  <si>
    <t xml:space="preserve">overheads shall be treated as in footnote B above </t>
  </si>
  <si>
    <t>3.  ADIT items related to Plant and not in Columns C &amp; D are included in Column E</t>
  </si>
  <si>
    <t>4.  ADIT items related to labor and not in Columns C &amp; D are included in Column F</t>
  </si>
  <si>
    <t>(Sum Lines 4-11)</t>
  </si>
  <si>
    <t>FERC  Annual Fees</t>
  </si>
  <si>
    <t>RTO Filings</t>
  </si>
  <si>
    <t>Transmission Siting</t>
  </si>
  <si>
    <t>Other Transmission regulatory Commission Expenses</t>
  </si>
  <si>
    <t>NERC Compliance</t>
  </si>
  <si>
    <t>Excluded Items</t>
  </si>
  <si>
    <t>Load paying the Formula Rate</t>
  </si>
  <si>
    <t>Total Transmission Load</t>
  </si>
  <si>
    <t>Gains/Losses sale of land held for future use</t>
  </si>
  <si>
    <t>50% of any gain or loss sales of land that have been in Account No. 105, Land Held for Future Use, at any time (gains will be positive numbers and losses will be negative numbers)</t>
  </si>
  <si>
    <t>Amount of transmission plant excluded from rates per Attachment 5.</t>
  </si>
  <si>
    <t>Total Form No. 1 (p 266 &amp; 267)</t>
  </si>
  <si>
    <t>Net Plant Carrying Charge</t>
  </si>
  <si>
    <t>Net Plant Carrying Charge Calculation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</si>
  <si>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</si>
  <si>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</si>
  <si>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</si>
  <si>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</si>
  <si>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</si>
  <si>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Weighted Cost of Preferred</t>
  </si>
  <si>
    <t>Transmission</t>
  </si>
  <si>
    <t>ADIT-190</t>
  </si>
  <si>
    <t>ADIT- 282</t>
  </si>
  <si>
    <t>ADIT-283</t>
  </si>
  <si>
    <t>Miscellaneous</t>
  </si>
  <si>
    <t>Accumulated Deferred Income Taxes</t>
  </si>
  <si>
    <t>Plant Gas</t>
  </si>
  <si>
    <t>Plant Electric</t>
  </si>
  <si>
    <t>Pension</t>
  </si>
  <si>
    <t>Employment</t>
  </si>
  <si>
    <t>State excise</t>
  </si>
  <si>
    <t>Municipal Excise</t>
  </si>
  <si>
    <t>SFAS 109</t>
  </si>
  <si>
    <t>Storm Damage</t>
  </si>
  <si>
    <t>Regulatory assets</t>
  </si>
  <si>
    <t>Derivative instruments</t>
  </si>
  <si>
    <t>TO populates the formula with Year 1 data from FERC Form No. 1 data for Year 1 (e.g., 2010)</t>
  </si>
  <si>
    <t>TO estimates all transmission Cap Adds and CWIP for Year 2 weighted based on Months expected to be in service in Year 2 (e.g., 2011)</t>
  </si>
  <si>
    <t>Post results of Step 3</t>
  </si>
  <si>
    <t>(J)</t>
  </si>
  <si>
    <t>(K)</t>
  </si>
  <si>
    <t>(L)</t>
  </si>
  <si>
    <t>(M)</t>
  </si>
  <si>
    <t>Other Included - Transmission</t>
  </si>
  <si>
    <t>State Utility Tax</t>
  </si>
  <si>
    <t>Total Other Transmission Included</t>
  </si>
  <si>
    <t>(Note S)</t>
  </si>
  <si>
    <t>S</t>
  </si>
  <si>
    <t>Electric Segment Allocation</t>
  </si>
  <si>
    <t>Total Common Plant</t>
  </si>
  <si>
    <t xml:space="preserve">WA Area </t>
  </si>
  <si>
    <t>End of Year Est. Average for Final</t>
  </si>
  <si>
    <t>WA Area</t>
  </si>
  <si>
    <t xml:space="preserve">Total Distribution </t>
  </si>
  <si>
    <t>13 Month</t>
  </si>
  <si>
    <t>Washington Area</t>
  </si>
  <si>
    <t>Result of Formula for Reconciliation</t>
  </si>
  <si>
    <t>True-Up Adjustment</t>
  </si>
  <si>
    <t xml:space="preserve">Total with Interest </t>
  </si>
  <si>
    <t>Actual Revenues Received Step 7</t>
  </si>
  <si>
    <t>Wash Area</t>
  </si>
  <si>
    <t>So. Intertie</t>
  </si>
  <si>
    <t>LT loads</t>
  </si>
  <si>
    <t>Long tern Loads charged under the OATT</t>
  </si>
  <si>
    <t>Yes</t>
  </si>
  <si>
    <t>The total is directly assigned to the three areas where</t>
  </si>
  <si>
    <t>possible, if not possible then allocated based on</t>
  </si>
  <si>
    <t>No</t>
  </si>
  <si>
    <t xml:space="preserve"> loads under the tariff</t>
  </si>
  <si>
    <t>NA</t>
  </si>
  <si>
    <t>Property Alloc</t>
  </si>
  <si>
    <t>Reconciliation</t>
  </si>
  <si>
    <t>Excluded Transmission Facilities - Southern Intertie</t>
  </si>
  <si>
    <t>Outstanding Network Credits is the balance of Network Facilities Upgrades Credits due Transmission Customers who have made lump-sum payments (net of accumulated depreciation) towards the construction of Network Transmission Facilities consistent with Paragraph 657 of Order 2003-A. Interest on the Network Credits as booked each year is added to the revenue requirement to make the Transmission Owner whole on Line "&amp;A262&amp;"."</t>
  </si>
  <si>
    <t>A&amp;G directly assigned to Transmission is for the WA area rate only as the Southern Intertie is 100% operated by BPA and Colstrip 100% operated by Northwestern</t>
  </si>
  <si>
    <t>Attachment 4 Alloc on Rate base</t>
  </si>
  <si>
    <t>(Year 2 data with total of Year 2 Cap Adds removed and monthly weighted average of Year 2 actual Cap Adds added in)</t>
  </si>
  <si>
    <t>Rates in effect in Prior Year times actual loads in each Month</t>
  </si>
  <si>
    <t>Rates Charged</t>
  </si>
  <si>
    <t>Actual Monthly Loads</t>
  </si>
  <si>
    <t>Rate x Loads</t>
  </si>
  <si>
    <t>Less any Prior Year True up</t>
  </si>
  <si>
    <t>Actual Revenues Received</t>
  </si>
  <si>
    <t>Sum</t>
  </si>
  <si>
    <t>The Reconciliation in Step 8</t>
  </si>
  <si>
    <t>Transmission Rate</t>
  </si>
  <si>
    <t>Interest rate pursuant to 35.19a for March of the Current Yr</t>
  </si>
  <si>
    <t>1/12 of Step 8</t>
  </si>
  <si>
    <t>Interest rate for</t>
  </si>
  <si>
    <t>Surcharge (Refund) Owed</t>
  </si>
  <si>
    <t>(See Note #1)</t>
  </si>
  <si>
    <t>March of the Current Yr</t>
  </si>
  <si>
    <t xml:space="preserve">Note #1:  For the initial rate year, enter zero for the first five months, </t>
  </si>
  <si>
    <t xml:space="preserve">              June Year 1 through October Year 1.  Enter 1/12 of Step 8</t>
  </si>
  <si>
    <t xml:space="preserve">             for the months Nov Year 1 through May Year 2.</t>
  </si>
  <si>
    <t>Interest rate from above</t>
  </si>
  <si>
    <t>Amortization over Rate Year</t>
  </si>
  <si>
    <t>FERC Form 1, Page 400</t>
  </si>
  <si>
    <t>Other Long Term Firm Service</t>
  </si>
  <si>
    <t>Other Service</t>
  </si>
  <si>
    <t>Monthly Peak MW - Total   (b)</t>
  </si>
  <si>
    <t>Month (a)</t>
  </si>
  <si>
    <t>Day of Monthly Peak      (c )</t>
  </si>
  <si>
    <t>Hour of Monthly Peak     (d)</t>
  </si>
  <si>
    <t>Firm Network Service for Self                      (e)</t>
  </si>
  <si>
    <t>Firm Network Service for Others                       (f)</t>
  </si>
  <si>
    <t>Long-Term Firm Point-to-point Reservations            (g)</t>
  </si>
  <si>
    <t>Other Long Term Firm Service                    (h)</t>
  </si>
  <si>
    <t>Short-Term Firm Point-to-Point Reservation                        (i)</t>
  </si>
  <si>
    <t xml:space="preserve">Total 427 Interest </t>
  </si>
  <si>
    <t>E3509 (GIF) Land, Wild Horse</t>
  </si>
  <si>
    <t>E35099 (GIF) Easement, Hopkins</t>
  </si>
  <si>
    <t>E35099 (GIF) Easement, Poison Sprin</t>
  </si>
  <si>
    <t>E35099 (GIF) Easement, Upper Baker</t>
  </si>
  <si>
    <t>E35099 (GIF) Easement, Wild Horse</t>
  </si>
  <si>
    <t>E3529 (GIF) Struc/Improv, Mint Farm</t>
  </si>
  <si>
    <t>E3529 (GIF) Struc/Improv, Whitehorn</t>
  </si>
  <si>
    <t>E3538 (LIF) Sta Eq, Sub-Txe</t>
  </si>
  <si>
    <t>E3539 (GIF) Sta Eq, Arco Central</t>
  </si>
  <si>
    <t>E3539 (GIF) Sta Eq, Baker River Sw</t>
  </si>
  <si>
    <t>E3539 (GIF) Sta Eq, Electron Height</t>
  </si>
  <si>
    <t>E3539 (GIF) Sta Eq, Encogen</t>
  </si>
  <si>
    <t>E3539 (GIF) Sta Eq, Frederickson</t>
  </si>
  <si>
    <t>E3539 (GIF) Sta Eq, Fredonia 1&amp;2</t>
  </si>
  <si>
    <t>E3539 (GIF) Sta Eq, Fredonia 3&amp;4</t>
  </si>
  <si>
    <t>E3539 (GIF) Sta Eq, Goldendale</t>
  </si>
  <si>
    <t>E3539 (GIF) Sta Eq, Hopkins Ridge</t>
  </si>
  <si>
    <t>E3539 (GIF) Sta Eq, HPK sub@plant</t>
  </si>
  <si>
    <t>E3539 (GIF) Sta Eq, Lower Baker</t>
  </si>
  <si>
    <t>E3539 (GIF) Sta Eq, Mint Farm</t>
  </si>
  <si>
    <t>E3539 (GIF) Sta Eq, Nooksack</t>
  </si>
  <si>
    <t>E3539 (GIF) Sta Eq, Poison Spring</t>
  </si>
  <si>
    <t>E3539 (GIF) Sta Eq, Shannon</t>
  </si>
  <si>
    <t>E3539 (GIF) Sta Eq, Snoqualmie 2</t>
  </si>
  <si>
    <t>E3539 (GIF) Sta Eq, Snoqualmie Sw</t>
  </si>
  <si>
    <t>E3539 (GIF) Sta Eq, Stillwater</t>
  </si>
  <si>
    <t>E3539 (GIF) Sta Eq, Sumas OP-SMC</t>
  </si>
  <si>
    <t>E3539 (GIF) Sta Eq, Terrell</t>
  </si>
  <si>
    <t>E3539 (GIF) Sta Eq, Texaco West</t>
  </si>
  <si>
    <t>E3539 (GIF) Sta Eq, Ferndale</t>
  </si>
  <si>
    <t>E3539 (GIF) Sta Eq, Snoq 1-2013</t>
  </si>
  <si>
    <t>E3539 (GIF) Sta Eq, Snoq 2-2013</t>
  </si>
  <si>
    <t>E3549 (GIF) Twr/Fixt, Ferndale</t>
  </si>
  <si>
    <t>PSE/16500373</t>
  </si>
  <si>
    <t>PSE/16501083</t>
  </si>
  <si>
    <t>PSE/16501003</t>
  </si>
  <si>
    <t>Prepaid Gas Options</t>
  </si>
  <si>
    <t>AMCOR Rigid Plastics USA</t>
  </si>
  <si>
    <t>Shell Oil Products (Equilon)</t>
  </si>
  <si>
    <t>Account 926 (2012)</t>
  </si>
  <si>
    <t>E3536 TSM Sta Eq, Sumas SMS</t>
  </si>
  <si>
    <t>Vantage Wind Energy LLC- Invenergy</t>
  </si>
  <si>
    <t>Bonneville Power Administration</t>
  </si>
  <si>
    <t xml:space="preserve">  Adjustments - Forward Swap</t>
  </si>
  <si>
    <t>E3529 (GIF) Struc/Improv, LSR</t>
  </si>
  <si>
    <t>E3539 (GIF) Sta Eq, LSR</t>
  </si>
  <si>
    <t>E3539 (GIF) Sta Eq, SUB-BRL4-2013</t>
  </si>
  <si>
    <t>E3559 (GIF) TSM Poles, LSR</t>
  </si>
  <si>
    <t>E3569 (GIF) O/H Conductor, LSR</t>
  </si>
  <si>
    <t>E3589 (GIF) UG Conductor, LSR</t>
  </si>
  <si>
    <t>WA Property taxes</t>
  </si>
  <si>
    <t>Annual Point-to-Point and Network Transmission Rate</t>
  </si>
  <si>
    <t>Formula Rate -- Attachment H-1</t>
  </si>
  <si>
    <t>Attachment H-1 % plus 100 Basis Pts</t>
  </si>
  <si>
    <t>Attachment H-1 Line #s, Descriptions, Notes, Form 1 Page #s and Instructions</t>
  </si>
  <si>
    <t>Must run Attachment H-1 to get this number (with input on line 16 of Attachment H-1)</t>
  </si>
  <si>
    <t>Must run Attachment H-1 to get this number (without inputs in line 16 of Attachment H-1 )</t>
  </si>
  <si>
    <t>Must run Attachment H-1 to get this number (without inputs on line 16 of Attachment H-1)</t>
  </si>
  <si>
    <t>Must run Attachment H-1 to get this number (with input in line 16 of Attachment H-1 )</t>
  </si>
  <si>
    <t>Transmission Provider (TP) populates the formula with Year 1 data from FERC Form No. 1 data for Year 1 (e.g., 2010)</t>
  </si>
  <si>
    <t>TP estimates all transmission Cap Adds and CWIP for Year 2 weighted based on Months expected to be in service in Year 2 (e.g., 2011)</t>
  </si>
  <si>
    <t>TP adds weighted Cap Adds to plant in service in Formula</t>
  </si>
  <si>
    <t>Results of Step 3 go into effect for the Rate Year 1 (e.g., June 1, 2011 - May 31, 2012)</t>
  </si>
  <si>
    <t>TP populates the formula with Year 2 data from FERC Form No. 1 for Year 2 (e.g., 2011)</t>
  </si>
  <si>
    <t>Reconciliation - TP adds the difference between the Reconciliation in Step 7 and the forecast in Line 5 with interest to the result of Step 7 (this difference is also added to Step 8 in the subsequent year)</t>
  </si>
  <si>
    <t>Results of Step 9 go into effect for the Rate Year 2 (e.g., June 1, 2012 - May 31, 2013)</t>
  </si>
  <si>
    <t>TP populates the formula with Year 1 data from FERC Form No. 1 data for Year 1 (e.g., 2010)</t>
  </si>
  <si>
    <t>Prior Period Adjustments Detail:</t>
  </si>
  <si>
    <t>Total Other Adjustment</t>
  </si>
  <si>
    <t>True Up</t>
  </si>
  <si>
    <t>Prior Period Adjustment</t>
  </si>
  <si>
    <t>Net True up</t>
  </si>
  <si>
    <t>Year 1=</t>
  </si>
  <si>
    <t>Year 2=</t>
  </si>
  <si>
    <t>Year 3=</t>
  </si>
  <si>
    <t>TP estimates Cap Adds and CWIP during Year 3 weighted based on Months expected to be in service in Year 3 (e.g., 2012)</t>
  </si>
  <si>
    <t>Input to Line 16 of Attachment H-1</t>
  </si>
  <si>
    <t>True up adjustments including any prior period adjustments</t>
  </si>
  <si>
    <t>Balance to line 40 of Attachment H-1</t>
  </si>
  <si>
    <t>Amortization to line 142 of Attachment H-1</t>
  </si>
  <si>
    <t>E35017 TSM Easements, Baker Com</t>
  </si>
  <si>
    <t>E35017 TSM Easements, Upper Baker</t>
  </si>
  <si>
    <t>E353 TSM Sta Eq, Wild Horse-WindRid</t>
  </si>
  <si>
    <t>E355 TSM Poles, Wild Horse-WindRidg</t>
  </si>
  <si>
    <t>E3557 TSM Poles, Baker Common</t>
  </si>
  <si>
    <t>E3557 TSM Poles, Upper Baker</t>
  </si>
  <si>
    <t>E356 TSM O/H Cond, Wild Horse-WindR</t>
  </si>
  <si>
    <t>E3567 TSM O/H Cond, Baker Common</t>
  </si>
  <si>
    <t>E3567 TSM O/H Cond, Upper Baker</t>
  </si>
  <si>
    <t>PSE/16502021</t>
  </si>
  <si>
    <t xml:space="preserve">   Total Colstrip</t>
  </si>
  <si>
    <t>E3529 (GIF) Str/Impr, Fredonia 1&amp;2</t>
  </si>
  <si>
    <t>E3559 (GIF) Poles, TLN-HPK@plant</t>
  </si>
  <si>
    <t>E3569 (GIF) O/H Cond, TLN-HPK@plant</t>
  </si>
  <si>
    <t>E3579 (GIF)U/G Conduit,TLN-WHD@plnt</t>
  </si>
  <si>
    <t>E3589 (GIF)U/G Cond,TLN-HPK@plt</t>
  </si>
  <si>
    <t>E3589 (GIF)U/G Cond,TLN-WHD@plnt</t>
  </si>
  <si>
    <t>E3589 (GIF)U/G Cond,TLN-WHDE@plt</t>
  </si>
  <si>
    <t>Total WA Transmission Plant</t>
  </si>
  <si>
    <t>Total Colstrip Transmission Plant</t>
  </si>
  <si>
    <t>Total Southern Intertie Plant</t>
  </si>
  <si>
    <t>Total Transmission Plant</t>
  </si>
  <si>
    <t>ties to FF1 p206.58(b)</t>
  </si>
  <si>
    <t>ties to FF1 p207.58(g)</t>
  </si>
  <si>
    <t>Transmission Plant in Service</t>
  </si>
  <si>
    <t>Transmission Plant Accumulated Depreciation</t>
  </si>
  <si>
    <t xml:space="preserve">  Total Southern Intertie</t>
  </si>
  <si>
    <t>WA Area Total Trans Depr Reserves</t>
  </si>
  <si>
    <t>Southern Intertie Total Depr Reserves</t>
  </si>
  <si>
    <t>Total Depreciation reserves</t>
  </si>
  <si>
    <t>Ties to FERC Form 1 p219.25.(c)</t>
  </si>
  <si>
    <t>PSE/16504201</t>
  </si>
  <si>
    <t>Prepaid - Art 312 Dev Rec- Camp - Major Maint - LT</t>
  </si>
  <si>
    <t>Electric Rate of Return Refund</t>
  </si>
  <si>
    <t>p207.52.g</t>
  </si>
  <si>
    <t xml:space="preserve">  Total Washington Area</t>
  </si>
  <si>
    <t xml:space="preserve">E353 TSM Sta Eq, Colstrip 3-4 </t>
  </si>
  <si>
    <t xml:space="preserve">  Total WA GIF</t>
  </si>
  <si>
    <t xml:space="preserve">  Total Colstrip GIF</t>
  </si>
  <si>
    <t xml:space="preserve">  Total WA Area</t>
  </si>
  <si>
    <t>E3500 TSM Land, N Intertie</t>
  </si>
  <si>
    <t>E3500 TSM Land, Wind Ridge</t>
  </si>
  <si>
    <t xml:space="preserve">E3556 TSM Poles </t>
  </si>
  <si>
    <t xml:space="preserve">E3557 TSM Poles </t>
  </si>
  <si>
    <t>E3500 TSM Land, Colstrip</t>
  </si>
  <si>
    <t xml:space="preserve">  Total Colstrip</t>
  </si>
  <si>
    <t>E3500 TSM Land, 3rd AC</t>
  </si>
  <si>
    <t xml:space="preserve">E3539 (GIF) Sta Eq, Wild Horse </t>
  </si>
  <si>
    <t>Colstrip Total Depr Reserves</t>
  </si>
  <si>
    <t>PSE/16502221</t>
  </si>
  <si>
    <t>PSE/16502261</t>
  </si>
  <si>
    <t>PSE/16502382</t>
  </si>
  <si>
    <t>E35010 TSM Easement</t>
  </si>
  <si>
    <t>E3539 (GIF) Sta Eq, Fred 1/APC</t>
  </si>
  <si>
    <t>E3569 (GIF) O/H Cond, Lower Baker</t>
  </si>
  <si>
    <t>E3589 (GIF) U/G Cond, Fred 1/APC</t>
  </si>
  <si>
    <t xml:space="preserve">E3539 (GIF) Sta Eq, Colstrip 3-4 </t>
  </si>
  <si>
    <t>E3559 (GIF) Poles, Colstrip 3-4</t>
  </si>
  <si>
    <t>E3569 (GIF) O/H Cond, Colstrip 3-4</t>
  </si>
  <si>
    <t>Total ARO Transmission Plant</t>
  </si>
  <si>
    <t>TSM ARO Transmission</t>
  </si>
  <si>
    <t>E353 TSM Sta Eq LSR</t>
  </si>
  <si>
    <t>E3537 TSM Sta Eq, Hopkins Ridge Exp</t>
  </si>
  <si>
    <t>E355 TSM Poles, Baker Common</t>
  </si>
  <si>
    <t>E35010 TSM Easement,Colstrip 1-2Com</t>
  </si>
  <si>
    <t>E35010 TSM Easement,Colstrip 3-4Com</t>
  </si>
  <si>
    <t>ARO Total</t>
  </si>
  <si>
    <t>Colstrip Generation Plant Property Tax</t>
  </si>
  <si>
    <t xml:space="preserve">Federal Income tax, (Account 409.1) </t>
  </si>
  <si>
    <t>E3536 TSM Substation Equipment</t>
  </si>
  <si>
    <t>Colstrip Trasmission Benefit Use Tax</t>
  </si>
  <si>
    <t>Baker SA 318 Law Enforcement Plan</t>
  </si>
  <si>
    <t>Wind Farm Maintenance Accrual</t>
  </si>
  <si>
    <t>LSR U.S. Treasury Grants</t>
  </si>
  <si>
    <t>FERC Annual Charge US Lands</t>
  </si>
  <si>
    <t>Lower Baker - FERC License Fees</t>
  </si>
  <si>
    <t>Upper Baker - FERC License Fees</t>
  </si>
  <si>
    <t>Snoqualmie #1 - FERC License Fees</t>
  </si>
  <si>
    <t>Snoqualmie #2 - FERC License Fees</t>
  </si>
  <si>
    <t>Accrued WUTC Fee - Gas</t>
  </si>
  <si>
    <t>Article 103 - O&amp;M Upstream Fish Passage Fund</t>
  </si>
  <si>
    <t>Article 105 - O&amp;M Downstream Fish Passage Fund</t>
  </si>
  <si>
    <t>Article 511 - O&amp;M Decaying Wood Fund</t>
  </si>
  <si>
    <t>Article 505 - O&amp;M Aquatic Riparian Habitat Fund</t>
  </si>
  <si>
    <t>Article 602 - O&amp;M Recration Adaptive Mgmt Fund</t>
  </si>
  <si>
    <t>Article 514 - O&amp;M Use of Habitat Evaluation</t>
  </si>
  <si>
    <t>Article 101-Fish Propagation O&amp;M Fund</t>
  </si>
  <si>
    <t>Article 110-Shoreline Erosion O&amp;M Fund</t>
  </si>
  <si>
    <t>Article 502-Forest Habitat Capital Fund</t>
  </si>
  <si>
    <t>Article 502-Forest Habitat O&amp;M Fund</t>
  </si>
  <si>
    <t>Article 503-Elk Habitat Capital Fund</t>
  </si>
  <si>
    <t>Article 503-Elk Habitat O&amp;M Fund</t>
  </si>
  <si>
    <t>Article 504-Wetland Habitat Capital Fund</t>
  </si>
  <si>
    <t>Article 504-Wetland Habitat O&amp;M Fund</t>
  </si>
  <si>
    <t>Article 505-Aquatic Riparian Habitat Capital Fund</t>
  </si>
  <si>
    <t>Article 508-Noxious Weeds O&amp;M Fund</t>
  </si>
  <si>
    <t>Article 602-Terrestrial Enhance &amp;Research Fund O&amp;M</t>
  </si>
  <si>
    <t>Article 302 - Aesthetics Mgmt O&amp;M</t>
  </si>
  <si>
    <t>Article 304 - Bak Resr Rec Water Safety Pln O&amp;M</t>
  </si>
  <si>
    <t>California Carbon Obligation</t>
  </si>
  <si>
    <t>Article 602 - O&amp;M Cultural Resource Enhansmnt Fund</t>
  </si>
  <si>
    <t>Prepaid - Colstrip 3&amp;4 Misc</t>
  </si>
  <si>
    <t xml:space="preserve">Prepmts -  Linked In Advertising </t>
  </si>
  <si>
    <t>E3506 TSM Land &amp; Land Rights</t>
  </si>
  <si>
    <t>Brookfield Renewables</t>
  </si>
  <si>
    <t>Other Misc</t>
  </si>
  <si>
    <t>Elec Decouling Revenue</t>
  </si>
  <si>
    <t>EV Revenues</t>
  </si>
  <si>
    <t>a</t>
  </si>
  <si>
    <t>b</t>
  </si>
  <si>
    <t>c</t>
  </si>
  <si>
    <t>d</t>
  </si>
  <si>
    <t>PSE/16502313</t>
  </si>
  <si>
    <t xml:space="preserve">Prepaid - Insurance and Employee Benefits </t>
  </si>
  <si>
    <t>PSE/16502323</t>
  </si>
  <si>
    <t xml:space="preserve">Prepaid - General and Administrative </t>
  </si>
  <si>
    <t>PSE/16501273</t>
  </si>
  <si>
    <t>Prepaid - Amazon Web Services IAAS</t>
  </si>
  <si>
    <t>PSE/16502333</t>
  </si>
  <si>
    <t>Prepaid - Hardware/Software</t>
  </si>
  <si>
    <t>PSE/16502343</t>
  </si>
  <si>
    <t>Prepaid - Outside Services</t>
  </si>
  <si>
    <t>PSE/16502353</t>
  </si>
  <si>
    <t>Prepaid - Miscellaneous</t>
  </si>
  <si>
    <t>PSE/16504112</t>
  </si>
  <si>
    <t xml:space="preserve">Prepaid - Gas Options </t>
  </si>
  <si>
    <t>PSE/16501293</t>
  </si>
  <si>
    <t>Prepaid - Purchased Electricity</t>
  </si>
  <si>
    <t>permits</t>
  </si>
  <si>
    <t>Other Income Tax Adjustment</t>
  </si>
  <si>
    <t>145a</t>
  </si>
  <si>
    <t>Income Tax Adjustment</t>
  </si>
  <si>
    <t>145b</t>
  </si>
  <si>
    <t>Other Income Tax Adjustments</t>
  </si>
  <si>
    <t>Other Income Tax Adjustments - Grossed Up</t>
  </si>
  <si>
    <t>Other income Tax Adjustment x 1/(1-T)</t>
  </si>
  <si>
    <t>Line 145a * (1/(1 - Line 140))</t>
  </si>
  <si>
    <t>Wksheet 7</t>
  </si>
  <si>
    <t>Flow Through/net AFUDC (Note 1)</t>
  </si>
  <si>
    <t>Note 1: Flow through accounting is used for allowance for funds used during construction and construction period interest calculations.  The impact on tax expense is reflected in this adjustment.</t>
  </si>
  <si>
    <t>Protected Plant-related (Note b)</t>
  </si>
  <si>
    <t>Unprotected Plant-related (Note c)</t>
  </si>
  <si>
    <t>Unprotected Non-Plant related (Note d)</t>
  </si>
  <si>
    <t>Worksheet 7 - Excess and Deficient Accumulated Deferred Income Taxes (ADIT)</t>
  </si>
  <si>
    <t>Excess or Deficient ADIT Class</t>
  </si>
  <si>
    <t>Amortization Methodology &amp; Period</t>
  </si>
  <si>
    <t xml:space="preserve">Amortized Excess or Deficient ADIT </t>
  </si>
  <si>
    <t>Excess or Deficient ADIT and Net Flow Through Adjustment</t>
  </si>
  <si>
    <t>21a</t>
  </si>
  <si>
    <t>Revesal of Excess or Deficient ADIT and net Flow Through</t>
  </si>
  <si>
    <t>21b</t>
  </si>
  <si>
    <t>Grossed Up - Reversal of Excess/Dedicient ADIT and net Flow Through</t>
  </si>
  <si>
    <t>Line 21a x 1/(1-T)</t>
  </si>
  <si>
    <t>Line 21a * (1/(1 - Line 16))</t>
  </si>
  <si>
    <t>Line 21 + 21b + 22</t>
  </si>
  <si>
    <t>ARAM/Life of Asset</t>
  </si>
  <si>
    <t>"Protected Plant-related" means that applicable tax rules require that excess deferred taxes be reversed using the mandated average rate assumption method ("ARAM") over the remaining book lives of the underlying assets.</t>
  </si>
  <si>
    <t>"Unprotected Plant-related" balances are reversed using the average rate assumption method over the remaining book lives of the underlying assets.</t>
  </si>
  <si>
    <t>Total Amortized Excess or Deficient ADIT</t>
  </si>
  <si>
    <t>SFAS109</t>
  </si>
  <si>
    <t>gas related</t>
  </si>
  <si>
    <t>Bothell Data Center Landlord Incentives</t>
  </si>
  <si>
    <t>Redmond West Tenant Improvement-LT</t>
  </si>
  <si>
    <t>NERC Standards Compliance Loss Reserve</t>
  </si>
  <si>
    <t>Accrued - 401(k) ER Contributions %</t>
  </si>
  <si>
    <t>Accrual - 401(k) Match on Incentive Plan</t>
  </si>
  <si>
    <t>Article 507 - Loon Surveys &amp; Non-Game Species</t>
  </si>
  <si>
    <t>Electric - Town of Concrete Funding - BakLicImp</t>
  </si>
  <si>
    <t>Electric - Upper Skagit Tribe MOU - BakLicImp</t>
  </si>
  <si>
    <t>Electric - Sauk-Suiattle Agmt - BakLicImp</t>
  </si>
  <si>
    <t>Electric - Swinomish Tribe Agmt - BakLicImp</t>
  </si>
  <si>
    <t>Accrued - Sale of Transf Frequency Response - Elec</t>
  </si>
  <si>
    <t>Article 602 - O&amp;M Habitat Enhance, Rstr, Cons Fund</t>
  </si>
  <si>
    <t>Powerex Microsoft</t>
  </si>
  <si>
    <t>Exelon Generation</t>
  </si>
  <si>
    <t>BP Products North America Inc</t>
  </si>
  <si>
    <t>PSE/16504573</t>
  </si>
  <si>
    <t xml:space="preserve">Prepaid - Permits &amp; Fees </t>
  </si>
  <si>
    <t>PSE/16504553</t>
  </si>
  <si>
    <t>PSE/16504563</t>
  </si>
  <si>
    <t xml:space="preserve">Prepaid - Hardware/Software </t>
  </si>
  <si>
    <t>Prepaid - Advance/Down Payments</t>
  </si>
  <si>
    <t>This section provides support for the remeasurement and amortization of excess or deficient ADIT that results from changes to federal, state, or local income tax rates.  PSE records its ADIT in FERC Accounts 190, 282, and 283.  Upon remeasurement, excess and deficient balances are amortized using FERC Accounts 410.1 and 411.1.</t>
  </si>
  <si>
    <t>ADIT Before Remeasurement</t>
  </si>
  <si>
    <t>ADIT After Remeasurement</t>
  </si>
  <si>
    <t>Excess/Deficient ADIT Balance at Remeasurement</t>
  </si>
  <si>
    <t>3 years/Straight Line</t>
  </si>
  <si>
    <t>EDIT electric Other Opera</t>
  </si>
  <si>
    <t>WA</t>
  </si>
  <si>
    <t>OR</t>
  </si>
  <si>
    <t>Dynasty Power Inc</t>
  </si>
  <si>
    <t>Morgan Stanley Capital Group, Inc.</t>
  </si>
  <si>
    <t>Portland General Electric Company</t>
  </si>
  <si>
    <t>Center Drive Owners Association</t>
  </si>
  <si>
    <t>HollyFrontier Puget Sound Refining</t>
  </si>
  <si>
    <t>Tesoro Refining &amp; Marketing CMP</t>
  </si>
  <si>
    <t>E3589 (GIF)U/G Cond,TLNK@plt</t>
  </si>
  <si>
    <t>Tax net operating loss carryforward</t>
  </si>
  <si>
    <t>Determination of Excess/Deficient ADIT (Note a)</t>
  </si>
  <si>
    <t>To calculate excess and deficient ADIT, PSE remeasured its ADIT balances.  Excess and deficient ADIT balances continue to reside in their original ADIT accounts (i.e., FERC 282, 283 and 190 accounts).  To reflect the rate change, PSE adjusted its FERC 254 account and adjusted its FERC 190, 282, and 283 accounts using tracking account to reflect the rate change.  The excess/deficient ADIT balances are amortized using FERC 411.1 and 410.1 accounts.</t>
  </si>
  <si>
    <t>FERC B/S Account Where ADIT Is Located</t>
  </si>
  <si>
    <t>FERC B/S Account for Excess (254) / Deficit (182.3) ADIT</t>
  </si>
  <si>
    <t>FERC I/S Account to Which Excess/ Deficient ADIT Is Amortized</t>
  </si>
  <si>
    <t>12/31/2021 Excess/Deficient ADIT Balance</t>
  </si>
  <si>
    <t>The remeasurement occurred as a result of the Federal tax rate change from 35% to 21% in the Tax Cut and Jobs Act as of 12/31/2017.
In the event of another tax rate change, this footnote will be updated to identify the new tax rate change, and the numbers in Columns E through K will change as follows: 
 - Column E and note d will be updated to reflect PSE's proposed amortization methodologies for unprotected non-plant-related ADIT balances resulting from the tax rate change. 
 - Column F will be updated to reflect the total ADIT balance immediately prior to the tax rate change. 
 - Column G will be updated to reflect the total ADIT at the new statutory rate.
 - Column H will show the new difference between columns F &amp; G - the total excess or deficiency.
 - Column I will reflect the actual balance of the excess or deficiency as of the end of the current reporting period.
 - Column J will show the reversal of the excess or deficit for the current reporting period.
 - Column K will be updated to reflect the gross-up associated with the excess or deficient ADIT balance.</t>
  </si>
  <si>
    <t>Unprotected Non-Plant balances are not subject to ARAM.  The 3 year amortization period was reached in an effort to balance the cash needs of the company and the timely pass back of the excess deferred taxes to customers.  This period is consisant with the approach approved by the Washington Utility and Transportation Commission (WUTC) in PSE's 2019 General Rate Case (GRC).</t>
  </si>
  <si>
    <t>e</t>
  </si>
  <si>
    <t>Column K represents the tax gross-up column I and is not included in rate base</t>
  </si>
  <si>
    <t>PSE/various 165</t>
  </si>
  <si>
    <t>Perpaid OR DOR</t>
  </si>
  <si>
    <t>Reversal of Excess Deferred Taxes Plant Related</t>
  </si>
  <si>
    <t>For 2022</t>
  </si>
  <si>
    <t>For 2021</t>
  </si>
  <si>
    <t>Original Cost 12/31/2022</t>
  </si>
  <si>
    <t>Accumulated Depreciation 12/31/2022</t>
  </si>
  <si>
    <t>Net Plant 12/31/2022</t>
  </si>
  <si>
    <t>Excess/Deficient ADIT Reversal in 2022</t>
  </si>
  <si>
    <t>12/31/2022
Gross-Up on column (K)</t>
  </si>
  <si>
    <t>Guzman Energy</t>
  </si>
  <si>
    <t>Avangrid Renewables</t>
  </si>
  <si>
    <t xml:space="preserve">Avista Corporation </t>
  </si>
  <si>
    <t>CP Energy Marketing</t>
  </si>
  <si>
    <t>Mercuria Energy</t>
  </si>
  <si>
    <t>Rainbow Energy Marketing</t>
  </si>
  <si>
    <t>Vitol, Inc.</t>
  </si>
  <si>
    <t>PSE/16502673</t>
  </si>
  <si>
    <t>Prepaid Applications</t>
  </si>
  <si>
    <t xml:space="preserve">Prepaid - Goldendale </t>
  </si>
  <si>
    <t>FERC 355 Poles and Fixtures (p.207.52.g)</t>
  </si>
  <si>
    <t>Other Electric Revenues - Steam Sales</t>
  </si>
  <si>
    <t>Electric - WUTC SQI Penalty</t>
  </si>
  <si>
    <t>Article 512 - O&amp;M Bald Eagle Survey Fund</t>
  </si>
  <si>
    <t>Community Solar Olympia Center # Capital Fund</t>
  </si>
  <si>
    <t>5150 - Article 305 - Developed Recreation O&amp;M Fund</t>
  </si>
  <si>
    <t>Lease</t>
  </si>
  <si>
    <t xml:space="preserve">Other </t>
  </si>
  <si>
    <t>Non-Op</t>
  </si>
  <si>
    <t>Lease related</t>
  </si>
  <si>
    <t>Gas Related</t>
  </si>
  <si>
    <t>Plant Non-Utility</t>
  </si>
  <si>
    <t>Non-Utility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</si>
</sst>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0.0000"/>
    <numFmt numFmtId="167" formatCode="_(&quot;$&quot;* #,##0_);_(&quot;$&quot;* \(#,##0\);_(&quot;$&quot;* &quot;-&quot;??_);_(@_)"/>
    <numFmt numFmtId="168" formatCode="0.000%"/>
    <numFmt numFmtId="169" formatCode="0.00000"/>
    <numFmt numFmtId="170" formatCode="&quot;$&quot;#,##0.00"/>
    <numFmt numFmtId="171" formatCode="0.0%"/>
    <numFmt numFmtId="172" formatCode="_(* #,##0.0000_);_(* \(#,##0.0000\);_(* &quot;-&quot;??_);_(@_)"/>
    <numFmt numFmtId="173" formatCode="0.0000%"/>
    <numFmt numFmtId="174" formatCode="0.00000%"/>
    <numFmt numFmtId="175" formatCode="_(* #,##0.000_);_(* \(#,##0.000\);_(* &quot;-&quot;??_);_(@_)"/>
    <numFmt numFmtId="176" formatCode="_(* #,##0.00000_);_(* \(#,##0.00000\);_(* &quot;-&quot;??_);_(@_)"/>
    <numFmt numFmtId="177" formatCode="_(* #,##0.000000_);_(* \(#,##0.000000\);_(* &quot;-&quot;??_);_(@_)"/>
    <numFmt numFmtId="178" formatCode=";;;\(@\)"/>
    <numFmt numFmtId="179" formatCode="&quot; &quot;&quot;$&quot;* #,##0.00&quot;/kw  &quot;"/>
    <numFmt numFmtId="180" formatCode="* #,##0&quot;  &quot;\ "/>
    <numFmt numFmtId="181" formatCode="_(* #,##0.0_);_(* \(#,##0.0\);_(* &quot;-&quot;??_);_(@_)"/>
    <numFmt numFmtId="182" formatCode="0.000000"/>
    <numFmt numFmtId="183" formatCode="[$-409]mmm\-yy;@"/>
    <numFmt numFmtId="184" formatCode="[$-409]mmmm\-yy;@"/>
    <numFmt numFmtId="185" formatCode="0.000"/>
    <numFmt numFmtId="186" formatCode="&quot;$&quot;#,##0"/>
    <numFmt numFmtId="187" formatCode="#,##0.00;\-#,##0.00;#,##0.00"/>
    <numFmt numFmtId="188" formatCode="###,000"/>
    <numFmt numFmtId="189" formatCode="* #,##0;* \(#,##0\);* &quot;-&quot;;_(@_)"/>
  </numFmts>
  <fonts count="17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b/>
      <sz val="10"/>
      <name val="Arial"/>
      <family val="2"/>
    </font>
    <font>
      <b/>
      <sz val="12"/>
      <name val="Arial"/>
      <family val="2"/>
    </font>
    <font>
      <sz val="10"/>
      <color indexed="10"/>
      <name val="Arial"/>
      <family val="2"/>
    </font>
    <font>
      <sz val="12"/>
      <name val="Arial"/>
      <family val="2"/>
    </font>
    <font>
      <sz val="10"/>
      <name val="Courier"/>
      <family val="3"/>
    </font>
    <font>
      <sz val="12"/>
      <color indexed="12"/>
      <name val="Arial"/>
      <family val="2"/>
    </font>
    <font>
      <b/>
      <sz val="12"/>
      <color indexed="10"/>
      <name val="Arial"/>
      <family val="2"/>
    </font>
    <font>
      <sz val="12"/>
      <color indexed="10"/>
      <name val="Arial"/>
      <family val="2"/>
    </font>
    <font>
      <b/>
      <sz val="10"/>
      <color indexed="10"/>
      <name val="Arial"/>
      <family val="2"/>
    </font>
    <font>
      <sz val="10"/>
      <name val="Arial"/>
      <family val="2"/>
    </font>
    <font>
      <sz val="12"/>
      <name val="Arial MT"/>
    </font>
    <font>
      <sz val="10"/>
      <color indexed="12"/>
      <name val="Arial"/>
      <family val="2"/>
    </font>
    <font>
      <b/>
      <sz val="14"/>
      <name val="Arial"/>
      <family val="2"/>
    </font>
    <font>
      <sz val="12"/>
      <color indexed="12"/>
      <name val="Helv"/>
    </font>
    <font>
      <sz val="12"/>
      <name val="Helv"/>
    </font>
    <font>
      <b/>
      <sz val="12"/>
      <name val="Helv"/>
    </font>
    <font>
      <sz val="12"/>
      <color indexed="13"/>
      <name val="Arial"/>
      <family val="2"/>
    </font>
    <font>
      <b/>
      <sz val="12"/>
      <color indexed="13"/>
      <name val="Arial"/>
      <family val="2"/>
    </font>
    <font>
      <b/>
      <sz val="12"/>
      <color indexed="13"/>
      <name val="Helv"/>
    </font>
    <font>
      <sz val="14"/>
      <name val="Arial"/>
      <family val="2"/>
    </font>
    <font>
      <sz val="12"/>
      <name val="Arial Narrow"/>
      <family val="2"/>
    </font>
    <font>
      <b/>
      <sz val="18"/>
      <name val="Arial"/>
      <family val="2"/>
    </font>
    <font>
      <b/>
      <i/>
      <sz val="10"/>
      <name val="Arial"/>
      <family val="2"/>
    </font>
    <font>
      <b/>
      <i/>
      <sz val="12"/>
      <name val="Arial"/>
      <family val="2"/>
    </font>
    <font>
      <b/>
      <i/>
      <sz val="12"/>
      <color indexed="14"/>
      <name val="Arial"/>
      <family val="2"/>
    </font>
    <font>
      <b/>
      <sz val="10"/>
      <color indexed="10"/>
      <name val="Arial Narrow"/>
      <family val="2"/>
    </font>
    <font>
      <sz val="10"/>
      <name val="Arial Narrow"/>
      <family val="2"/>
    </font>
    <font>
      <b/>
      <i/>
      <sz val="10"/>
      <color indexed="10"/>
      <name val="Arial"/>
      <family val="2"/>
    </font>
    <font>
      <b/>
      <sz val="10"/>
      <color indexed="14"/>
      <name val="Arial"/>
      <family val="2"/>
    </font>
    <font>
      <sz val="11"/>
      <name val="Arial"/>
      <family val="2"/>
    </font>
    <font>
      <b/>
      <sz val="10"/>
      <name val="Arial Narrow"/>
      <family val="2"/>
    </font>
    <font>
      <b/>
      <sz val="12"/>
      <color indexed="13"/>
      <name val="Helvetica"/>
      <family val="2"/>
    </font>
    <font>
      <sz val="14"/>
      <name val="Arial"/>
      <family val="2"/>
    </font>
    <font>
      <sz val="12"/>
      <color indexed="43"/>
      <name val="Arial"/>
      <family val="2"/>
    </font>
    <font>
      <sz val="10"/>
      <color indexed="10"/>
      <name val="Arial"/>
      <family val="2"/>
    </font>
    <font>
      <b/>
      <u/>
      <sz val="10"/>
      <name val="Arial"/>
      <family val="2"/>
    </font>
    <font>
      <b/>
      <sz val="11"/>
      <name val="Arial"/>
      <family val="2"/>
    </font>
    <font>
      <sz val="10"/>
      <color indexed="8"/>
      <name val="Arial"/>
      <family val="2"/>
    </font>
    <font>
      <sz val="10"/>
      <name val="Arial"/>
      <family val="2"/>
    </font>
    <font>
      <b/>
      <sz val="8"/>
      <name val="Arial"/>
      <family val="2"/>
    </font>
    <font>
      <sz val="8"/>
      <name val="Arial"/>
      <family val="2"/>
    </font>
    <font>
      <sz val="9"/>
      <name val="Arial Narrow"/>
      <family val="2"/>
    </font>
    <font>
      <sz val="8"/>
      <name val="Arial"/>
      <family val="2"/>
    </font>
    <font>
      <sz val="10"/>
      <color indexed="17"/>
      <name val="Arial"/>
      <family val="2"/>
    </font>
    <font>
      <sz val="10"/>
      <color indexed="17"/>
      <name val="Arial Narrow"/>
      <family val="2"/>
    </font>
    <font>
      <b/>
      <sz val="10"/>
      <color indexed="17"/>
      <name val="Arial Narrow"/>
      <family val="2"/>
    </font>
    <font>
      <sz val="10"/>
      <color indexed="17"/>
      <name val="Arial"/>
      <family val="2"/>
    </font>
    <font>
      <sz val="8"/>
      <color indexed="17"/>
      <name val="Arial"/>
      <family val="2"/>
    </font>
    <font>
      <sz val="10"/>
      <color indexed="10"/>
      <name val="Arial"/>
      <family val="2"/>
    </font>
    <font>
      <b/>
      <u/>
      <sz val="12"/>
      <name val="Arial"/>
      <family val="2"/>
    </font>
    <font>
      <b/>
      <sz val="12"/>
      <color indexed="12"/>
      <name val="Arial"/>
      <family val="2"/>
    </font>
    <font>
      <b/>
      <sz val="9"/>
      <color indexed="10"/>
      <name val="Arial"/>
      <family val="2"/>
    </font>
    <font>
      <sz val="12"/>
      <color indexed="36"/>
      <name val="Arial Narrow"/>
      <family val="2"/>
    </font>
    <font>
      <sz val="10"/>
      <color indexed="36"/>
      <name val="Arial Narrow"/>
      <family val="2"/>
    </font>
    <font>
      <sz val="12"/>
      <color indexed="17"/>
      <name val="Arial"/>
      <family val="2"/>
    </font>
    <font>
      <sz val="8"/>
      <name val="Arial"/>
      <family val="2"/>
    </font>
    <font>
      <sz val="10"/>
      <name val="Arial"/>
      <family val="2"/>
    </font>
    <font>
      <sz val="10"/>
      <color indexed="12"/>
      <name val="Arial"/>
      <family val="2"/>
    </font>
    <font>
      <u val="singleAccounting"/>
      <sz val="10"/>
      <name val="Times"/>
      <family val="1"/>
    </font>
    <font>
      <sz val="10"/>
      <name val="MS Sans Serif"/>
      <family val="2"/>
    </font>
    <font>
      <b/>
      <sz val="10"/>
      <name val="MS Sans Serif"/>
      <family val="2"/>
    </font>
    <font>
      <sz val="10"/>
      <color indexed="18"/>
      <name val="Arial"/>
      <family val="2"/>
    </font>
    <font>
      <sz val="9"/>
      <name val="Arial"/>
      <family val="2"/>
    </font>
    <font>
      <sz val="12"/>
      <color indexed="10"/>
      <name val="Arial"/>
      <family val="2"/>
    </font>
    <font>
      <sz val="8"/>
      <name val="Arial"/>
      <family val="2"/>
    </font>
    <font>
      <b/>
      <sz val="10"/>
      <color indexed="8"/>
      <name val="Arial"/>
      <family val="2"/>
    </font>
    <font>
      <sz val="10"/>
      <color indexed="8"/>
      <name val="Arial"/>
      <family val="2"/>
    </font>
    <font>
      <b/>
      <u/>
      <sz val="10"/>
      <color indexed="8"/>
      <name val="Arial"/>
      <family val="2"/>
    </font>
    <font>
      <b/>
      <u/>
      <sz val="11"/>
      <color indexed="8"/>
      <name val="Calibri"/>
      <family val="2"/>
    </font>
    <font>
      <sz val="11"/>
      <name val="Calibri"/>
      <family val="2"/>
    </font>
    <font>
      <sz val="11"/>
      <color indexed="8"/>
      <name val="Calibri"/>
      <family val="2"/>
    </font>
    <font>
      <b/>
      <i/>
      <sz val="14"/>
      <name val="Arial Narrow"/>
      <family val="2"/>
    </font>
    <font>
      <i/>
      <sz val="10"/>
      <name val="Arial"/>
      <family val="2"/>
    </font>
    <font>
      <b/>
      <i/>
      <sz val="11"/>
      <name val="Arial Narrow"/>
      <family val="2"/>
    </font>
    <font>
      <b/>
      <sz val="9"/>
      <name val="Arial Narrow"/>
      <family val="2"/>
    </font>
    <font>
      <sz val="9"/>
      <color indexed="10"/>
      <name val="Arial Narrow"/>
      <family val="2"/>
    </font>
    <font>
      <b/>
      <sz val="9"/>
      <color indexed="10"/>
      <name val="Arial Narrow"/>
      <family val="2"/>
    </font>
    <font>
      <b/>
      <i/>
      <sz val="12"/>
      <name val="Arial Narrow"/>
      <family val="2"/>
    </font>
    <font>
      <sz val="10"/>
      <name val="Arial"/>
      <family val="2"/>
    </font>
    <font>
      <sz val="10"/>
      <color indexed="9"/>
      <name val="Arial"/>
      <family val="2"/>
    </font>
    <font>
      <u/>
      <sz val="8"/>
      <name val="Arial"/>
      <family val="2"/>
    </font>
    <font>
      <sz val="14"/>
      <name val="Arial Narrow"/>
      <family val="2"/>
    </font>
    <font>
      <b/>
      <sz val="14"/>
      <color indexed="10"/>
      <name val="Arial Narrow"/>
      <family val="2"/>
    </font>
    <font>
      <b/>
      <sz val="14"/>
      <name val="Arial Narrow"/>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62"/>
      <name val="Calibri"/>
      <family val="2"/>
    </font>
    <font>
      <sz val="11"/>
      <color indexed="10"/>
      <name val="Calibri"/>
      <family val="2"/>
    </font>
    <font>
      <b/>
      <sz val="11"/>
      <color indexed="63"/>
      <name val="Calibri"/>
      <family val="2"/>
    </font>
    <font>
      <b/>
      <sz val="11"/>
      <color indexed="8"/>
      <name val="Calibri"/>
      <family val="2"/>
    </font>
    <font>
      <sz val="10"/>
      <color indexed="10"/>
      <name val="Arial"/>
      <family val="2"/>
    </font>
    <font>
      <sz val="11"/>
      <name val="Arial"/>
      <family val="2"/>
    </font>
    <font>
      <sz val="9"/>
      <name val="Arial"/>
      <family val="2"/>
    </font>
    <font>
      <b/>
      <sz val="10"/>
      <color indexed="17"/>
      <name val="Arial"/>
      <family val="2"/>
    </font>
    <font>
      <b/>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52"/>
      <name val="Calibri"/>
      <family val="2"/>
    </font>
    <font>
      <sz val="11"/>
      <color indexed="60"/>
      <name val="Calibri"/>
      <family val="2"/>
    </font>
    <font>
      <sz val="12"/>
      <name val="SWISS"/>
    </font>
    <font>
      <b/>
      <sz val="18"/>
      <color indexed="56"/>
      <name val="Cambria"/>
      <family val="2"/>
    </font>
    <font>
      <u/>
      <sz val="10"/>
      <name val="Arial"/>
      <family val="2"/>
    </font>
    <font>
      <sz val="10"/>
      <color indexed="10"/>
      <name val="Arial"/>
      <family val="2"/>
    </font>
    <font>
      <vertAlign val="superscript"/>
      <sz val="12"/>
      <name val="Arial"/>
      <family val="2"/>
    </font>
    <font>
      <u/>
      <vertAlign val="superscript"/>
      <sz val="12"/>
      <name val="Arial"/>
      <family val="2"/>
    </font>
    <font>
      <u/>
      <sz val="12"/>
      <name val="Arial"/>
      <family val="2"/>
    </font>
    <font>
      <sz val="10"/>
      <name val="Segoe UI"/>
      <family val="2"/>
    </font>
    <font>
      <b/>
      <i/>
      <sz val="12"/>
      <name val="Arial"/>
      <family val="2"/>
    </font>
    <font>
      <sz val="10"/>
      <name val="Arial"/>
      <family val="2"/>
    </font>
    <font>
      <b/>
      <sz val="10"/>
      <name val="Helv"/>
    </font>
    <font>
      <sz val="10"/>
      <name val="Arial"/>
      <family val="2"/>
    </font>
    <font>
      <sz val="9"/>
      <color indexed="11"/>
      <name val="Arial Narrow"/>
      <family val="2"/>
    </font>
    <font>
      <b/>
      <sz val="9"/>
      <color indexed="11"/>
      <name val="Arial Narrow"/>
      <family val="2"/>
    </font>
    <font>
      <sz val="10"/>
      <color indexed="11"/>
      <name val="Arial"/>
      <family val="2"/>
    </font>
    <font>
      <sz val="9"/>
      <color indexed="56"/>
      <name val="Arial Narrow"/>
      <family val="2"/>
    </font>
    <font>
      <b/>
      <sz val="14"/>
      <color indexed="12"/>
      <name val="Arial"/>
      <family val="2"/>
    </font>
    <font>
      <sz val="11"/>
      <color theme="1"/>
      <name val="Calibri"/>
      <family val="2"/>
      <scheme val="minor"/>
    </font>
    <font>
      <sz val="11"/>
      <color theme="1"/>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Arial"/>
      <family val="2"/>
    </font>
    <font>
      <b/>
      <sz val="10"/>
      <color rgb="FFFF0000"/>
      <name val="Arial"/>
      <family val="2"/>
    </font>
    <font>
      <sz val="10"/>
      <color rgb="FF000000"/>
      <name val="Arial"/>
      <family val="2"/>
    </font>
    <font>
      <b/>
      <sz val="10"/>
      <color rgb="FFFF0000"/>
      <name val="Arial Narrow"/>
      <family val="2"/>
    </font>
    <font>
      <b/>
      <sz val="8"/>
      <color rgb="FFFF0000"/>
      <name val="Arial"/>
      <family val="2"/>
    </font>
    <font>
      <b/>
      <sz val="9"/>
      <color rgb="FF7030A0"/>
      <name val="Arial Narrow"/>
      <family val="2"/>
    </font>
    <font>
      <b/>
      <sz val="10"/>
      <color rgb="FF7030A0"/>
      <name val="Arial"/>
      <family val="2"/>
    </font>
    <font>
      <sz val="8"/>
      <color theme="1"/>
      <name val="Calibri"/>
      <family val="2"/>
      <scheme val="minor"/>
    </font>
    <font>
      <sz val="10"/>
      <name val="Arial"/>
      <family val="2"/>
    </font>
    <font>
      <sz val="8"/>
      <color theme="1"/>
      <name val="Arial"/>
      <family val="2"/>
    </font>
    <font>
      <b/>
      <u/>
      <sz val="9"/>
      <name val="Arial Narrow"/>
      <family val="2"/>
    </font>
    <font>
      <b/>
      <sz val="12"/>
      <name val="Arial Narrow"/>
      <family val="2"/>
    </font>
    <font>
      <sz val="9"/>
      <color rgb="FFFF0000"/>
      <name val="Arial Narrow"/>
      <family val="2"/>
    </font>
    <font>
      <b/>
      <sz val="9"/>
      <color rgb="FFFF0000"/>
      <name val="Arial Narrow"/>
      <family val="2"/>
    </font>
    <font>
      <sz val="10"/>
      <color indexed="10"/>
      <name val="Arial Narrow"/>
      <family val="2"/>
    </font>
    <font>
      <sz val="14"/>
      <color theme="1"/>
      <name val="Calibri"/>
      <family val="2"/>
      <scheme val="minor"/>
    </font>
    <font>
      <sz val="8"/>
      <color rgb="FF000000"/>
      <name val="Verdana"/>
      <family val="2"/>
    </font>
    <font>
      <sz val="8"/>
      <color rgb="FF1F497D"/>
      <name val="Verdana"/>
      <family val="2"/>
    </font>
    <font>
      <sz val="10"/>
      <color theme="1"/>
      <name val="Arial"/>
      <family val="2"/>
    </font>
    <font>
      <sz val="8"/>
      <color rgb="FF000000"/>
      <name val="Arial"/>
      <family val="2"/>
    </font>
    <font>
      <b/>
      <sz val="14"/>
      <color theme="1"/>
      <name val="Arial"/>
      <family val="2"/>
    </font>
    <font>
      <b/>
      <sz val="12"/>
      <color theme="1"/>
      <name val="Arial"/>
      <family val="2"/>
    </font>
    <font>
      <b/>
      <u/>
      <sz val="10"/>
      <color theme="1"/>
      <name val="Arial"/>
      <family val="2"/>
    </font>
    <font>
      <b/>
      <sz val="10"/>
      <color theme="1"/>
      <name val="Arial"/>
      <family val="2"/>
    </font>
  </fonts>
  <fills count="73">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9"/>
      </patternFill>
    </fill>
    <fill>
      <patternFill patternType="solid">
        <fgColor indexed="43"/>
      </patternFill>
    </fill>
    <fill>
      <patternFill patternType="mediumGray">
        <fgColor indexed="22"/>
      </patternFill>
    </fill>
    <fill>
      <patternFill patternType="solid">
        <fgColor indexed="31"/>
        <bgColor indexed="64"/>
      </patternFill>
    </fill>
    <fill>
      <patternFill patternType="solid">
        <fgColor indexed="35"/>
        <bgColor indexed="64"/>
      </patternFill>
    </fill>
    <fill>
      <patternFill patternType="solid">
        <fgColor indexed="26"/>
        <bgColor indexed="9"/>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9"/>
        <bgColor indexed="64"/>
      </patternFill>
    </fill>
    <fill>
      <patternFill patternType="solid">
        <fgColor indexed="47"/>
        <bgColor indexed="64"/>
      </patternFill>
    </fill>
    <fill>
      <patternFill patternType="solid">
        <fgColor indexed="13"/>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86"/>
        <bgColor indexed="64"/>
      </patternFill>
    </fill>
    <fill>
      <patternFill patternType="solid">
        <fgColor rgb="FFB7CFE8"/>
        <bgColor rgb="FF000000"/>
      </patternFill>
    </fill>
    <fill>
      <patternFill patternType="solid">
        <fgColor rgb="FF92D050"/>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000000"/>
      </left>
      <right style="thin">
        <color rgb="FF000000"/>
      </right>
      <top style="thin">
        <color rgb="FF000000"/>
      </top>
      <bottom style="thin">
        <color rgb="FF000000"/>
      </bottom>
      <diagonal/>
    </border>
  </borders>
  <cellStyleXfs count="1159">
    <xf numFmtId="0" fontId="0" fillId="0"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93" fillId="14" borderId="0" applyNumberFormat="0" applyBorder="0" applyAlignment="0" applyProtection="0"/>
    <xf numFmtId="0" fontId="93" fillId="4" borderId="0" applyNumberFormat="0" applyBorder="0" applyAlignment="0" applyProtection="0"/>
    <xf numFmtId="0" fontId="93" fillId="11"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17" borderId="0" applyNumberFormat="0" applyBorder="0" applyAlignment="0" applyProtection="0"/>
    <xf numFmtId="0" fontId="93" fillId="18" borderId="0" applyNumberFormat="0" applyBorder="0" applyAlignment="0" applyProtection="0"/>
    <xf numFmtId="0" fontId="93" fillId="19" borderId="0" applyNumberFormat="0" applyBorder="0" applyAlignment="0" applyProtection="0"/>
    <xf numFmtId="0" fontId="93" fillId="20"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21" borderId="0" applyNumberFormat="0" applyBorder="0" applyAlignment="0" applyProtection="0"/>
    <xf numFmtId="0" fontId="94" fillId="5" borderId="0" applyNumberFormat="0" applyBorder="0" applyAlignment="0" applyProtection="0"/>
    <xf numFmtId="0" fontId="105" fillId="12" borderId="1" applyNumberFormat="0" applyAlignment="0" applyProtection="0"/>
    <xf numFmtId="0" fontId="95" fillId="22" borderId="2" applyNumberFormat="0" applyAlignment="0" applyProtection="0"/>
    <xf numFmtId="178" fontId="67" fillId="0" borderId="0">
      <alignment horizont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23" borderId="0" applyFont="0" applyFill="0" applyBorder="0" applyAlignment="0" applyProtection="0"/>
    <xf numFmtId="0" fontId="8" fillId="0" borderId="3"/>
    <xf numFmtId="179" fontId="12" fillId="0" borderId="0">
      <protection locked="0"/>
    </xf>
    <xf numFmtId="44" fontId="8" fillId="0" borderId="0" applyFont="0" applyFill="0" applyBorder="0" applyAlignment="0" applyProtection="0"/>
    <xf numFmtId="44" fontId="1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5" fontId="8" fillId="23" borderId="0" applyFont="0" applyFill="0" applyBorder="0" applyAlignment="0" applyProtection="0"/>
    <xf numFmtId="0" fontId="8" fillId="23" borderId="0" applyFont="0" applyFill="0" applyBorder="0" applyAlignment="0" applyProtection="0"/>
    <xf numFmtId="0" fontId="96" fillId="0" borderId="0" applyNumberFormat="0" applyFill="0" applyBorder="0" applyAlignment="0" applyProtection="0"/>
    <xf numFmtId="2" fontId="8" fillId="23" borderId="0" applyFont="0" applyFill="0" applyBorder="0" applyAlignment="0" applyProtection="0"/>
    <xf numFmtId="0" fontId="106" fillId="7" borderId="0" applyNumberFormat="0" applyBorder="0" applyAlignment="0" applyProtection="0"/>
    <xf numFmtId="0" fontId="107" fillId="0" borderId="4" applyNumberFormat="0" applyFill="0" applyAlignment="0" applyProtection="0"/>
    <xf numFmtId="0" fontId="108" fillId="0" borderId="5" applyNumberFormat="0" applyFill="0" applyAlignment="0" applyProtection="0"/>
    <xf numFmtId="0" fontId="109" fillId="0" borderId="6"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97" fillId="8" borderId="1" applyNumberFormat="0" applyAlignment="0" applyProtection="0"/>
    <xf numFmtId="180" fontId="12" fillId="0" borderId="0">
      <alignment horizontal="center"/>
      <protection locked="0"/>
    </xf>
    <xf numFmtId="0" fontId="111" fillId="0" borderId="7" applyNumberFormat="0" applyFill="0" applyAlignment="0" applyProtection="0"/>
    <xf numFmtId="0" fontId="112" fillId="24" borderId="0" applyNumberFormat="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5" fillId="0" borderId="0"/>
    <xf numFmtId="0" fontId="6" fillId="0" borderId="0"/>
    <xf numFmtId="0" fontId="5" fillId="0" borderId="0"/>
    <xf numFmtId="0" fontId="5" fillId="0" borderId="0"/>
    <xf numFmtId="0" fontId="8" fillId="0" borderId="0"/>
    <xf numFmtId="0" fontId="5" fillId="0" borderId="0"/>
    <xf numFmtId="0" fontId="6" fillId="0" borderId="0"/>
    <xf numFmtId="0" fontId="6" fillId="0" borderId="0"/>
    <xf numFmtId="183" fontId="8" fillId="0" borderId="0"/>
    <xf numFmtId="0" fontId="5" fillId="0" borderId="0"/>
    <xf numFmtId="183" fontId="8" fillId="0" borderId="0"/>
    <xf numFmtId="0" fontId="5" fillId="0" borderId="0"/>
    <xf numFmtId="0" fontId="113" fillId="0" borderId="0"/>
    <xf numFmtId="0" fontId="8" fillId="0" borderId="0"/>
    <xf numFmtId="0" fontId="18" fillId="0" borderId="0"/>
    <xf numFmtId="0" fontId="18" fillId="0" borderId="0"/>
    <xf numFmtId="0" fontId="8" fillId="0" borderId="0"/>
    <xf numFmtId="0" fontId="8" fillId="0" borderId="0"/>
    <xf numFmtId="183" fontId="8" fillId="0" borderId="0"/>
    <xf numFmtId="183"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1" fillId="0" borderId="0"/>
    <xf numFmtId="0" fontId="6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8" fillId="0" borderId="0"/>
    <xf numFmtId="0" fontId="8" fillId="0" borderId="0"/>
    <xf numFmtId="0" fontId="130" fillId="0" borderId="0"/>
    <xf numFmtId="0" fontId="8" fillId="0" borderId="0"/>
    <xf numFmtId="0" fontId="8" fillId="0" borderId="0"/>
    <xf numFmtId="0" fontId="8" fillId="0" borderId="0"/>
    <xf numFmtId="0" fontId="5" fillId="0" borderId="0"/>
    <xf numFmtId="0" fontId="1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39" fontId="13" fillId="0" borderId="0"/>
    <xf numFmtId="170" fontId="19" fillId="0" borderId="0" applyProtection="0"/>
    <xf numFmtId="39" fontId="13" fillId="0" borderId="0"/>
    <xf numFmtId="0" fontId="8" fillId="0" borderId="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8"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99" fillId="12" borderId="9" applyNumberFormat="0" applyAlignment="0" applyProtection="0"/>
    <xf numFmtId="9" fontId="8"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8" fillId="0" borderId="0" applyNumberFormat="0" applyFont="0" applyFill="0" applyBorder="0" applyAlignment="0" applyProtection="0">
      <alignment horizontal="left"/>
    </xf>
    <xf numFmtId="15" fontId="68" fillId="0" borderId="0" applyFont="0" applyFill="0" applyBorder="0" applyAlignment="0" applyProtection="0"/>
    <xf numFmtId="4" fontId="68" fillId="0" borderId="0" applyFont="0" applyFill="0" applyBorder="0" applyAlignment="0" applyProtection="0"/>
    <xf numFmtId="0" fontId="69" fillId="0" borderId="10">
      <alignment horizontal="center"/>
    </xf>
    <xf numFmtId="3" fontId="68" fillId="0" borderId="0" applyFont="0" applyFill="0" applyBorder="0" applyAlignment="0" applyProtection="0"/>
    <xf numFmtId="0" fontId="68" fillId="25" borderId="0" applyNumberFormat="0" applyFont="0" applyBorder="0" applyAlignment="0" applyProtection="0"/>
    <xf numFmtId="0" fontId="8" fillId="26" borderId="9" applyNumberFormat="0" applyProtection="0">
      <alignment horizontal="left" vertical="center" indent="1"/>
    </xf>
    <xf numFmtId="4" fontId="46" fillId="27" borderId="9" applyNumberFormat="0" applyProtection="0">
      <alignment horizontal="right" vertical="center"/>
    </xf>
    <xf numFmtId="0" fontId="8" fillId="26" borderId="9" applyNumberFormat="0" applyProtection="0">
      <alignment horizontal="left" vertical="center" indent="1"/>
    </xf>
    <xf numFmtId="0" fontId="8" fillId="26" borderId="9" applyNumberFormat="0" applyProtection="0">
      <alignment horizontal="left" vertical="center" indent="1"/>
    </xf>
    <xf numFmtId="0" fontId="21" fillId="28"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8" fillId="29" borderId="3" applyNumberFormat="0" applyFont="0" applyAlignment="0"/>
    <xf numFmtId="0" fontId="114" fillId="0" borderId="0" applyNumberFormat="0" applyFill="0" applyBorder="0" applyAlignment="0" applyProtection="0"/>
    <xf numFmtId="0" fontId="100" fillId="0" borderId="11" applyNumberFormat="0" applyFill="0" applyAlignment="0" applyProtection="0"/>
    <xf numFmtId="0" fontId="98" fillId="0" borderId="0" applyNumberFormat="0" applyFill="0" applyBorder="0" applyAlignment="0" applyProtection="0"/>
    <xf numFmtId="0" fontId="132" fillId="0" borderId="0" applyNumberFormat="0" applyFill="0" applyBorder="0" applyAlignment="0" applyProtection="0"/>
    <xf numFmtId="0" fontId="133" fillId="0" borderId="72" applyNumberFormat="0" applyFill="0" applyAlignment="0" applyProtection="0"/>
    <xf numFmtId="0" fontId="134" fillId="0" borderId="73" applyNumberFormat="0" applyFill="0" applyAlignment="0" applyProtection="0"/>
    <xf numFmtId="0" fontId="135" fillId="0" borderId="74" applyNumberFormat="0" applyFill="0" applyAlignment="0" applyProtection="0"/>
    <xf numFmtId="0" fontId="135" fillId="0" borderId="0" applyNumberFormat="0" applyFill="0" applyBorder="0" applyAlignment="0" applyProtection="0"/>
    <xf numFmtId="0" fontId="136" fillId="38" borderId="0" applyNumberFormat="0" applyBorder="0" applyAlignment="0" applyProtection="0"/>
    <xf numFmtId="0" fontId="137" fillId="39" borderId="0" applyNumberFormat="0" applyBorder="0" applyAlignment="0" applyProtection="0"/>
    <xf numFmtId="0" fontId="138" fillId="40" borderId="0" applyNumberFormat="0" applyBorder="0" applyAlignment="0" applyProtection="0"/>
    <xf numFmtId="0" fontId="139" fillId="41" borderId="75" applyNumberFormat="0" applyAlignment="0" applyProtection="0"/>
    <xf numFmtId="0" fontId="140" fillId="42" borderId="76" applyNumberFormat="0" applyAlignment="0" applyProtection="0"/>
    <xf numFmtId="0" fontId="141" fillId="42" borderId="75" applyNumberFormat="0" applyAlignment="0" applyProtection="0"/>
    <xf numFmtId="0" fontId="142" fillId="0" borderId="77" applyNumberFormat="0" applyFill="0" applyAlignment="0" applyProtection="0"/>
    <xf numFmtId="0" fontId="143" fillId="43" borderId="78" applyNumberFormat="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6" fillId="0" borderId="80" applyNumberFormat="0" applyFill="0" applyAlignment="0" applyProtection="0"/>
    <xf numFmtId="0" fontId="147"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147" fillId="48" borderId="0" applyNumberFormat="0" applyBorder="0" applyAlignment="0" applyProtection="0"/>
    <xf numFmtId="0" fontId="147"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147" fillId="52" borderId="0" applyNumberFormat="0" applyBorder="0" applyAlignment="0" applyProtection="0"/>
    <xf numFmtId="0" fontId="147"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147" fillId="56" borderId="0" applyNumberFormat="0" applyBorder="0" applyAlignment="0" applyProtection="0"/>
    <xf numFmtId="0" fontId="147"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147" fillId="60" borderId="0" applyNumberFormat="0" applyBorder="0" applyAlignment="0" applyProtection="0"/>
    <xf numFmtId="0" fontId="147"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147" fillId="64" borderId="0" applyNumberFormat="0" applyBorder="0" applyAlignment="0" applyProtection="0"/>
    <xf numFmtId="0" fontId="147"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47" fillId="68" borderId="0" applyNumberFormat="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44" borderId="79" applyNumberFormat="0" applyFont="0" applyAlignment="0" applyProtection="0"/>
    <xf numFmtId="0" fontId="4" fillId="0" borderId="0"/>
    <xf numFmtId="9" fontId="8"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44" borderId="79" applyNumberFormat="0" applyFont="0" applyAlignment="0" applyProtection="0"/>
    <xf numFmtId="0" fontId="4" fillId="44" borderId="79" applyNumberFormat="0" applyFont="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46"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58"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9" borderId="0" applyNumberFormat="0" applyBorder="0" applyAlignment="0" applyProtection="0"/>
    <xf numFmtId="0" fontId="3" fillId="63" borderId="0" applyNumberFormat="0" applyBorder="0" applyAlignment="0" applyProtection="0"/>
    <xf numFmtId="0" fontId="3" fillId="67" borderId="0" applyNumberFormat="0" applyBorder="0" applyAlignment="0" applyProtection="0"/>
    <xf numFmtId="0" fontId="3" fillId="44" borderId="79" applyNumberFormat="0" applyFon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44" borderId="79" applyNumberFormat="0" applyFont="0" applyAlignment="0" applyProtection="0"/>
    <xf numFmtId="0" fontId="3" fillId="0" borderId="0"/>
    <xf numFmtId="0" fontId="3" fillId="44" borderId="79" applyNumberFormat="0" applyFont="0" applyAlignment="0" applyProtection="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8"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8" fillId="0" borderId="0"/>
    <xf numFmtId="0" fontId="3" fillId="44" borderId="79"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8" fillId="6" borderId="8" applyNumberFormat="0" applyFont="0" applyAlignment="0" applyProtection="0"/>
    <xf numFmtId="0" fontId="8" fillId="6" borderId="8" applyNumberFormat="0" applyFont="0" applyAlignment="0" applyProtection="0"/>
    <xf numFmtId="0" fontId="3" fillId="0" borderId="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43" fontId="8" fillId="0" borderId="0" applyFont="0" applyFill="0" applyBorder="0" applyAlignment="0" applyProtection="0"/>
    <xf numFmtId="0" fontId="8" fillId="0" borderId="0"/>
    <xf numFmtId="0" fontId="3" fillId="0" borderId="0"/>
    <xf numFmtId="44" fontId="8" fillId="0" borderId="0" applyFont="0" applyFill="0" applyBorder="0" applyAlignment="0" applyProtection="0"/>
    <xf numFmtId="0" fontId="8" fillId="6" borderId="8" applyNumberFormat="0" applyFont="0" applyAlignment="0" applyProtection="0"/>
    <xf numFmtId="43" fontId="8" fillId="0" borderId="0" applyFont="0" applyFill="0" applyBorder="0" applyAlignment="0" applyProtection="0"/>
    <xf numFmtId="44"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43" fontId="8" fillId="0" borderId="0" applyNumberFormat="0" applyFill="0" applyBorder="0" applyAlignment="0" applyProtection="0"/>
    <xf numFmtId="0" fontId="3" fillId="44" borderId="79" applyNumberFormat="0" applyFont="0" applyAlignment="0" applyProtection="0"/>
    <xf numFmtId="0" fontId="3" fillId="0" borderId="0"/>
    <xf numFmtId="0" fontId="3" fillId="0" borderId="0"/>
    <xf numFmtId="0" fontId="8" fillId="6" borderId="8" applyNumberFormat="0" applyFont="0" applyAlignment="0" applyProtection="0"/>
    <xf numFmtId="9"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0" fontId="3" fillId="0" borderId="0"/>
    <xf numFmtId="0" fontId="8" fillId="0" borderId="0"/>
    <xf numFmtId="0" fontId="2" fillId="0" borderId="0"/>
    <xf numFmtId="0" fontId="2" fillId="0" borderId="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6" borderId="0" applyNumberFormat="0" applyBorder="0" applyAlignment="0" applyProtection="0"/>
    <xf numFmtId="0" fontId="2" fillId="50" borderId="0" applyNumberFormat="0" applyBorder="0" applyAlignment="0" applyProtection="0"/>
    <xf numFmtId="0" fontId="2" fillId="54" borderId="0" applyNumberFormat="0" applyBorder="0" applyAlignment="0" applyProtection="0"/>
    <xf numFmtId="0" fontId="2" fillId="58"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2" fillId="67" borderId="0" applyNumberFormat="0" applyBorder="0" applyAlignment="0" applyProtection="0"/>
    <xf numFmtId="0" fontId="2" fillId="44" borderId="79" applyNumberFormat="0" applyFon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1" fillId="0" borderId="0"/>
    <xf numFmtId="0" fontId="1" fillId="0" borderId="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0" fontId="1" fillId="63" borderId="0" applyNumberFormat="0" applyBorder="0" applyAlignment="0" applyProtection="0"/>
    <xf numFmtId="0" fontId="1" fillId="67" borderId="0" applyNumberFormat="0" applyBorder="0" applyAlignment="0" applyProtection="0"/>
    <xf numFmtId="0" fontId="1" fillId="44" borderId="7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64" fillId="71" borderId="82" applyNumberFormat="0" applyAlignment="0" applyProtection="0">
      <alignment horizontal="left" vertical="center" indent="1"/>
    </xf>
    <xf numFmtId="188" fontId="165" fillId="0" borderId="83" applyNumberFormat="0" applyProtection="0">
      <alignment horizontal="right" vertical="center"/>
    </xf>
    <xf numFmtId="43" fontId="8" fillId="0" borderId="0" applyFont="0" applyFill="0" applyBorder="0" applyAlignment="0" applyProtection="0"/>
    <xf numFmtId="41" fontId="8" fillId="0" borderId="0" applyFont="0" applyFill="0" applyBorder="0" applyAlignment="0" applyProtection="0"/>
  </cellStyleXfs>
  <cellXfs count="2029">
    <xf numFmtId="0" fontId="0" fillId="0" borderId="0" xfId="0"/>
    <xf numFmtId="0" fontId="10" fillId="0" borderId="0" xfId="0" applyFont="1"/>
    <xf numFmtId="0" fontId="0" fillId="0" borderId="0" xfId="0" applyFill="1"/>
    <xf numFmtId="0" fontId="10" fillId="0" borderId="0" xfId="0" applyNumberFormat="1" applyFont="1" applyFill="1" applyAlignment="1"/>
    <xf numFmtId="0" fontId="12" fillId="0" borderId="0" xfId="0" applyNumberFormat="1" applyFont="1" applyAlignment="1">
      <alignment horizontal="center"/>
    </xf>
    <xf numFmtId="0" fontId="12" fillId="0" borderId="0" xfId="0" applyFont="1" applyAlignment="1"/>
    <xf numFmtId="0" fontId="10" fillId="0" borderId="12" xfId="0" applyFont="1" applyBorder="1"/>
    <xf numFmtId="173" fontId="10" fillId="0" borderId="0" xfId="633" applyNumberFormat="1" applyFont="1" applyAlignment="1"/>
    <xf numFmtId="0" fontId="10" fillId="0" borderId="12" xfId="0" applyNumberFormat="1" applyFont="1" applyFill="1" applyBorder="1" applyAlignment="1"/>
    <xf numFmtId="0" fontId="10" fillId="0" borderId="13" xfId="0" applyNumberFormat="1" applyFont="1" applyFill="1" applyBorder="1" applyAlignment="1"/>
    <xf numFmtId="0" fontId="10" fillId="0" borderId="13" xfId="0" applyFont="1" applyBorder="1"/>
    <xf numFmtId="0" fontId="10" fillId="0" borderId="0" xfId="0" applyNumberFormat="1" applyFont="1" applyFill="1" applyBorder="1" applyAlignment="1"/>
    <xf numFmtId="0" fontId="12" fillId="0" borderId="0" xfId="0" applyFont="1"/>
    <xf numFmtId="0" fontId="12" fillId="0" borderId="0" xfId="0" applyNumberFormat="1" applyFont="1" applyAlignment="1">
      <alignment horizontal="left"/>
    </xf>
    <xf numFmtId="0" fontId="12" fillId="0" borderId="0" xfId="0" applyFont="1" applyFill="1" applyAlignment="1"/>
    <xf numFmtId="0" fontId="12" fillId="0" borderId="0" xfId="0" applyFont="1" applyFill="1"/>
    <xf numFmtId="0" fontId="12" fillId="0" borderId="12" xfId="0" applyNumberFormat="1" applyFont="1" applyFill="1" applyBorder="1" applyAlignment="1">
      <alignment horizontal="left"/>
    </xf>
    <xf numFmtId="0" fontId="12" fillId="0" borderId="12" xfId="0" applyFont="1" applyFill="1" applyBorder="1" applyAlignment="1"/>
    <xf numFmtId="0" fontId="12" fillId="0" borderId="12" xfId="0" applyFont="1" applyBorder="1"/>
    <xf numFmtId="0" fontId="12" fillId="0" borderId="12" xfId="0" applyFont="1" applyFill="1" applyBorder="1"/>
    <xf numFmtId="0" fontId="12" fillId="0" borderId="12" xfId="0" applyFont="1" applyBorder="1" applyAlignment="1"/>
    <xf numFmtId="0" fontId="12" fillId="0" borderId="0" xfId="0" applyFont="1" applyBorder="1" applyAlignment="1"/>
    <xf numFmtId="0" fontId="12" fillId="0" borderId="0" xfId="0" applyNumberFormat="1" applyFont="1" applyFill="1" applyAlignment="1">
      <alignment horizontal="center"/>
    </xf>
    <xf numFmtId="0" fontId="12" fillId="0" borderId="0" xfId="0" applyNumberFormat="1" applyFont="1" applyBorder="1" applyAlignment="1">
      <alignment horizontal="center"/>
    </xf>
    <xf numFmtId="0" fontId="12" fillId="0" borderId="0" xfId="0" applyNumberFormat="1" applyFont="1" applyBorder="1" applyAlignment="1">
      <alignment horizontal="left"/>
    </xf>
    <xf numFmtId="0" fontId="12" fillId="0" borderId="0" xfId="0" applyFont="1" applyFill="1" applyBorder="1" applyAlignment="1"/>
    <xf numFmtId="0" fontId="12" fillId="0" borderId="0" xfId="0" applyFont="1" applyBorder="1"/>
    <xf numFmtId="0" fontId="10" fillId="0" borderId="0" xfId="0" applyNumberFormat="1" applyFont="1" applyBorder="1" applyAlignment="1"/>
    <xf numFmtId="0" fontId="10" fillId="0" borderId="12" xfId="0" applyNumberFormat="1" applyFont="1" applyBorder="1" applyAlignment="1"/>
    <xf numFmtId="0" fontId="26" fillId="30" borderId="0" xfId="0" applyFont="1" applyFill="1" applyBorder="1" applyAlignment="1"/>
    <xf numFmtId="0" fontId="26" fillId="30" borderId="0" xfId="0" applyFont="1" applyFill="1" applyBorder="1" applyAlignment="1">
      <alignment horizontal="left"/>
    </xf>
    <xf numFmtId="0" fontId="12" fillId="0" borderId="0" xfId="0" applyFont="1" applyAlignment="1">
      <alignment horizontal="center"/>
    </xf>
    <xf numFmtId="0" fontId="12" fillId="0" borderId="14" xfId="0" applyFont="1" applyFill="1" applyBorder="1" applyAlignment="1">
      <alignment horizontal="left"/>
    </xf>
    <xf numFmtId="0" fontId="12" fillId="0" borderId="14" xfId="0" applyNumberFormat="1" applyFont="1" applyBorder="1" applyAlignment="1">
      <alignment horizontal="left"/>
    </xf>
    <xf numFmtId="0" fontId="12" fillId="0" borderId="0" xfId="0" applyFont="1" applyFill="1" applyBorder="1" applyAlignment="1">
      <alignment horizontal="left"/>
    </xf>
    <xf numFmtId="0" fontId="12" fillId="0" borderId="14" xfId="0" applyFont="1" applyBorder="1" applyAlignment="1"/>
    <xf numFmtId="0" fontId="12" fillId="0" borderId="0" xfId="0" applyFont="1" applyFill="1" applyBorder="1"/>
    <xf numFmtId="0" fontId="10" fillId="0" borderId="13" xfId="0" applyFont="1" applyBorder="1" applyAlignment="1"/>
    <xf numFmtId="0" fontId="12" fillId="0" borderId="13" xfId="0" applyFont="1" applyBorder="1"/>
    <xf numFmtId="168" fontId="10" fillId="0" borderId="13" xfId="0" applyNumberFormat="1" applyFont="1" applyBorder="1" applyAlignment="1">
      <alignment horizontal="left"/>
    </xf>
    <xf numFmtId="0" fontId="12" fillId="30" borderId="0" xfId="0" applyFont="1" applyFill="1" applyBorder="1" applyAlignment="1"/>
    <xf numFmtId="0" fontId="12" fillId="30" borderId="0" xfId="0" applyFont="1" applyFill="1" applyBorder="1"/>
    <xf numFmtId="0" fontId="12" fillId="0" borderId="13" xfId="0" applyFont="1" applyFill="1" applyBorder="1" applyAlignment="1"/>
    <xf numFmtId="0" fontId="26" fillId="0" borderId="0" xfId="0" applyFont="1" applyFill="1" applyBorder="1" applyAlignment="1"/>
    <xf numFmtId="0" fontId="12" fillId="30" borderId="0" xfId="0" applyFont="1" applyFill="1" applyAlignment="1"/>
    <xf numFmtId="0" fontId="12" fillId="30" borderId="0" xfId="0" applyFont="1" applyFill="1"/>
    <xf numFmtId="0" fontId="12" fillId="30" borderId="0" xfId="0" applyFont="1" applyFill="1" applyBorder="1" applyAlignment="1">
      <alignment horizontal="center" wrapText="1"/>
    </xf>
    <xf numFmtId="0" fontId="10" fillId="0" borderId="0" xfId="0" applyFont="1" applyBorder="1" applyAlignment="1"/>
    <xf numFmtId="168" fontId="10" fillId="0" borderId="0" xfId="0" applyNumberFormat="1" applyFont="1" applyBorder="1" applyAlignment="1">
      <alignment horizontal="left"/>
    </xf>
    <xf numFmtId="0" fontId="10" fillId="0" borderId="12" xfId="0" applyNumberFormat="1" applyFont="1" applyBorder="1" applyAlignment="1">
      <alignment horizontal="left"/>
    </xf>
    <xf numFmtId="0" fontId="10" fillId="0" borderId="12" xfId="0" applyFont="1" applyFill="1" applyBorder="1" applyAlignment="1"/>
    <xf numFmtId="0" fontId="12" fillId="30" borderId="0" xfId="0" applyNumberFormat="1" applyFont="1" applyFill="1" applyAlignment="1">
      <alignment horizontal="center"/>
    </xf>
    <xf numFmtId="0" fontId="26" fillId="30" borderId="0" xfId="0" applyNumberFormat="1" applyFont="1" applyFill="1" applyAlignment="1">
      <alignment horizontal="left"/>
    </xf>
    <xf numFmtId="0" fontId="11" fillId="0" borderId="0" xfId="0" applyFont="1"/>
    <xf numFmtId="0" fontId="28" fillId="0" borderId="15" xfId="0" applyNumberFormat="1" applyFont="1" applyBorder="1" applyAlignment="1">
      <alignment horizontal="center"/>
    </xf>
    <xf numFmtId="0" fontId="21" fillId="0" borderId="16" xfId="0" applyNumberFormat="1" applyFont="1" applyBorder="1" applyAlignment="1">
      <alignment horizontal="center"/>
    </xf>
    <xf numFmtId="164" fontId="12" fillId="0" borderId="0" xfId="381" applyNumberFormat="1" applyFont="1"/>
    <xf numFmtId="0" fontId="12" fillId="0" borderId="14" xfId="0" applyNumberFormat="1" applyFont="1" applyFill="1" applyBorder="1" applyAlignment="1">
      <alignment horizontal="left"/>
    </xf>
    <xf numFmtId="0" fontId="21" fillId="0" borderId="0" xfId="0" applyNumberFormat="1" applyFont="1" applyBorder="1" applyAlignment="1">
      <alignment horizontal="center"/>
    </xf>
    <xf numFmtId="0" fontId="10" fillId="0" borderId="0" xfId="0" applyNumberFormat="1" applyFont="1" applyBorder="1" applyAlignment="1">
      <alignment horizontal="left"/>
    </xf>
    <xf numFmtId="0" fontId="12" fillId="0" borderId="14" xfId="0" applyNumberFormat="1" applyFont="1" applyBorder="1" applyAlignment="1">
      <alignment horizontal="center"/>
    </xf>
    <xf numFmtId="0" fontId="12" fillId="0" borderId="0"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0" fillId="0" borderId="13" xfId="0" applyFont="1" applyBorder="1" applyAlignment="1">
      <alignment horizontal="center"/>
    </xf>
    <xf numFmtId="0" fontId="12" fillId="0" borderId="14" xfId="0" applyNumberFormat="1" applyFont="1" applyFill="1" applyBorder="1" applyAlignment="1">
      <alignment horizontal="center"/>
    </xf>
    <xf numFmtId="0" fontId="12" fillId="0" borderId="12" xfId="0" applyFont="1" applyFill="1" applyBorder="1" applyAlignment="1">
      <alignment horizontal="center"/>
    </xf>
    <xf numFmtId="0" fontId="12" fillId="0" borderId="14" xfId="0" applyFont="1" applyBorder="1" applyAlignment="1">
      <alignment horizontal="center"/>
    </xf>
    <xf numFmtId="0" fontId="10" fillId="0" borderId="0" xfId="0" applyFont="1" applyBorder="1" applyAlignment="1">
      <alignment horizontal="center"/>
    </xf>
    <xf numFmtId="0" fontId="12" fillId="0" borderId="0" xfId="0" applyNumberFormat="1" applyFont="1" applyFill="1" applyBorder="1" applyAlignment="1">
      <alignment horizontal="center"/>
    </xf>
    <xf numFmtId="3" fontId="10" fillId="0" borderId="12" xfId="0" applyNumberFormat="1" applyFont="1" applyBorder="1" applyAlignment="1">
      <alignment horizontal="center"/>
    </xf>
    <xf numFmtId="0" fontId="14" fillId="0" borderId="0" xfId="0" applyFont="1" applyFill="1" applyBorder="1" applyAlignment="1">
      <alignment horizontal="center"/>
    </xf>
    <xf numFmtId="0" fontId="14" fillId="0" borderId="14" xfId="0" applyFont="1" applyFill="1" applyBorder="1" applyAlignment="1"/>
    <xf numFmtId="0" fontId="14" fillId="0" borderId="14" xfId="0" applyFont="1" applyFill="1" applyBorder="1" applyAlignment="1">
      <alignment horizontal="center"/>
    </xf>
    <xf numFmtId="0" fontId="12" fillId="0" borderId="0" xfId="0" applyFont="1" applyFill="1" applyBorder="1" applyAlignment="1">
      <alignment horizontal="center"/>
    </xf>
    <xf numFmtId="0" fontId="28" fillId="0" borderId="0" xfId="0" applyNumberFormat="1" applyFont="1" applyBorder="1" applyAlignment="1">
      <alignment horizontal="center"/>
    </xf>
    <xf numFmtId="0" fontId="10" fillId="0" borderId="0" xfId="0" applyFont="1" applyFill="1"/>
    <xf numFmtId="0" fontId="10" fillId="0" borderId="0" xfId="0" applyFont="1" applyFill="1" applyBorder="1"/>
    <xf numFmtId="3" fontId="10" fillId="0" borderId="0" xfId="0" applyNumberFormat="1" applyFont="1" applyFill="1" applyBorder="1"/>
    <xf numFmtId="0" fontId="16" fillId="0" borderId="0" xfId="0" applyNumberFormat="1" applyFont="1" applyFill="1" applyBorder="1" applyAlignment="1">
      <alignment horizontal="center"/>
    </xf>
    <xf numFmtId="0" fontId="31" fillId="0" borderId="0" xfId="0" applyFont="1"/>
    <xf numFmtId="0" fontId="0" fillId="0" borderId="0" xfId="0" applyAlignment="1">
      <alignment horizontal="center"/>
    </xf>
    <xf numFmtId="0" fontId="0" fillId="0" borderId="0" xfId="0" applyAlignment="1">
      <alignment horizontal="left" wrapText="1"/>
    </xf>
    <xf numFmtId="0" fontId="0" fillId="0" borderId="0" xfId="0" applyAlignment="1">
      <alignment horizontal="left" vertical="center" wrapText="1"/>
    </xf>
    <xf numFmtId="0" fontId="18" fillId="0" borderId="0" xfId="0" applyFont="1" applyFill="1"/>
    <xf numFmtId="0" fontId="0" fillId="0" borderId="0" xfId="0" applyAlignment="1"/>
    <xf numFmtId="164" fontId="8" fillId="0" borderId="0" xfId="381" applyNumberFormat="1" applyAlignment="1"/>
    <xf numFmtId="0" fontId="31" fillId="0" borderId="0" xfId="0" applyFont="1" applyFill="1" applyAlignment="1">
      <alignment horizontal="center"/>
    </xf>
    <xf numFmtId="0" fontId="35" fillId="0" borderId="0" xfId="0" applyFont="1" applyBorder="1"/>
    <xf numFmtId="0" fontId="31" fillId="0" borderId="0" xfId="0" applyFont="1" applyAlignment="1">
      <alignment horizontal="center"/>
    </xf>
    <xf numFmtId="0" fontId="0" fillId="0" borderId="0" xfId="0" applyAlignment="1">
      <alignment horizontal="right"/>
    </xf>
    <xf numFmtId="0" fontId="31" fillId="0" borderId="0" xfId="0" applyFont="1" applyFill="1" applyAlignment="1">
      <alignment horizontal="right"/>
    </xf>
    <xf numFmtId="0" fontId="17" fillId="0" borderId="0" xfId="0" applyFont="1"/>
    <xf numFmtId="0" fontId="37" fillId="0" borderId="0" xfId="0" applyFont="1" applyAlignment="1">
      <alignment horizontal="center"/>
    </xf>
    <xf numFmtId="0" fontId="30" fillId="0" borderId="0" xfId="0" applyFont="1" applyFill="1" applyBorder="1" applyAlignment="1">
      <alignment horizontal="left"/>
    </xf>
    <xf numFmtId="0" fontId="10" fillId="0" borderId="0" xfId="0" applyFont="1" applyFill="1" applyBorder="1" applyAlignment="1">
      <alignment horizontal="center" wrapText="1"/>
    </xf>
    <xf numFmtId="0" fontId="12" fillId="0" borderId="14" xfId="0" applyFont="1" applyBorder="1"/>
    <xf numFmtId="0" fontId="0" fillId="0" borderId="0" xfId="0" applyBorder="1"/>
    <xf numFmtId="0" fontId="36" fillId="0" borderId="0" xfId="0" applyFont="1" applyFill="1" applyAlignment="1">
      <alignment horizontal="center"/>
    </xf>
    <xf numFmtId="0" fontId="18" fillId="0" borderId="0" xfId="0" applyNumberFormat="1" applyFont="1" applyFill="1" applyBorder="1" applyAlignment="1">
      <alignment horizontal="left"/>
    </xf>
    <xf numFmtId="0" fontId="29" fillId="0" borderId="0" xfId="0" applyNumberFormat="1" applyFont="1" applyFill="1" applyBorder="1" applyAlignment="1">
      <alignment horizontal="center"/>
    </xf>
    <xf numFmtId="0" fontId="26" fillId="30" borderId="0" xfId="0" applyFont="1" applyFill="1" applyBorder="1" applyAlignment="1">
      <alignment horizontal="center"/>
    </xf>
    <xf numFmtId="0" fontId="10" fillId="0" borderId="0" xfId="0" applyNumberFormat="1" applyFont="1" applyFill="1" applyBorder="1" applyAlignment="1">
      <alignment horizontal="left"/>
    </xf>
    <xf numFmtId="0" fontId="0" fillId="0" borderId="0" xfId="0" applyFill="1" applyBorder="1" applyAlignment="1">
      <alignment horizontal="center"/>
    </xf>
    <xf numFmtId="0" fontId="0" fillId="0" borderId="0" xfId="0" applyFill="1" applyBorder="1"/>
    <xf numFmtId="3" fontId="12" fillId="0" borderId="0" xfId="0" applyNumberFormat="1" applyFont="1" applyAlignment="1">
      <alignment horizontal="center"/>
    </xf>
    <xf numFmtId="0" fontId="21" fillId="0" borderId="0" xfId="0" applyFont="1" applyAlignment="1">
      <alignment horizontal="center"/>
    </xf>
    <xf numFmtId="37" fontId="0" fillId="0" borderId="0" xfId="0" applyNumberFormat="1" applyFill="1"/>
    <xf numFmtId="37" fontId="0" fillId="0" borderId="0" xfId="0" applyNumberFormat="1" applyFill="1" applyAlignment="1">
      <alignment horizontal="right" wrapText="1"/>
    </xf>
    <xf numFmtId="0" fontId="11" fillId="0" borderId="0" xfId="0" applyFont="1" applyFill="1"/>
    <xf numFmtId="0" fontId="0" fillId="0" borderId="0" xfId="0" applyAlignment="1">
      <alignment horizontal="left"/>
    </xf>
    <xf numFmtId="0" fontId="43" fillId="0" borderId="0" xfId="0" applyFont="1"/>
    <xf numFmtId="0" fontId="18" fillId="0" borderId="0" xfId="0" applyFont="1" applyFill="1" applyAlignment="1"/>
    <xf numFmtId="0" fontId="18" fillId="0" borderId="0" xfId="0" applyFont="1"/>
    <xf numFmtId="164" fontId="0" fillId="0" borderId="0" xfId="381" applyNumberFormat="1" applyFont="1" applyAlignment="1"/>
    <xf numFmtId="164" fontId="8" fillId="0" borderId="0" xfId="381" applyNumberFormat="1" applyFill="1" applyBorder="1" applyAlignment="1">
      <alignment wrapText="1"/>
    </xf>
    <xf numFmtId="164" fontId="0" fillId="0" borderId="0" xfId="381" applyNumberFormat="1" applyFont="1" applyFill="1" applyAlignment="1"/>
    <xf numFmtId="164" fontId="0" fillId="0" borderId="0" xfId="381" applyNumberFormat="1" applyFont="1" applyFill="1" applyBorder="1" applyAlignment="1"/>
    <xf numFmtId="0" fontId="14" fillId="0" borderId="14" xfId="0" applyFont="1" applyBorder="1" applyAlignment="1">
      <alignment horizontal="center"/>
    </xf>
    <xf numFmtId="0" fontId="31" fillId="0" borderId="0" xfId="0" applyFont="1" applyFill="1"/>
    <xf numFmtId="41" fontId="0" fillId="0" borderId="0" xfId="0" applyNumberFormat="1" applyFill="1" applyBorder="1" applyAlignment="1">
      <alignment horizontal="right"/>
    </xf>
    <xf numFmtId="0" fontId="11" fillId="0" borderId="0" xfId="0" applyFont="1" applyFill="1" applyBorder="1"/>
    <xf numFmtId="0" fontId="0" fillId="0" borderId="0" xfId="0" applyFill="1" applyAlignment="1">
      <alignment horizontal="right"/>
    </xf>
    <xf numFmtId="164" fontId="0" fillId="0" borderId="0" xfId="381" applyNumberFormat="1" applyFont="1" applyFill="1" applyAlignment="1">
      <alignment horizontal="right"/>
    </xf>
    <xf numFmtId="41" fontId="0" fillId="0" borderId="0" xfId="0" applyNumberFormat="1" applyFill="1" applyAlignment="1">
      <alignment horizontal="right"/>
    </xf>
    <xf numFmtId="164" fontId="0" fillId="0" borderId="0" xfId="0" applyNumberFormat="1" applyFill="1"/>
    <xf numFmtId="0" fontId="0" fillId="0" borderId="0" xfId="0" applyFill="1" applyAlignment="1">
      <alignment horizontal="left"/>
    </xf>
    <xf numFmtId="0" fontId="9" fillId="0" borderId="0" xfId="0" applyFont="1" applyFill="1" applyAlignment="1">
      <alignment horizontal="center"/>
    </xf>
    <xf numFmtId="0" fontId="0" fillId="0" borderId="17" xfId="0" applyBorder="1" applyAlignment="1">
      <alignment horizontal="left"/>
    </xf>
    <xf numFmtId="0" fontId="0" fillId="0" borderId="17" xfId="0" applyBorder="1"/>
    <xf numFmtId="37" fontId="0" fillId="0" borderId="17" xfId="0" applyNumberFormat="1" applyFill="1" applyBorder="1"/>
    <xf numFmtId="164" fontId="8" fillId="0" borderId="17" xfId="381" applyNumberFormat="1" applyFill="1" applyBorder="1" applyAlignment="1">
      <alignment horizontal="right"/>
    </xf>
    <xf numFmtId="0" fontId="17" fillId="0" borderId="0" xfId="0" applyFont="1" applyBorder="1"/>
    <xf numFmtId="0" fontId="11" fillId="0" borderId="0" xfId="0" applyFont="1" applyBorder="1"/>
    <xf numFmtId="0" fontId="32" fillId="0" borderId="0" xfId="0" applyFont="1" applyBorder="1" applyAlignment="1">
      <alignment horizontal="center"/>
    </xf>
    <xf numFmtId="0" fontId="0" fillId="0" borderId="0" xfId="0" applyBorder="1" applyAlignment="1"/>
    <xf numFmtId="0" fontId="0" fillId="0" borderId="0" xfId="0" applyBorder="1" applyAlignment="1">
      <alignment horizontal="left"/>
    </xf>
    <xf numFmtId="0" fontId="34" fillId="0" borderId="0" xfId="0" applyFont="1" applyFill="1" applyBorder="1"/>
    <xf numFmtId="0" fontId="0" fillId="0" borderId="0" xfId="0" applyFill="1" applyBorder="1" applyAlignment="1">
      <alignment wrapText="1"/>
    </xf>
    <xf numFmtId="0" fontId="45" fillId="0" borderId="0" xfId="0" applyFont="1" applyBorder="1"/>
    <xf numFmtId="41" fontId="9" fillId="0" borderId="0" xfId="0" applyNumberFormat="1" applyFont="1" applyBorder="1" applyAlignment="1">
      <alignment horizontal="center"/>
    </xf>
    <xf numFmtId="41" fontId="9" fillId="0" borderId="0" xfId="0" applyNumberFormat="1" applyFont="1" applyFill="1" applyBorder="1" applyAlignment="1">
      <alignment horizontal="center"/>
    </xf>
    <xf numFmtId="0" fontId="20" fillId="0" borderId="0" xfId="0" applyFont="1" applyFill="1" applyBorder="1" applyAlignment="1">
      <alignment wrapText="1"/>
    </xf>
    <xf numFmtId="0" fontId="34" fillId="0" borderId="0" xfId="0" applyFont="1" applyFill="1" applyBorder="1" applyAlignment="1">
      <alignment horizontal="left"/>
    </xf>
    <xf numFmtId="0" fontId="0" fillId="0" borderId="12" xfId="0" applyBorder="1"/>
    <xf numFmtId="0" fontId="0" fillId="0" borderId="14" xfId="0" applyBorder="1"/>
    <xf numFmtId="37" fontId="0" fillId="0" borderId="0" xfId="0" applyNumberFormat="1" applyFill="1" applyBorder="1"/>
    <xf numFmtId="0" fontId="0" fillId="0" borderId="14" xfId="0" applyFill="1" applyBorder="1"/>
    <xf numFmtId="37" fontId="0" fillId="0" borderId="0" xfId="0" applyNumberFormat="1" applyFill="1" applyBorder="1" applyAlignment="1">
      <alignment horizontal="center"/>
    </xf>
    <xf numFmtId="0" fontId="0" fillId="0" borderId="0" xfId="0" applyFill="1" applyAlignment="1"/>
    <xf numFmtId="0" fontId="42" fillId="0" borderId="0" xfId="0" applyFont="1" applyFill="1" applyBorder="1"/>
    <xf numFmtId="37" fontId="18" fillId="0" borderId="0" xfId="0" applyNumberFormat="1" applyFont="1" applyFill="1"/>
    <xf numFmtId="0" fontId="17" fillId="0" borderId="0" xfId="0" applyFont="1" applyAlignment="1">
      <alignment horizontal="center"/>
    </xf>
    <xf numFmtId="164" fontId="12" fillId="0" borderId="0" xfId="381" applyNumberFormat="1" applyFont="1" applyFill="1"/>
    <xf numFmtId="0" fontId="38" fillId="0" borderId="0" xfId="0" applyFont="1" applyFill="1" applyBorder="1"/>
    <xf numFmtId="0" fontId="0" fillId="0" borderId="0" xfId="0" applyAlignment="1">
      <alignment vertical="top"/>
    </xf>
    <xf numFmtId="164" fontId="8" fillId="0" borderId="0" xfId="381" applyNumberFormat="1" applyBorder="1"/>
    <xf numFmtId="0" fontId="9" fillId="0" borderId="0" xfId="0" applyFont="1" applyAlignment="1">
      <alignment horizontal="center"/>
    </xf>
    <xf numFmtId="0" fontId="0" fillId="31" borderId="0" xfId="0" applyFill="1"/>
    <xf numFmtId="164" fontId="8" fillId="0" borderId="17" xfId="381" applyNumberFormat="1" applyBorder="1"/>
    <xf numFmtId="0" fontId="0" fillId="0" borderId="17" xfId="0" applyFill="1" applyBorder="1" applyAlignment="1">
      <alignment wrapText="1"/>
    </xf>
    <xf numFmtId="0" fontId="18" fillId="0" borderId="19" xfId="0" applyFont="1" applyFill="1" applyBorder="1"/>
    <xf numFmtId="0" fontId="20" fillId="0" borderId="17" xfId="0" applyFont="1" applyFill="1" applyBorder="1" applyAlignment="1">
      <alignment wrapText="1"/>
    </xf>
    <xf numFmtId="0" fontId="21" fillId="0" borderId="0" xfId="0" applyFont="1" applyBorder="1" applyAlignment="1">
      <alignment horizontal="centerContinuous"/>
    </xf>
    <xf numFmtId="0" fontId="0" fillId="0" borderId="0" xfId="0" applyBorder="1" applyAlignment="1">
      <alignment horizontal="centerContinuous"/>
    </xf>
    <xf numFmtId="0" fontId="0" fillId="0" borderId="0" xfId="0" applyFill="1" applyBorder="1" applyAlignment="1">
      <alignment horizontal="centerContinuous"/>
    </xf>
    <xf numFmtId="0" fontId="0" fillId="0" borderId="0" xfId="0" applyFill="1" applyAlignment="1">
      <alignment vertical="top"/>
    </xf>
    <xf numFmtId="0" fontId="32" fillId="0" borderId="0" xfId="0" applyFont="1" applyFill="1" applyAlignment="1">
      <alignment horizontal="center"/>
    </xf>
    <xf numFmtId="0" fontId="41" fillId="0" borderId="0" xfId="0" applyFont="1" applyAlignment="1"/>
    <xf numFmtId="37" fontId="0" fillId="0" borderId="0" xfId="0" applyNumberFormat="1" applyFill="1" applyBorder="1" applyAlignment="1">
      <alignment wrapText="1"/>
    </xf>
    <xf numFmtId="164" fontId="0" fillId="0" borderId="0" xfId="0" applyNumberFormat="1" applyFill="1" applyBorder="1" applyAlignment="1">
      <alignment wrapText="1"/>
    </xf>
    <xf numFmtId="0" fontId="32" fillId="0" borderId="0" xfId="0" applyFont="1" applyFill="1" applyAlignment="1">
      <alignment horizontal="centerContinuous"/>
    </xf>
    <xf numFmtId="0" fontId="0" fillId="0" borderId="0" xfId="0" applyFill="1" applyAlignment="1">
      <alignment horizontal="centerContinuous"/>
    </xf>
    <xf numFmtId="164" fontId="43" fillId="0" borderId="0" xfId="0" applyNumberFormat="1" applyFont="1" applyFill="1"/>
    <xf numFmtId="0" fontId="0" fillId="0" borderId="0" xfId="0" applyFill="1" applyAlignment="1">
      <alignment horizontal="center"/>
    </xf>
    <xf numFmtId="164" fontId="18" fillId="0" borderId="0" xfId="381" applyNumberFormat="1" applyFont="1" applyFill="1" applyAlignment="1"/>
    <xf numFmtId="0" fontId="8" fillId="0" borderId="0" xfId="0" applyFont="1" applyFill="1"/>
    <xf numFmtId="164" fontId="0" fillId="0" borderId="0" xfId="381" applyNumberFormat="1" applyFont="1" applyFill="1"/>
    <xf numFmtId="0" fontId="8" fillId="0" borderId="0" xfId="0" applyFont="1" applyFill="1" applyAlignment="1">
      <alignment horizontal="right"/>
    </xf>
    <xf numFmtId="0" fontId="0" fillId="0" borderId="0" xfId="0" applyFill="1" applyAlignment="1">
      <alignment horizontal="left" wrapText="1"/>
    </xf>
    <xf numFmtId="0" fontId="9" fillId="0" borderId="0" xfId="0" applyFont="1" applyFill="1"/>
    <xf numFmtId="3" fontId="0" fillId="0" borderId="0" xfId="0" applyNumberFormat="1" applyFill="1" applyAlignment="1">
      <alignment horizontal="left"/>
    </xf>
    <xf numFmtId="164" fontId="8" fillId="0" borderId="0" xfId="381" applyNumberFormat="1" applyFont="1" applyFill="1" applyAlignment="1"/>
    <xf numFmtId="0" fontId="8" fillId="0" borderId="0" xfId="0" applyFont="1"/>
    <xf numFmtId="164" fontId="8" fillId="0" borderId="0" xfId="381" applyNumberFormat="1" applyFont="1"/>
    <xf numFmtId="0" fontId="8" fillId="0" borderId="0" xfId="0" applyFont="1" applyFill="1" applyBorder="1"/>
    <xf numFmtId="0" fontId="32" fillId="0" borderId="0" xfId="0" applyFont="1" applyBorder="1" applyAlignment="1">
      <alignment horizontal="left"/>
    </xf>
    <xf numFmtId="0" fontId="9" fillId="0" borderId="0" xfId="0" applyFont="1" applyFill="1" applyBorder="1" applyAlignment="1">
      <alignment horizontal="left"/>
    </xf>
    <xf numFmtId="37" fontId="10" fillId="0" borderId="0" xfId="0" applyNumberFormat="1" applyFont="1" applyBorder="1" applyAlignment="1">
      <alignment horizontal="right"/>
    </xf>
    <xf numFmtId="0" fontId="18" fillId="0" borderId="0" xfId="465" applyFont="1"/>
    <xf numFmtId="0" fontId="18" fillId="0" borderId="0" xfId="465" applyNumberFormat="1" applyFont="1" applyFill="1" applyBorder="1" applyAlignment="1"/>
    <xf numFmtId="0" fontId="18" fillId="0" borderId="0" xfId="465" applyFont="1" applyBorder="1" applyAlignment="1"/>
    <xf numFmtId="0" fontId="18" fillId="0" borderId="0" xfId="465" applyFont="1" applyFill="1" applyBorder="1" applyAlignment="1">
      <alignment horizontal="center" wrapText="1"/>
    </xf>
    <xf numFmtId="0" fontId="18" fillId="0" borderId="0" xfId="465" applyFont="1" applyBorder="1"/>
    <xf numFmtId="3" fontId="12" fillId="0" borderId="0" xfId="465" applyNumberFormat="1" applyFont="1" applyFill="1" applyBorder="1" applyAlignment="1"/>
    <xf numFmtId="3" fontId="18" fillId="0" borderId="0" xfId="465" applyNumberFormat="1" applyFont="1" applyBorder="1" applyAlignment="1">
      <alignment horizontal="center"/>
    </xf>
    <xf numFmtId="0" fontId="18" fillId="0" borderId="20" xfId="465" applyNumberFormat="1" applyFont="1" applyFill="1" applyBorder="1" applyAlignment="1">
      <alignment horizontal="center"/>
    </xf>
    <xf numFmtId="0" fontId="18" fillId="0" borderId="0" xfId="465" applyNumberFormat="1" applyFont="1" applyBorder="1" applyAlignment="1">
      <alignment horizontal="center"/>
    </xf>
    <xf numFmtId="0" fontId="18" fillId="0" borderId="0" xfId="465" applyNumberFormat="1" applyFont="1" applyFill="1" applyBorder="1" applyAlignment="1">
      <alignment horizontal="left"/>
    </xf>
    <xf numFmtId="0" fontId="18" fillId="0" borderId="21" xfId="465" applyFont="1" applyBorder="1" applyAlignment="1"/>
    <xf numFmtId="0" fontId="18" fillId="0" borderId="14" xfId="465" applyNumberFormat="1" applyFont="1" applyFill="1" applyBorder="1" applyAlignment="1">
      <alignment horizontal="left"/>
    </xf>
    <xf numFmtId="3" fontId="12" fillId="0" borderId="14" xfId="465" applyNumberFormat="1" applyFont="1" applyFill="1" applyBorder="1" applyAlignment="1"/>
    <xf numFmtId="0" fontId="9" fillId="0" borderId="0" xfId="465" applyNumberFormat="1" applyFont="1" applyFill="1" applyBorder="1" applyAlignment="1">
      <alignment horizontal="left"/>
    </xf>
    <xf numFmtId="0" fontId="20" fillId="0" borderId="0" xfId="465" applyNumberFormat="1" applyFont="1" applyFill="1" applyBorder="1" applyAlignment="1">
      <alignment horizontal="center"/>
    </xf>
    <xf numFmtId="0" fontId="18" fillId="0" borderId="21" xfId="465" applyNumberFormat="1" applyFont="1" applyFill="1" applyBorder="1" applyAlignment="1">
      <alignment horizontal="left"/>
    </xf>
    <xf numFmtId="0" fontId="18" fillId="0" borderId="22" xfId="465" applyNumberFormat="1" applyFont="1" applyFill="1" applyBorder="1" applyAlignment="1">
      <alignment horizontal="center"/>
    </xf>
    <xf numFmtId="0" fontId="18" fillId="0" borderId="10" xfId="465" applyNumberFormat="1" applyFont="1" applyBorder="1" applyAlignment="1">
      <alignment horizontal="center"/>
    </xf>
    <xf numFmtId="0" fontId="18" fillId="0" borderId="10" xfId="465" applyNumberFormat="1" applyFont="1" applyFill="1" applyBorder="1" applyAlignment="1">
      <alignment horizontal="left"/>
    </xf>
    <xf numFmtId="0" fontId="18" fillId="0" borderId="23" xfId="465" applyNumberFormat="1" applyFont="1" applyFill="1" applyBorder="1" applyAlignment="1">
      <alignment horizontal="left"/>
    </xf>
    <xf numFmtId="0" fontId="18" fillId="0" borderId="0" xfId="465" applyNumberFormat="1" applyFont="1" applyFill="1" applyBorder="1" applyAlignment="1">
      <alignment horizontal="center"/>
    </xf>
    <xf numFmtId="164" fontId="18" fillId="0" borderId="0" xfId="390" applyNumberFormat="1" applyFont="1" applyFill="1" applyBorder="1" applyAlignment="1">
      <alignment horizontal="right"/>
    </xf>
    <xf numFmtId="0" fontId="18" fillId="0" borderId="0" xfId="465" applyFont="1" applyFill="1" applyBorder="1" applyAlignment="1"/>
    <xf numFmtId="0" fontId="35" fillId="0" borderId="0" xfId="465" applyFont="1"/>
    <xf numFmtId="0" fontId="18" fillId="0" borderId="0" xfId="465"/>
    <xf numFmtId="0" fontId="35" fillId="0" borderId="20" xfId="465" applyNumberFormat="1" applyFont="1" applyFill="1" applyBorder="1" applyAlignment="1">
      <alignment horizontal="center"/>
    </xf>
    <xf numFmtId="0" fontId="35" fillId="0" borderId="0" xfId="465" applyFont="1" applyFill="1" applyBorder="1" applyAlignment="1">
      <alignment horizontal="left"/>
    </xf>
    <xf numFmtId="0" fontId="39" fillId="0" borderId="0" xfId="465" applyNumberFormat="1" applyFont="1" applyFill="1" applyBorder="1" applyAlignment="1">
      <alignment horizontal="left"/>
    </xf>
    <xf numFmtId="0" fontId="35" fillId="0" borderId="0" xfId="465" applyFont="1" applyFill="1" applyBorder="1"/>
    <xf numFmtId="0" fontId="35" fillId="0" borderId="20" xfId="465" applyFont="1" applyFill="1" applyBorder="1" applyAlignment="1">
      <alignment horizontal="center"/>
    </xf>
    <xf numFmtId="0" fontId="35" fillId="0" borderId="0" xfId="465" applyFont="1" applyFill="1" applyBorder="1" applyAlignment="1"/>
    <xf numFmtId="0" fontId="35" fillId="0" borderId="21" xfId="465" applyFont="1" applyFill="1" applyBorder="1" applyAlignment="1"/>
    <xf numFmtId="3" fontId="35" fillId="0" borderId="0" xfId="465" applyNumberFormat="1" applyFont="1" applyFill="1" applyBorder="1" applyAlignment="1">
      <alignment horizontal="center"/>
    </xf>
    <xf numFmtId="0" fontId="35" fillId="0" borderId="0" xfId="465" applyFont="1" applyFill="1" applyBorder="1" applyAlignment="1">
      <alignment horizontal="left" wrapText="1"/>
    </xf>
    <xf numFmtId="0" fontId="29" fillId="0" borderId="0" xfId="465" applyNumberFormat="1" applyFont="1" applyFill="1" applyBorder="1" applyAlignment="1">
      <alignment horizontal="center"/>
    </xf>
    <xf numFmtId="0" fontId="29" fillId="0" borderId="0" xfId="465" applyNumberFormat="1" applyFont="1" applyFill="1" applyBorder="1" applyAlignment="1">
      <alignment horizontal="right"/>
    </xf>
    <xf numFmtId="0" fontId="29" fillId="0" borderId="0" xfId="465" applyNumberFormat="1" applyFont="1" applyFill="1" applyBorder="1" applyAlignment="1">
      <alignment horizontal="left"/>
    </xf>
    <xf numFmtId="0" fontId="29" fillId="0" borderId="0" xfId="465" applyFont="1" applyFill="1" applyBorder="1" applyAlignment="1"/>
    <xf numFmtId="0" fontId="29" fillId="0" borderId="0" xfId="465" applyNumberFormat="1" applyFont="1" applyFill="1" applyBorder="1" applyAlignment="1"/>
    <xf numFmtId="0" fontId="18" fillId="0" borderId="24" xfId="465" applyNumberFormat="1" applyFont="1" applyFill="1" applyBorder="1" applyAlignment="1">
      <alignment horizontal="center"/>
    </xf>
    <xf numFmtId="0" fontId="20" fillId="0" borderId="0" xfId="465" applyFont="1" applyFill="1" applyBorder="1" applyAlignment="1"/>
    <xf numFmtId="0" fontId="9" fillId="0" borderId="0" xfId="465" applyNumberFormat="1" applyFont="1" applyFill="1" applyBorder="1" applyAlignment="1"/>
    <xf numFmtId="0" fontId="18" fillId="0" borderId="21" xfId="465" applyFont="1" applyBorder="1"/>
    <xf numFmtId="3" fontId="18" fillId="0" borderId="0" xfId="465" applyNumberFormat="1" applyFont="1" applyFill="1" applyBorder="1" applyAlignment="1">
      <alignment horizontal="center"/>
    </xf>
    <xf numFmtId="0" fontId="18" fillId="0" borderId="21" xfId="465" applyFont="1" applyFill="1" applyBorder="1" applyAlignment="1"/>
    <xf numFmtId="0" fontId="18" fillId="0" borderId="0" xfId="465" applyFont="1" applyFill="1"/>
    <xf numFmtId="0" fontId="18" fillId="0" borderId="10" xfId="465" applyNumberFormat="1" applyFont="1" applyFill="1" applyBorder="1" applyAlignment="1">
      <alignment horizontal="center"/>
    </xf>
    <xf numFmtId="0" fontId="18" fillId="0" borderId="10" xfId="465" applyFont="1" applyFill="1" applyBorder="1"/>
    <xf numFmtId="3" fontId="18" fillId="0" borderId="23" xfId="465" applyNumberFormat="1" applyFont="1" applyFill="1" applyBorder="1" applyAlignment="1">
      <alignment horizontal="left"/>
    </xf>
    <xf numFmtId="164" fontId="18" fillId="0" borderId="10" xfId="390" applyNumberFormat="1" applyFont="1" applyFill="1" applyBorder="1" applyAlignment="1">
      <alignment horizontal="center"/>
    </xf>
    <xf numFmtId="164" fontId="18" fillId="0" borderId="10" xfId="465" applyNumberFormat="1" applyFont="1" applyFill="1" applyBorder="1" applyAlignment="1">
      <alignment horizontal="center"/>
    </xf>
    <xf numFmtId="0" fontId="18" fillId="0" borderId="0" xfId="465" applyFont="1" applyFill="1" applyBorder="1" applyAlignment="1">
      <alignment horizontal="left"/>
    </xf>
    <xf numFmtId="0" fontId="18" fillId="0" borderId="10" xfId="465" applyNumberFormat="1" applyFont="1" applyFill="1" applyBorder="1" applyAlignment="1">
      <alignment horizontal="right"/>
    </xf>
    <xf numFmtId="0" fontId="18" fillId="0" borderId="0" xfId="465" applyFont="1" applyFill="1" applyBorder="1"/>
    <xf numFmtId="0" fontId="18" fillId="0" borderId="10" xfId="465" applyFont="1" applyFill="1" applyBorder="1" applyAlignment="1"/>
    <xf numFmtId="0" fontId="9" fillId="0" borderId="0" xfId="465" applyFont="1" applyFill="1" applyBorder="1" applyAlignment="1"/>
    <xf numFmtId="0" fontId="9" fillId="0" borderId="0" xfId="465" applyFont="1" applyFill="1" applyBorder="1" applyAlignment="1">
      <alignment horizontal="center"/>
    </xf>
    <xf numFmtId="0" fontId="18" fillId="0" borderId="20" xfId="465" applyFont="1" applyFill="1" applyBorder="1"/>
    <xf numFmtId="164" fontId="18" fillId="0" borderId="0" xfId="465" applyNumberFormat="1" applyFont="1" applyFill="1" applyBorder="1" applyAlignment="1">
      <alignment horizontal="center"/>
    </xf>
    <xf numFmtId="0" fontId="9" fillId="0" borderId="20" xfId="465" applyFont="1" applyFill="1" applyBorder="1" applyAlignment="1"/>
    <xf numFmtId="0" fontId="9" fillId="0" borderId="0" xfId="465" applyNumberFormat="1" applyFont="1" applyFill="1" applyBorder="1" applyAlignment="1">
      <alignment horizontal="center"/>
    </xf>
    <xf numFmtId="0" fontId="18" fillId="0" borderId="0" xfId="465" applyFont="1" applyFill="1" applyBorder="1" applyAlignment="1">
      <alignment horizontal="center"/>
    </xf>
    <xf numFmtId="0" fontId="12" fillId="0" borderId="0" xfId="465" applyFont="1" applyFill="1" applyAlignment="1">
      <alignment horizontal="center"/>
    </xf>
    <xf numFmtId="0" fontId="12" fillId="0" borderId="0" xfId="465" applyFont="1" applyFill="1"/>
    <xf numFmtId="164" fontId="12" fillId="0" borderId="0" xfId="390" applyNumberFormat="1" applyFont="1" applyFill="1"/>
    <xf numFmtId="10" fontId="12" fillId="0" borderId="0" xfId="634" applyNumberFormat="1" applyFont="1" applyFill="1"/>
    <xf numFmtId="0" fontId="12" fillId="30" borderId="0" xfId="465" applyFont="1" applyFill="1"/>
    <xf numFmtId="0" fontId="12" fillId="0" borderId="0" xfId="465" applyFont="1" applyFill="1" applyAlignment="1">
      <alignment horizontal="left"/>
    </xf>
    <xf numFmtId="0" fontId="12" fillId="0" borderId="0" xfId="465" applyFont="1" applyFill="1" applyAlignment="1">
      <alignment wrapText="1"/>
    </xf>
    <xf numFmtId="0" fontId="12" fillId="0" borderId="0" xfId="465" applyNumberFormat="1" applyFont="1" applyFill="1" applyAlignment="1">
      <alignment horizontal="center"/>
    </xf>
    <xf numFmtId="0" fontId="12" fillId="0" borderId="0" xfId="465" applyNumberFormat="1" applyFont="1" applyFill="1" applyBorder="1" applyAlignment="1">
      <alignment horizontal="left"/>
    </xf>
    <xf numFmtId="0" fontId="12" fillId="0" borderId="0" xfId="465" applyFont="1" applyFill="1" applyBorder="1"/>
    <xf numFmtId="3" fontId="12" fillId="0" borderId="0" xfId="465" applyNumberFormat="1" applyFont="1" applyFill="1" applyAlignment="1"/>
    <xf numFmtId="171" fontId="12" fillId="0" borderId="0" xfId="465" applyNumberFormat="1" applyFont="1" applyFill="1" applyAlignment="1"/>
    <xf numFmtId="3" fontId="12" fillId="0" borderId="0" xfId="465" applyNumberFormat="1" applyFont="1" applyFill="1" applyAlignment="1">
      <alignment horizontal="left"/>
    </xf>
    <xf numFmtId="3" fontId="12" fillId="0" borderId="0" xfId="465" applyNumberFormat="1" applyFont="1" applyFill="1" applyAlignment="1">
      <alignment horizontal="center"/>
    </xf>
    <xf numFmtId="0" fontId="14" fillId="0" borderId="0" xfId="465" applyNumberFormat="1" applyFont="1" applyFill="1" applyAlignment="1"/>
    <xf numFmtId="0" fontId="12" fillId="0" borderId="0" xfId="465" applyFont="1" applyFill="1" applyAlignment="1"/>
    <xf numFmtId="3" fontId="12" fillId="0" borderId="0" xfId="465" quotePrefix="1" applyNumberFormat="1" applyFont="1" applyFill="1" applyAlignment="1">
      <alignment horizontal="right"/>
    </xf>
    <xf numFmtId="0" fontId="12" fillId="0" borderId="0" xfId="465" applyFont="1" applyFill="1" applyAlignment="1">
      <alignment horizontal="right"/>
    </xf>
    <xf numFmtId="0" fontId="12" fillId="0" borderId="14" xfId="465" applyNumberFormat="1" applyFont="1" applyFill="1" applyBorder="1" applyAlignment="1">
      <alignment horizontal="center"/>
    </xf>
    <xf numFmtId="0" fontId="12" fillId="0" borderId="14" xfId="465" applyNumberFormat="1" applyFont="1" applyFill="1" applyBorder="1" applyAlignment="1">
      <alignment horizontal="left"/>
    </xf>
    <xf numFmtId="0" fontId="12" fillId="0" borderId="14" xfId="465" applyFont="1" applyFill="1" applyBorder="1"/>
    <xf numFmtId="3" fontId="12" fillId="0" borderId="14" xfId="465" applyNumberFormat="1" applyFont="1" applyFill="1" applyBorder="1" applyAlignment="1">
      <alignment horizontal="right"/>
    </xf>
    <xf numFmtId="166" fontId="12" fillId="0" borderId="14" xfId="465" applyNumberFormat="1" applyFont="1" applyFill="1" applyBorder="1" applyAlignment="1"/>
    <xf numFmtId="0" fontId="10" fillId="0" borderId="0" xfId="465" applyNumberFormat="1" applyFont="1" applyFill="1" applyBorder="1" applyAlignment="1"/>
    <xf numFmtId="3" fontId="10" fillId="0" borderId="0" xfId="465" quotePrefix="1" applyNumberFormat="1" applyFont="1" applyFill="1" applyBorder="1" applyAlignment="1">
      <alignment horizontal="right"/>
    </xf>
    <xf numFmtId="166" fontId="10" fillId="0" borderId="0" xfId="465" applyNumberFormat="1" applyFont="1" applyFill="1" applyAlignment="1"/>
    <xf numFmtId="0" fontId="10" fillId="0" borderId="0" xfId="465" applyNumberFormat="1" applyFont="1" applyFill="1" applyAlignment="1">
      <alignment horizontal="center"/>
    </xf>
    <xf numFmtId="0" fontId="10" fillId="0" borderId="0" xfId="465" applyFont="1" applyFill="1" applyBorder="1" applyAlignment="1">
      <alignment horizontal="center"/>
    </xf>
    <xf numFmtId="3" fontId="10" fillId="0" borderId="0" xfId="465" applyNumberFormat="1" applyFont="1" applyFill="1" applyBorder="1" applyAlignment="1"/>
    <xf numFmtId="168" fontId="10" fillId="0" borderId="13" xfId="465" applyNumberFormat="1" applyFont="1" applyFill="1" applyBorder="1" applyAlignment="1">
      <alignment horizontal="left"/>
    </xf>
    <xf numFmtId="0" fontId="12" fillId="0" borderId="13" xfId="465" applyFont="1" applyFill="1" applyBorder="1"/>
    <xf numFmtId="3" fontId="10" fillId="0" borderId="13" xfId="465" applyNumberFormat="1" applyFont="1" applyFill="1" applyBorder="1" applyAlignment="1"/>
    <xf numFmtId="169" fontId="10" fillId="0" borderId="13" xfId="465" applyNumberFormat="1" applyFont="1" applyFill="1" applyBorder="1" applyAlignment="1">
      <alignment horizontal="center"/>
    </xf>
    <xf numFmtId="0" fontId="12" fillId="0" borderId="0" xfId="465" applyNumberFormat="1" applyFont="1" applyFill="1" applyAlignment="1"/>
    <xf numFmtId="0" fontId="27" fillId="30" borderId="0" xfId="465" applyFont="1" applyFill="1" applyAlignment="1"/>
    <xf numFmtId="0" fontId="24" fillId="30" borderId="0" xfId="465" applyNumberFormat="1" applyFont="1" applyFill="1" applyAlignment="1">
      <alignment horizontal="left"/>
    </xf>
    <xf numFmtId="0" fontId="26" fillId="30" borderId="0" xfId="465" applyFont="1" applyFill="1" applyBorder="1" applyAlignment="1">
      <alignment horizontal="center"/>
    </xf>
    <xf numFmtId="3" fontId="12" fillId="30" borderId="0" xfId="465" applyNumberFormat="1" applyFont="1" applyFill="1" applyBorder="1" applyAlignment="1"/>
    <xf numFmtId="168" fontId="10" fillId="0" borderId="0" xfId="465" applyNumberFormat="1" applyFont="1" applyFill="1" applyBorder="1" applyAlignment="1">
      <alignment horizontal="left"/>
    </xf>
    <xf numFmtId="169" fontId="12" fillId="0" borderId="0" xfId="465" applyNumberFormat="1" applyFont="1" applyFill="1" applyAlignment="1">
      <alignment horizontal="center"/>
    </xf>
    <xf numFmtId="0" fontId="19" fillId="0" borderId="0" xfId="465" applyNumberFormat="1" applyFont="1" applyFill="1"/>
    <xf numFmtId="10" fontId="19" fillId="0" borderId="0" xfId="465" applyNumberFormat="1" applyFont="1" applyFill="1"/>
    <xf numFmtId="0" fontId="14" fillId="0" borderId="0" xfId="465" applyFont="1" applyFill="1" applyBorder="1" applyAlignment="1">
      <alignment horizontal="center"/>
    </xf>
    <xf numFmtId="10" fontId="12" fillId="0" borderId="0" xfId="465" applyNumberFormat="1" applyFont="1" applyFill="1" applyAlignment="1">
      <alignment horizontal="right"/>
    </xf>
    <xf numFmtId="168" fontId="12" fillId="0" borderId="0" xfId="465" applyNumberFormat="1" applyFont="1" applyFill="1" applyAlignment="1">
      <alignment horizontal="center"/>
    </xf>
    <xf numFmtId="168" fontId="12" fillId="0" borderId="0" xfId="465" applyNumberFormat="1" applyFont="1" applyFill="1" applyAlignment="1">
      <alignment horizontal="left"/>
    </xf>
    <xf numFmtId="10" fontId="12" fillId="0" borderId="0" xfId="634" applyNumberFormat="1" applyFont="1" applyFill="1" applyAlignment="1"/>
    <xf numFmtId="0" fontId="12" fillId="0" borderId="0" xfId="465" applyNumberFormat="1" applyFont="1" applyFill="1" applyAlignment="1">
      <alignment horizontal="left"/>
    </xf>
    <xf numFmtId="0" fontId="12" fillId="0" borderId="0" xfId="465" applyNumberFormat="1" applyFont="1" applyFill="1" applyBorder="1" applyAlignment="1">
      <alignment horizontal="center"/>
    </xf>
    <xf numFmtId="0" fontId="23" fillId="0" borderId="14" xfId="465" applyNumberFormat="1" applyFont="1" applyFill="1" applyBorder="1" applyAlignment="1">
      <alignment horizontal="left"/>
    </xf>
    <xf numFmtId="3" fontId="22" fillId="0" borderId="0" xfId="465" applyNumberFormat="1" applyFont="1" applyFill="1" applyBorder="1" applyAlignment="1">
      <alignment horizontal="right"/>
    </xf>
    <xf numFmtId="0" fontId="10" fillId="0" borderId="12" xfId="465" applyNumberFormat="1" applyFont="1" applyFill="1" applyBorder="1" applyAlignment="1">
      <alignment horizontal="left"/>
    </xf>
    <xf numFmtId="0" fontId="38" fillId="0" borderId="12" xfId="465" applyNumberFormat="1" applyFont="1" applyFill="1" applyBorder="1" applyAlignment="1">
      <alignment horizontal="left"/>
    </xf>
    <xf numFmtId="3" fontId="22" fillId="0" borderId="12" xfId="465" applyNumberFormat="1" applyFont="1" applyFill="1" applyBorder="1" applyAlignment="1">
      <alignment horizontal="right"/>
    </xf>
    <xf numFmtId="3" fontId="24" fillId="0" borderId="12" xfId="465" applyNumberFormat="1" applyFont="1" applyFill="1" applyBorder="1" applyAlignment="1">
      <alignment horizontal="right"/>
    </xf>
    <xf numFmtId="0" fontId="10" fillId="0" borderId="0" xfId="465" applyNumberFormat="1" applyFont="1" applyFill="1" applyBorder="1" applyAlignment="1">
      <alignment horizontal="left"/>
    </xf>
    <xf numFmtId="0" fontId="10" fillId="0" borderId="0" xfId="465" applyFont="1" applyFill="1"/>
    <xf numFmtId="164" fontId="10" fillId="0" borderId="0" xfId="390" applyNumberFormat="1" applyFont="1" applyFill="1" applyAlignment="1"/>
    <xf numFmtId="0" fontId="18" fillId="0" borderId="0" xfId="465" applyFill="1"/>
    <xf numFmtId="3" fontId="23" fillId="0" borderId="0" xfId="465" applyNumberFormat="1" applyFont="1" applyFill="1" applyBorder="1" applyAlignment="1">
      <alignment horizontal="right"/>
    </xf>
    <xf numFmtId="0" fontId="10" fillId="0" borderId="13" xfId="465" applyFont="1" applyFill="1" applyBorder="1" applyAlignment="1">
      <alignment horizontal="center"/>
    </xf>
    <xf numFmtId="169" fontId="10" fillId="0" borderId="13" xfId="465" applyNumberFormat="1" applyFont="1" applyFill="1" applyBorder="1" applyAlignment="1"/>
    <xf numFmtId="164" fontId="10" fillId="0" borderId="13" xfId="390" applyNumberFormat="1" applyFont="1" applyFill="1" applyBorder="1" applyAlignment="1">
      <alignment horizontal="right"/>
    </xf>
    <xf numFmtId="3" fontId="12" fillId="0" borderId="0" xfId="465" applyNumberFormat="1" applyFont="1" applyFill="1" applyAlignment="1">
      <alignment horizontal="right"/>
    </xf>
    <xf numFmtId="169" fontId="12" fillId="0" borderId="0" xfId="465" applyNumberFormat="1" applyFont="1" applyFill="1" applyAlignment="1"/>
    <xf numFmtId="0" fontId="18" fillId="0" borderId="0" xfId="465" applyFill="1" applyBorder="1"/>
    <xf numFmtId="164" fontId="19" fillId="0" borderId="0" xfId="381" applyNumberFormat="1" applyFont="1" applyFill="1"/>
    <xf numFmtId="173" fontId="19" fillId="0" borderId="0" xfId="633" applyNumberFormat="1" applyFont="1" applyFill="1"/>
    <xf numFmtId="172" fontId="12" fillId="0" borderId="0" xfId="381" applyNumberFormat="1" applyFont="1" applyFill="1" applyAlignment="1"/>
    <xf numFmtId="176" fontId="12" fillId="0" borderId="0" xfId="381" applyNumberFormat="1" applyFont="1" applyFill="1" applyAlignment="1"/>
    <xf numFmtId="0" fontId="18" fillId="0" borderId="20" xfId="465" applyFont="1" applyBorder="1" applyAlignment="1"/>
    <xf numFmtId="0" fontId="12" fillId="0" borderId="14" xfId="0" applyNumberFormat="1" applyFont="1" applyBorder="1" applyAlignment="1"/>
    <xf numFmtId="173" fontId="0" fillId="0" borderId="0" xfId="0" applyNumberFormat="1" applyBorder="1"/>
    <xf numFmtId="43" fontId="0" fillId="0" borderId="0" xfId="381" applyFont="1" applyBorder="1"/>
    <xf numFmtId="43" fontId="0" fillId="0" borderId="0" xfId="0" applyNumberFormat="1" applyBorder="1"/>
    <xf numFmtId="3" fontId="12" fillId="0" borderId="0" xfId="0" applyNumberFormat="1" applyFont="1" applyBorder="1" applyAlignment="1"/>
    <xf numFmtId="164" fontId="10" fillId="0" borderId="0" xfId="381" applyNumberFormat="1" applyFont="1" applyFill="1" applyBorder="1" applyAlignment="1"/>
    <xf numFmtId="3" fontId="12" fillId="0" borderId="0" xfId="0" applyNumberFormat="1" applyFont="1" applyFill="1" applyBorder="1" applyAlignment="1"/>
    <xf numFmtId="10" fontId="12" fillId="0" borderId="0" xfId="465" applyNumberFormat="1" applyFont="1" applyFill="1" applyAlignment="1"/>
    <xf numFmtId="0" fontId="18" fillId="0" borderId="22" xfId="465" applyFont="1" applyFill="1" applyBorder="1"/>
    <xf numFmtId="0" fontId="9" fillId="0" borderId="20" xfId="465" applyNumberFormat="1" applyFont="1" applyFill="1" applyBorder="1" applyAlignment="1">
      <alignment horizontal="center"/>
    </xf>
    <xf numFmtId="0" fontId="40" fillId="30" borderId="0" xfId="465" applyFont="1" applyFill="1"/>
    <xf numFmtId="0" fontId="26" fillId="30" borderId="0" xfId="465" applyNumberFormat="1" applyFont="1" applyFill="1" applyAlignment="1">
      <alignment horizontal="left"/>
    </xf>
    <xf numFmtId="164" fontId="18" fillId="0" borderId="0" xfId="465" applyNumberFormat="1" applyFont="1" applyFill="1" applyBorder="1" applyAlignment="1"/>
    <xf numFmtId="164" fontId="9" fillId="0" borderId="0" xfId="390" applyNumberFormat="1" applyFont="1" applyFill="1" applyBorder="1"/>
    <xf numFmtId="0" fontId="51" fillId="0" borderId="20" xfId="0" applyFont="1" applyFill="1" applyBorder="1"/>
    <xf numFmtId="164" fontId="51" fillId="0" borderId="0" xfId="381" applyNumberFormat="1" applyFont="1" applyFill="1" applyBorder="1"/>
    <xf numFmtId="0" fontId="51" fillId="0" borderId="21" xfId="0" applyFont="1" applyFill="1" applyBorder="1"/>
    <xf numFmtId="0" fontId="52" fillId="0" borderId="0" xfId="465" applyFont="1"/>
    <xf numFmtId="0" fontId="52" fillId="0" borderId="0" xfId="465" applyFont="1" applyBorder="1"/>
    <xf numFmtId="0" fontId="55" fillId="0" borderId="0" xfId="0" applyFont="1"/>
    <xf numFmtId="0" fontId="53" fillId="0" borderId="0" xfId="0" applyFont="1" applyBorder="1"/>
    <xf numFmtId="0" fontId="54" fillId="0" borderId="0" xfId="0" applyFont="1" applyBorder="1"/>
    <xf numFmtId="0" fontId="52" fillId="0" borderId="0" xfId="465" applyFont="1" applyFill="1" applyBorder="1" applyAlignment="1">
      <alignment horizontal="center" wrapText="1"/>
    </xf>
    <xf numFmtId="0" fontId="52" fillId="0" borderId="22" xfId="465" applyNumberFormat="1" applyFont="1" applyFill="1" applyBorder="1" applyAlignment="1">
      <alignment horizontal="center"/>
    </xf>
    <xf numFmtId="0" fontId="52" fillId="0" borderId="10" xfId="465" applyNumberFormat="1" applyFont="1" applyFill="1" applyBorder="1" applyAlignment="1">
      <alignment horizontal="left"/>
    </xf>
    <xf numFmtId="0" fontId="52" fillId="0" borderId="10" xfId="465" applyFont="1" applyBorder="1" applyAlignment="1">
      <alignment horizontal="center"/>
    </xf>
    <xf numFmtId="0" fontId="18" fillId="0" borderId="21" xfId="465" applyFont="1" applyFill="1" applyBorder="1" applyAlignment="1">
      <alignment horizontal="left" wrapText="1"/>
    </xf>
    <xf numFmtId="0" fontId="18" fillId="0" borderId="20" xfId="465" applyFont="1" applyFill="1" applyBorder="1" applyAlignment="1">
      <alignment horizontal="center"/>
    </xf>
    <xf numFmtId="164" fontId="18" fillId="0" borderId="21" xfId="390" applyNumberFormat="1" applyFont="1" applyFill="1" applyBorder="1" applyAlignment="1">
      <alignment horizontal="right"/>
    </xf>
    <xf numFmtId="0" fontId="18" fillId="0" borderId="23" xfId="465" applyNumberFormat="1" applyFont="1" applyFill="1" applyBorder="1" applyAlignment="1">
      <alignment horizontal="center"/>
    </xf>
    <xf numFmtId="0" fontId="18" fillId="0" borderId="25" xfId="465" applyNumberFormat="1" applyFont="1" applyFill="1" applyBorder="1" applyAlignment="1">
      <alignment horizontal="center"/>
    </xf>
    <xf numFmtId="0" fontId="9" fillId="0" borderId="24" xfId="465" applyNumberFormat="1" applyFont="1" applyFill="1" applyBorder="1" applyAlignment="1">
      <alignment horizontal="left"/>
    </xf>
    <xf numFmtId="0" fontId="18" fillId="0" borderId="24" xfId="465" applyFont="1" applyFill="1" applyBorder="1" applyAlignment="1"/>
    <xf numFmtId="0" fontId="18" fillId="0" borderId="24" xfId="465" applyNumberFormat="1" applyFont="1" applyFill="1" applyBorder="1" applyAlignment="1">
      <alignment horizontal="left"/>
    </xf>
    <xf numFmtId="0" fontId="9" fillId="0" borderId="20" xfId="465" applyFont="1" applyFill="1" applyBorder="1" applyAlignment="1">
      <alignment horizontal="center"/>
    </xf>
    <xf numFmtId="0" fontId="18" fillId="0" borderId="23" xfId="465" applyFont="1" applyFill="1" applyBorder="1" applyAlignment="1">
      <alignment horizontal="left" wrapText="1"/>
    </xf>
    <xf numFmtId="0" fontId="39" fillId="0" borderId="0" xfId="465" applyNumberFormat="1" applyFont="1" applyFill="1" applyBorder="1" applyAlignment="1"/>
    <xf numFmtId="0" fontId="35" fillId="0" borderId="0" xfId="465" applyNumberFormat="1" applyFont="1" applyFill="1" applyBorder="1" applyAlignment="1">
      <alignment horizontal="left"/>
    </xf>
    <xf numFmtId="0" fontId="35" fillId="0" borderId="0" xfId="465" applyNumberFormat="1" applyFont="1" applyFill="1" applyBorder="1" applyAlignment="1">
      <alignment horizontal="center"/>
    </xf>
    <xf numFmtId="0" fontId="35" fillId="0" borderId="21" xfId="465" applyNumberFormat="1" applyFont="1" applyFill="1" applyBorder="1" applyAlignment="1">
      <alignment horizontal="center"/>
    </xf>
    <xf numFmtId="0" fontId="35" fillId="0" borderId="0" xfId="465" applyFont="1" applyFill="1" applyBorder="1" applyAlignment="1">
      <alignment horizontal="center"/>
    </xf>
    <xf numFmtId="3" fontId="35" fillId="0" borderId="21" xfId="465" applyNumberFormat="1" applyFont="1" applyFill="1" applyBorder="1" applyAlignment="1"/>
    <xf numFmtId="0" fontId="35" fillId="0" borderId="10" xfId="465" applyFont="1" applyFill="1" applyBorder="1" applyAlignment="1"/>
    <xf numFmtId="0" fontId="9" fillId="0" borderId="0" xfId="465" applyFont="1" applyFill="1" applyBorder="1" applyAlignment="1">
      <alignment horizontal="left"/>
    </xf>
    <xf numFmtId="0" fontId="18" fillId="0" borderId="0" xfId="465" applyFont="1" applyAlignment="1">
      <alignment horizontal="left"/>
    </xf>
    <xf numFmtId="1" fontId="18" fillId="0" borderId="14" xfId="465" applyNumberFormat="1" applyFont="1" applyFill="1" applyBorder="1" applyAlignment="1">
      <alignment horizontal="center"/>
    </xf>
    <xf numFmtId="3" fontId="18" fillId="0" borderId="0" xfId="465" applyNumberFormat="1" applyFont="1" applyFill="1" applyBorder="1" applyAlignment="1"/>
    <xf numFmtId="0" fontId="44" fillId="0" borderId="0" xfId="465" applyNumberFormat="1" applyFont="1" applyFill="1" applyBorder="1" applyAlignment="1">
      <alignment horizontal="left"/>
    </xf>
    <xf numFmtId="3" fontId="18" fillId="0" borderId="0" xfId="465" applyNumberFormat="1" applyFont="1" applyBorder="1" applyAlignment="1">
      <alignment horizontal="right"/>
    </xf>
    <xf numFmtId="0" fontId="18" fillId="0" borderId="10" xfId="465" applyFont="1" applyBorder="1" applyAlignment="1"/>
    <xf numFmtId="0" fontId="29" fillId="0" borderId="0" xfId="0" applyNumberFormat="1" applyFont="1" applyFill="1" applyBorder="1" applyAlignment="1">
      <alignment horizontal="left"/>
    </xf>
    <xf numFmtId="0" fontId="29" fillId="0" borderId="0" xfId="0" applyFont="1" applyFill="1" applyBorder="1" applyAlignment="1">
      <alignment horizontal="left"/>
    </xf>
    <xf numFmtId="164" fontId="9" fillId="0" borderId="0" xfId="381" applyNumberFormat="1" applyFont="1" applyBorder="1"/>
    <xf numFmtId="164" fontId="9" fillId="0" borderId="10" xfId="381" applyNumberFormat="1" applyFont="1" applyFill="1" applyBorder="1"/>
    <xf numFmtId="0" fontId="10" fillId="0" borderId="0" xfId="0" applyFont="1" applyFill="1" applyBorder="1" applyAlignment="1"/>
    <xf numFmtId="0" fontId="10" fillId="0" borderId="0" xfId="0" applyNumberFormat="1" applyFont="1" applyFill="1" applyBorder="1" applyAlignment="1">
      <alignment horizontal="center"/>
    </xf>
    <xf numFmtId="0" fontId="10" fillId="30" borderId="0" xfId="0" applyNumberFormat="1" applyFont="1" applyFill="1" applyBorder="1" applyAlignment="1">
      <alignment horizontal="center"/>
    </xf>
    <xf numFmtId="3" fontId="12" fillId="0" borderId="13" xfId="0" applyNumberFormat="1" applyFont="1" applyFill="1" applyBorder="1" applyAlignment="1">
      <alignment horizontal="center"/>
    </xf>
    <xf numFmtId="3" fontId="12" fillId="0" borderId="12" xfId="0" applyNumberFormat="1" applyFont="1" applyFill="1" applyBorder="1" applyAlignment="1"/>
    <xf numFmtId="0" fontId="12" fillId="0" borderId="0" xfId="0" applyNumberFormat="1" applyFont="1" applyBorder="1" applyAlignment="1"/>
    <xf numFmtId="3" fontId="12" fillId="0" borderId="0" xfId="0" applyNumberFormat="1" applyFont="1" applyBorder="1" applyAlignment="1">
      <alignment horizontal="center"/>
    </xf>
    <xf numFmtId="0" fontId="10" fillId="0" borderId="12" xfId="0" applyNumberFormat="1" applyFont="1" applyFill="1" applyBorder="1" applyAlignment="1">
      <alignment horizontal="left"/>
    </xf>
    <xf numFmtId="0" fontId="10" fillId="0" borderId="12" xfId="0" applyFont="1" applyFill="1" applyBorder="1"/>
    <xf numFmtId="0" fontId="10" fillId="0" borderId="12" xfId="0" applyFont="1" applyFill="1" applyBorder="1" applyAlignment="1">
      <alignment horizontal="left"/>
    </xf>
    <xf numFmtId="0" fontId="10" fillId="0" borderId="12" xfId="0" applyFont="1" applyFill="1" applyBorder="1" applyAlignment="1">
      <alignment horizontal="center"/>
    </xf>
    <xf numFmtId="0" fontId="10" fillId="0" borderId="0" xfId="0" applyFont="1" applyBorder="1" applyAlignment="1">
      <alignment horizontal="left"/>
    </xf>
    <xf numFmtId="3" fontId="12" fillId="0" borderId="12" xfId="0" applyNumberFormat="1" applyFont="1" applyFill="1" applyBorder="1" applyAlignment="1">
      <alignment horizontal="center"/>
    </xf>
    <xf numFmtId="3" fontId="12" fillId="0" borderId="13" xfId="0" applyNumberFormat="1" applyFont="1" applyBorder="1" applyAlignment="1">
      <alignment horizontal="center"/>
    </xf>
    <xf numFmtId="0" fontId="12" fillId="0" borderId="0" xfId="0" applyNumberFormat="1" applyFont="1" applyFill="1" applyBorder="1" applyAlignment="1">
      <alignment horizontal="left"/>
    </xf>
    <xf numFmtId="0" fontId="10" fillId="0" borderId="13" xfId="0" applyNumberFormat="1" applyFont="1" applyBorder="1" applyAlignment="1">
      <alignment horizontal="left"/>
    </xf>
    <xf numFmtId="0" fontId="10" fillId="0" borderId="13" xfId="0" applyNumberFormat="1" applyFont="1" applyBorder="1" applyAlignment="1">
      <alignment horizontal="center"/>
    </xf>
    <xf numFmtId="0" fontId="12" fillId="0" borderId="0" xfId="0" applyNumberFormat="1" applyFont="1" applyFill="1" applyBorder="1" applyAlignment="1"/>
    <xf numFmtId="168" fontId="12" fillId="0" borderId="0" xfId="0" applyNumberFormat="1" applyFont="1" applyBorder="1" applyAlignment="1">
      <alignment horizontal="left"/>
    </xf>
    <xf numFmtId="0" fontId="21" fillId="0" borderId="15" xfId="0" applyNumberFormat="1" applyFont="1" applyFill="1" applyBorder="1" applyAlignment="1"/>
    <xf numFmtId="0" fontId="21" fillId="0" borderId="15" xfId="0" applyFont="1" applyFill="1" applyBorder="1" applyAlignment="1"/>
    <xf numFmtId="3" fontId="21" fillId="0" borderId="15" xfId="0" applyNumberFormat="1" applyFont="1" applyBorder="1" applyAlignment="1">
      <alignment horizontal="center"/>
    </xf>
    <xf numFmtId="0" fontId="21" fillId="0" borderId="0" xfId="0" applyNumberFormat="1" applyFont="1" applyFill="1" applyBorder="1" applyAlignment="1"/>
    <xf numFmtId="0" fontId="21" fillId="0" borderId="0" xfId="0" applyFont="1" applyFill="1" applyBorder="1" applyAlignment="1"/>
    <xf numFmtId="3" fontId="21" fillId="0" borderId="0" xfId="0" applyNumberFormat="1" applyFont="1" applyBorder="1" applyAlignment="1">
      <alignment horizontal="center"/>
    </xf>
    <xf numFmtId="3" fontId="12" fillId="0" borderId="0" xfId="0" applyNumberFormat="1" applyFont="1" applyFill="1" applyBorder="1"/>
    <xf numFmtId="0" fontId="12" fillId="0" borderId="14" xfId="0" applyNumberFormat="1" applyFont="1" applyFill="1" applyBorder="1" applyAlignment="1"/>
    <xf numFmtId="0" fontId="21" fillId="0" borderId="14" xfId="0" applyFont="1" applyFill="1" applyBorder="1" applyAlignment="1"/>
    <xf numFmtId="10" fontId="12" fillId="0" borderId="0" xfId="633" applyNumberFormat="1" applyFont="1" applyFill="1" applyBorder="1"/>
    <xf numFmtId="0" fontId="15" fillId="0" borderId="0" xfId="0" applyFont="1" applyFill="1" applyBorder="1" applyAlignment="1">
      <alignment horizontal="center"/>
    </xf>
    <xf numFmtId="37" fontId="12" fillId="0" borderId="0" xfId="0" applyNumberFormat="1" applyFont="1" applyBorder="1" applyAlignment="1">
      <alignment horizontal="left"/>
    </xf>
    <xf numFmtId="0" fontId="15" fillId="0" borderId="0" xfId="0" applyFont="1" applyBorder="1" applyAlignment="1">
      <alignment horizontal="center"/>
    </xf>
    <xf numFmtId="0" fontId="10" fillId="0" borderId="0" xfId="0" applyNumberFormat="1" applyFont="1" applyBorder="1" applyAlignment="1">
      <alignment horizontal="center"/>
    </xf>
    <xf numFmtId="37" fontId="12" fillId="0" borderId="0" xfId="0" applyNumberFormat="1" applyFont="1" applyFill="1" applyBorder="1" applyAlignment="1">
      <alignment horizontal="left"/>
    </xf>
    <xf numFmtId="3" fontId="12" fillId="30" borderId="0" xfId="0" applyNumberFormat="1" applyFont="1" applyFill="1" applyAlignment="1">
      <alignment horizontal="center"/>
    </xf>
    <xf numFmtId="49" fontId="61" fillId="0" borderId="0" xfId="0" applyNumberFormat="1" applyFont="1" applyFill="1" applyBorder="1" applyAlignment="1">
      <alignment horizontal="left"/>
    </xf>
    <xf numFmtId="0" fontId="8" fillId="0" borderId="0" xfId="465" applyFont="1" applyFill="1"/>
    <xf numFmtId="0" fontId="8" fillId="0" borderId="0" xfId="465" applyFont="1"/>
    <xf numFmtId="0" fontId="9" fillId="0" borderId="0" xfId="465" applyFont="1" applyFill="1" applyBorder="1" applyAlignment="1">
      <alignment horizontal="center" wrapText="1"/>
    </xf>
    <xf numFmtId="0" fontId="51" fillId="0" borderId="0" xfId="0" applyFont="1" applyFill="1" applyBorder="1"/>
    <xf numFmtId="164" fontId="18" fillId="0" borderId="22" xfId="390" applyNumberFormat="1" applyFont="1" applyFill="1" applyBorder="1" applyAlignment="1">
      <alignment horizontal="center"/>
    </xf>
    <xf numFmtId="164" fontId="9" fillId="0" borderId="24" xfId="381" applyNumberFormat="1" applyFont="1" applyFill="1" applyBorder="1"/>
    <xf numFmtId="0" fontId="8" fillId="0" borderId="0" xfId="467" applyFont="1"/>
    <xf numFmtId="0" fontId="8" fillId="0" borderId="0" xfId="467"/>
    <xf numFmtId="0" fontId="8" fillId="0" borderId="0" xfId="467" applyAlignment="1">
      <alignment horizontal="center"/>
    </xf>
    <xf numFmtId="0" fontId="8" fillId="0" borderId="0" xfId="467" applyAlignment="1">
      <alignment horizontal="centerContinuous"/>
    </xf>
    <xf numFmtId="164" fontId="8" fillId="0" borderId="0" xfId="381" applyNumberFormat="1" applyFont="1" applyBorder="1" applyAlignment="1"/>
    <xf numFmtId="164" fontId="8" fillId="0" borderId="0" xfId="381" applyNumberFormat="1" applyFont="1" applyFill="1" applyBorder="1" applyAlignment="1">
      <alignment horizontal="center" wrapText="1"/>
    </xf>
    <xf numFmtId="0" fontId="12" fillId="0" borderId="27" xfId="0" applyFont="1" applyBorder="1"/>
    <xf numFmtId="164" fontId="12" fillId="0" borderId="0" xfId="381" applyNumberFormat="1" applyFont="1" applyBorder="1"/>
    <xf numFmtId="164" fontId="12" fillId="0" borderId="0" xfId="381" applyNumberFormat="1" applyFont="1" applyFill="1" applyBorder="1"/>
    <xf numFmtId="49" fontId="29" fillId="0" borderId="0" xfId="0" applyNumberFormat="1" applyFont="1" applyFill="1" applyBorder="1" applyAlignment="1">
      <alignment horizontal="left"/>
    </xf>
    <xf numFmtId="164" fontId="0" fillId="0" borderId="0" xfId="381" applyNumberFormat="1" applyFont="1"/>
    <xf numFmtId="0" fontId="0" fillId="0" borderId="20" xfId="0" applyBorder="1"/>
    <xf numFmtId="0" fontId="0" fillId="0" borderId="21" xfId="0" applyBorder="1"/>
    <xf numFmtId="164" fontId="18" fillId="0" borderId="28" xfId="390" applyNumberFormat="1" applyFont="1" applyFill="1" applyBorder="1" applyAlignment="1">
      <alignment horizontal="right"/>
    </xf>
    <xf numFmtId="3" fontId="35" fillId="0" borderId="0" xfId="465" applyNumberFormat="1" applyFont="1" applyFill="1" applyBorder="1" applyAlignment="1"/>
    <xf numFmtId="3" fontId="18" fillId="0" borderId="10" xfId="465" applyNumberFormat="1" applyFont="1" applyFill="1" applyBorder="1" applyAlignment="1">
      <alignment horizontal="left"/>
    </xf>
    <xf numFmtId="0" fontId="12" fillId="0" borderId="12" xfId="0" applyNumberFormat="1" applyFont="1" applyFill="1" applyBorder="1" applyAlignment="1"/>
    <xf numFmtId="164" fontId="12" fillId="30" borderId="0" xfId="381" applyNumberFormat="1" applyFont="1" applyFill="1"/>
    <xf numFmtId="164" fontId="52" fillId="0" borderId="0" xfId="465" applyNumberFormat="1" applyFont="1" applyBorder="1" applyAlignment="1">
      <alignment horizontal="center"/>
    </xf>
    <xf numFmtId="0" fontId="30" fillId="0" borderId="0" xfId="0" applyFont="1" applyAlignment="1">
      <alignment horizontal="left"/>
    </xf>
    <xf numFmtId="0" fontId="14" fillId="0" borderId="14" xfId="0" applyFont="1" applyBorder="1" applyAlignment="1">
      <alignment horizontal="right"/>
    </xf>
    <xf numFmtId="3" fontId="59" fillId="0" borderId="13" xfId="0" applyNumberFormat="1" applyFont="1" applyBorder="1" applyAlignment="1">
      <alignment horizontal="right"/>
    </xf>
    <xf numFmtId="0" fontId="12" fillId="0" borderId="14" xfId="0" applyFont="1" applyFill="1" applyBorder="1"/>
    <xf numFmtId="0" fontId="12" fillId="0" borderId="14" xfId="0" applyFont="1" applyFill="1" applyBorder="1" applyAlignment="1"/>
    <xf numFmtId="0" fontId="0" fillId="30" borderId="0" xfId="0" applyFill="1"/>
    <xf numFmtId="0" fontId="10" fillId="0" borderId="0" xfId="0" applyFont="1" applyBorder="1"/>
    <xf numFmtId="3" fontId="12" fillId="0" borderId="14" xfId="473" applyNumberFormat="1" applyFont="1" applyFill="1" applyBorder="1" applyAlignment="1"/>
    <xf numFmtId="164" fontId="0" fillId="0" borderId="0" xfId="0" applyNumberFormat="1"/>
    <xf numFmtId="0" fontId="51" fillId="0" borderId="0" xfId="0" applyFont="1" applyFill="1"/>
    <xf numFmtId="164" fontId="18" fillId="0" borderId="12" xfId="381" applyNumberFormat="1" applyFont="1" applyFill="1" applyBorder="1" applyAlignment="1">
      <alignment wrapText="1"/>
    </xf>
    <xf numFmtId="167" fontId="0" fillId="0" borderId="0" xfId="0" applyNumberFormat="1" applyFill="1"/>
    <xf numFmtId="164" fontId="8" fillId="0" borderId="0" xfId="381" applyNumberFormat="1" applyFill="1" applyAlignment="1"/>
    <xf numFmtId="164" fontId="8" fillId="0" borderId="0" xfId="381" applyNumberFormat="1" applyFill="1" applyAlignment="1">
      <alignment wrapText="1"/>
    </xf>
    <xf numFmtId="0" fontId="51" fillId="0" borderId="14" xfId="0" applyFont="1" applyFill="1" applyBorder="1"/>
    <xf numFmtId="164" fontId="8" fillId="0" borderId="0" xfId="465" applyNumberFormat="1" applyFont="1" applyFill="1" applyBorder="1" applyAlignment="1">
      <alignment horizontal="center" wrapText="1"/>
    </xf>
    <xf numFmtId="168" fontId="8" fillId="0" borderId="0" xfId="633" applyNumberFormat="1" applyFont="1" applyFill="1" applyBorder="1" applyAlignment="1">
      <alignment horizontal="center" wrapText="1"/>
    </xf>
    <xf numFmtId="3" fontId="18" fillId="0" borderId="0" xfId="465" applyNumberFormat="1" applyFont="1" applyFill="1" applyBorder="1" applyAlignment="1">
      <alignment horizontal="right"/>
    </xf>
    <xf numFmtId="164" fontId="18" fillId="0" borderId="0" xfId="465" applyNumberFormat="1" applyFont="1" applyFill="1" applyBorder="1" applyAlignment="1">
      <alignment horizontal="right"/>
    </xf>
    <xf numFmtId="164" fontId="18" fillId="0" borderId="10" xfId="390" applyNumberFormat="1" applyFont="1" applyFill="1" applyBorder="1" applyAlignment="1">
      <alignment horizontal="right"/>
    </xf>
    <xf numFmtId="0" fontId="52" fillId="0" borderId="0" xfId="465" applyFont="1" applyFill="1" applyBorder="1" applyAlignment="1"/>
    <xf numFmtId="164" fontId="18" fillId="0" borderId="0" xfId="465" applyNumberFormat="1" applyFont="1" applyFill="1" applyBorder="1"/>
    <xf numFmtId="0" fontId="52" fillId="0" borderId="10" xfId="465" applyNumberFormat="1" applyFont="1" applyFill="1" applyBorder="1" applyAlignment="1">
      <alignment horizontal="center"/>
    </xf>
    <xf numFmtId="164" fontId="52" fillId="0" borderId="10" xfId="390" applyNumberFormat="1" applyFont="1" applyFill="1" applyBorder="1" applyAlignment="1">
      <alignment horizontal="right"/>
    </xf>
    <xf numFmtId="0" fontId="51" fillId="0" borderId="25" xfId="0" applyFont="1" applyFill="1" applyBorder="1"/>
    <xf numFmtId="0" fontId="51" fillId="0" borderId="24" xfId="0" applyFont="1" applyFill="1" applyBorder="1"/>
    <xf numFmtId="0" fontId="51" fillId="0" borderId="29" xfId="0" applyFont="1" applyFill="1" applyBorder="1"/>
    <xf numFmtId="41" fontId="51" fillId="0" borderId="0" xfId="381" applyNumberFormat="1" applyFont="1" applyFill="1" applyBorder="1"/>
    <xf numFmtId="9" fontId="51" fillId="0" borderId="21" xfId="633" applyFont="1" applyFill="1" applyBorder="1"/>
    <xf numFmtId="41" fontId="51" fillId="0" borderId="12" xfId="381" applyNumberFormat="1" applyFont="1" applyFill="1" applyBorder="1"/>
    <xf numFmtId="0" fontId="51" fillId="0" borderId="30" xfId="0" applyFont="1" applyFill="1" applyBorder="1"/>
    <xf numFmtId="0" fontId="51" fillId="0" borderId="31" xfId="0" applyFont="1" applyFill="1" applyBorder="1"/>
    <xf numFmtId="0" fontId="48" fillId="0" borderId="20" xfId="0" applyFont="1" applyFill="1" applyBorder="1"/>
    <xf numFmtId="0" fontId="48" fillId="0" borderId="0" xfId="0" applyFont="1" applyFill="1" applyBorder="1"/>
    <xf numFmtId="41" fontId="48" fillId="0" borderId="12" xfId="381" applyNumberFormat="1" applyFont="1" applyFill="1" applyBorder="1"/>
    <xf numFmtId="9" fontId="48" fillId="0" borderId="21" xfId="633" applyFont="1" applyFill="1" applyBorder="1"/>
    <xf numFmtId="10" fontId="51" fillId="0" borderId="21" xfId="633" applyNumberFormat="1" applyFont="1" applyFill="1" applyBorder="1"/>
    <xf numFmtId="10" fontId="48" fillId="0" borderId="32" xfId="633" applyNumberFormat="1" applyFont="1" applyFill="1" applyBorder="1"/>
    <xf numFmtId="9" fontId="51" fillId="0" borderId="0" xfId="633" applyFont="1" applyFill="1"/>
    <xf numFmtId="0" fontId="51" fillId="0" borderId="22" xfId="0" applyFont="1" applyFill="1" applyBorder="1"/>
    <xf numFmtId="0" fontId="51" fillId="0" borderId="10" xfId="0" applyFont="1" applyFill="1" applyBorder="1"/>
    <xf numFmtId="0" fontId="51" fillId="0" borderId="23" xfId="0" applyFont="1" applyFill="1" applyBorder="1"/>
    <xf numFmtId="0" fontId="50" fillId="0" borderId="0" xfId="552" applyFont="1" applyBorder="1" applyAlignment="1">
      <alignment horizontal="center"/>
    </xf>
    <xf numFmtId="0" fontId="9" fillId="0" borderId="14" xfId="0" applyFont="1" applyBorder="1" applyAlignment="1">
      <alignment horizontal="center"/>
    </xf>
    <xf numFmtId="0" fontId="8" fillId="0" borderId="0" xfId="465" applyFont="1" applyBorder="1"/>
    <xf numFmtId="41" fontId="8" fillId="0" borderId="0" xfId="381" applyNumberFormat="1" applyFont="1"/>
    <xf numFmtId="41" fontId="0" fillId="0" borderId="0" xfId="0" applyNumberFormat="1"/>
    <xf numFmtId="0" fontId="8" fillId="0" borderId="0" xfId="465" applyFont="1" applyBorder="1" applyAlignment="1"/>
    <xf numFmtId="41" fontId="8" fillId="0" borderId="0" xfId="381" applyNumberFormat="1" applyFont="1" applyFill="1"/>
    <xf numFmtId="43" fontId="0" fillId="0" borderId="0" xfId="381" applyFont="1"/>
    <xf numFmtId="0" fontId="9" fillId="0" borderId="0" xfId="0" applyFont="1" applyBorder="1" applyAlignment="1">
      <alignment horizontal="center"/>
    </xf>
    <xf numFmtId="0" fontId="9" fillId="0" borderId="0" xfId="0" applyFont="1" applyBorder="1" applyAlignment="1">
      <alignment horizontal="left"/>
    </xf>
    <xf numFmtId="0" fontId="9" fillId="0" borderId="26" xfId="0" applyFont="1" applyBorder="1" applyAlignment="1">
      <alignment horizontal="left"/>
    </xf>
    <xf numFmtId="0" fontId="9" fillId="0" borderId="26" xfId="0" applyFont="1" applyBorder="1" applyAlignment="1">
      <alignment horizontal="center"/>
    </xf>
    <xf numFmtId="0" fontId="0" fillId="0" borderId="26" xfId="0" applyBorder="1"/>
    <xf numFmtId="1" fontId="9" fillId="0" borderId="17" xfId="381" applyNumberFormat="1" applyFont="1" applyFill="1" applyBorder="1" applyAlignment="1">
      <alignment horizontal="center"/>
    </xf>
    <xf numFmtId="1" fontId="9" fillId="0" borderId="17" xfId="0" applyNumberFormat="1" applyFont="1" applyFill="1" applyBorder="1" applyAlignment="1">
      <alignment horizontal="center"/>
    </xf>
    <xf numFmtId="1" fontId="9" fillId="0" borderId="0" xfId="0" applyNumberFormat="1" applyFont="1" applyFill="1" applyBorder="1" applyAlignment="1">
      <alignment horizontal="center"/>
    </xf>
    <xf numFmtId="164" fontId="9" fillId="0" borderId="26" xfId="381" applyNumberFormat="1" applyFont="1" applyFill="1" applyBorder="1" applyAlignment="1">
      <alignment horizontal="center"/>
    </xf>
    <xf numFmtId="1" fontId="9" fillId="0" borderId="26" xfId="0" applyNumberFormat="1" applyFont="1" applyFill="1" applyBorder="1" applyAlignment="1">
      <alignment horizontal="center"/>
    </xf>
    <xf numFmtId="0" fontId="8" fillId="0" borderId="0" xfId="477" applyFont="1" applyFill="1" applyBorder="1"/>
    <xf numFmtId="0" fontId="8" fillId="0" borderId="0" xfId="477" applyFont="1" applyBorder="1" applyAlignment="1"/>
    <xf numFmtId="0" fontId="8" fillId="0" borderId="0" xfId="477" applyFont="1" applyBorder="1"/>
    <xf numFmtId="0" fontId="70" fillId="0" borderId="0" xfId="0" applyFont="1" applyFill="1"/>
    <xf numFmtId="0" fontId="10" fillId="0" borderId="28" xfId="0" applyFont="1" applyFill="1" applyBorder="1"/>
    <xf numFmtId="164" fontId="12" fillId="0" borderId="28" xfId="381" applyNumberFormat="1" applyFont="1" applyFill="1" applyBorder="1"/>
    <xf numFmtId="164" fontId="12" fillId="0" borderId="28" xfId="381" applyNumberFormat="1" applyFont="1" applyBorder="1"/>
    <xf numFmtId="173" fontId="10" fillId="0" borderId="33" xfId="633" applyNumberFormat="1" applyFont="1" applyFill="1" applyBorder="1" applyAlignment="1"/>
    <xf numFmtId="3" fontId="12" fillId="0" borderId="28" xfId="0" applyNumberFormat="1" applyFont="1" applyFill="1" applyBorder="1"/>
    <xf numFmtId="164" fontId="12" fillId="30" borderId="28" xfId="381" applyNumberFormat="1" applyFont="1" applyFill="1" applyBorder="1"/>
    <xf numFmtId="3" fontId="10" fillId="0" borderId="34" xfId="0" applyNumberFormat="1" applyFont="1" applyFill="1" applyBorder="1" applyAlignment="1"/>
    <xf numFmtId="3" fontId="10" fillId="0" borderId="33" xfId="0" applyNumberFormat="1" applyFont="1" applyFill="1" applyBorder="1"/>
    <xf numFmtId="3" fontId="12" fillId="0" borderId="28" xfId="0" applyNumberFormat="1" applyFont="1" applyFill="1" applyBorder="1" applyAlignment="1"/>
    <xf numFmtId="164" fontId="12" fillId="0" borderId="35" xfId="381" applyNumberFormat="1" applyFont="1" applyBorder="1"/>
    <xf numFmtId="164" fontId="10" fillId="0" borderId="28" xfId="381" applyNumberFormat="1" applyFont="1" applyBorder="1"/>
    <xf numFmtId="3" fontId="10" fillId="0" borderId="33" xfId="0" applyNumberFormat="1" applyFont="1" applyBorder="1"/>
    <xf numFmtId="164" fontId="10" fillId="0" borderId="28" xfId="381" applyNumberFormat="1" applyFont="1" applyFill="1" applyBorder="1"/>
    <xf numFmtId="3" fontId="10" fillId="0" borderId="33" xfId="0" applyNumberFormat="1" applyFont="1" applyFill="1" applyBorder="1" applyAlignment="1"/>
    <xf numFmtId="3" fontId="10" fillId="0" borderId="33" xfId="0" applyNumberFormat="1" applyFont="1" applyFill="1" applyBorder="1" applyAlignment="1">
      <alignment horizontal="right"/>
    </xf>
    <xf numFmtId="3" fontId="12" fillId="0" borderId="28" xfId="0" applyNumberFormat="1" applyFont="1" applyBorder="1"/>
    <xf numFmtId="3" fontId="10" fillId="0" borderId="34" xfId="0" applyNumberFormat="1" applyFont="1" applyBorder="1"/>
    <xf numFmtId="3" fontId="21" fillId="0" borderId="36" xfId="0" applyNumberFormat="1" applyFont="1" applyBorder="1"/>
    <xf numFmtId="3" fontId="12" fillId="0" borderId="35" xfId="0" applyNumberFormat="1" applyFont="1" applyFill="1" applyBorder="1"/>
    <xf numFmtId="3" fontId="10" fillId="0" borderId="28" xfId="0" applyNumberFormat="1" applyFont="1" applyFill="1" applyBorder="1"/>
    <xf numFmtId="164" fontId="10" fillId="0" borderId="28" xfId="381" applyNumberFormat="1" applyFont="1" applyBorder="1" applyAlignment="1"/>
    <xf numFmtId="173" fontId="10" fillId="0" borderId="28" xfId="633" applyNumberFormat="1" applyFont="1" applyBorder="1" applyAlignment="1"/>
    <xf numFmtId="164" fontId="10" fillId="0" borderId="28" xfId="381" applyNumberFormat="1" applyFont="1" applyFill="1" applyBorder="1" applyAlignment="1"/>
    <xf numFmtId="0" fontId="18" fillId="0" borderId="10" xfId="465" applyFont="1" applyFill="1" applyBorder="1" applyAlignment="1">
      <alignment horizontal="center"/>
    </xf>
    <xf numFmtId="0" fontId="39" fillId="0" borderId="0" xfId="465" applyFont="1" applyFill="1" applyBorder="1" applyAlignment="1">
      <alignment horizontal="center" wrapText="1"/>
    </xf>
    <xf numFmtId="0" fontId="35" fillId="0" borderId="0" xfId="465" applyFont="1" applyFill="1" applyBorder="1" applyAlignment="1">
      <alignment horizontal="center" wrapText="1"/>
    </xf>
    <xf numFmtId="0" fontId="35" fillId="0" borderId="21" xfId="465" applyFont="1" applyFill="1" applyBorder="1" applyAlignment="1">
      <alignment horizontal="center" wrapText="1"/>
    </xf>
    <xf numFmtId="0" fontId="39" fillId="0" borderId="21" xfId="465" applyFont="1" applyFill="1" applyBorder="1" applyAlignment="1">
      <alignment horizontal="center" wrapText="1"/>
    </xf>
    <xf numFmtId="0" fontId="9" fillId="0" borderId="24" xfId="465" applyFont="1" applyFill="1" applyBorder="1" applyAlignment="1">
      <alignment horizontal="center" wrapText="1"/>
    </xf>
    <xf numFmtId="164" fontId="12" fillId="0" borderId="35" xfId="381" applyNumberFormat="1" applyFont="1" applyFill="1" applyBorder="1"/>
    <xf numFmtId="0" fontId="8" fillId="0" borderId="0" xfId="465" applyNumberFormat="1" applyFont="1" applyFill="1" applyBorder="1" applyAlignment="1">
      <alignment horizontal="center"/>
    </xf>
    <xf numFmtId="0" fontId="8" fillId="0" borderId="24" xfId="465" applyNumberFormat="1" applyFont="1" applyFill="1" applyBorder="1" applyAlignment="1">
      <alignment horizontal="center"/>
    </xf>
    <xf numFmtId="0" fontId="51" fillId="0" borderId="0" xfId="0" applyFont="1" applyFill="1" applyBorder="1" applyAlignment="1">
      <alignment wrapText="1"/>
    </xf>
    <xf numFmtId="0" fontId="49" fillId="0" borderId="20" xfId="0" applyFont="1" applyFill="1" applyBorder="1"/>
    <xf numFmtId="164" fontId="51" fillId="0" borderId="21" xfId="381" applyNumberFormat="1" applyFont="1" applyFill="1" applyBorder="1"/>
    <xf numFmtId="164" fontId="51" fillId="0" borderId="32" xfId="0" applyNumberFormat="1" applyFont="1" applyFill="1" applyBorder="1"/>
    <xf numFmtId="164" fontId="51" fillId="0" borderId="23" xfId="0" applyNumberFormat="1" applyFont="1" applyFill="1" applyBorder="1"/>
    <xf numFmtId="0" fontId="71" fillId="0" borderId="0" xfId="0" applyFont="1" applyFill="1" applyBorder="1"/>
    <xf numFmtId="164" fontId="51" fillId="0" borderId="32" xfId="381" applyNumberFormat="1" applyFont="1" applyFill="1" applyBorder="1"/>
    <xf numFmtId="164" fontId="51" fillId="0" borderId="23" xfId="381" applyNumberFormat="1" applyFont="1" applyFill="1" applyBorder="1"/>
    <xf numFmtId="167" fontId="0" fillId="0" borderId="13" xfId="420" applyNumberFormat="1" applyFont="1" applyFill="1" applyBorder="1" applyAlignment="1"/>
    <xf numFmtId="0" fontId="8" fillId="0" borderId="0" xfId="0" applyFont="1" applyFill="1" applyBorder="1" applyAlignment="1">
      <alignment horizontal="center" wrapText="1"/>
    </xf>
    <xf numFmtId="164" fontId="72" fillId="0" borderId="28" xfId="381" applyNumberFormat="1" applyFont="1" applyFill="1" applyBorder="1"/>
    <xf numFmtId="0" fontId="18" fillId="0" borderId="0" xfId="390" applyNumberFormat="1" applyFont="1" applyFill="1" applyBorder="1" applyAlignment="1">
      <alignment horizontal="right"/>
    </xf>
    <xf numFmtId="165" fontId="8" fillId="31" borderId="0" xfId="498" applyNumberFormat="1" applyFont="1" applyFill="1" applyAlignment="1">
      <alignment horizontal="center"/>
    </xf>
    <xf numFmtId="0" fontId="74" fillId="31" borderId="10" xfId="0" applyFont="1" applyFill="1" applyBorder="1" applyAlignment="1">
      <alignment horizontal="center"/>
    </xf>
    <xf numFmtId="165" fontId="8" fillId="31" borderId="10" xfId="498" applyNumberFormat="1" applyFont="1" applyFill="1" applyBorder="1" applyAlignment="1">
      <alignment horizontal="center"/>
    </xf>
    <xf numFmtId="0" fontId="75" fillId="31" borderId="0" xfId="0" applyFont="1" applyFill="1" applyAlignment="1">
      <alignment horizontal="center"/>
    </xf>
    <xf numFmtId="0" fontId="75" fillId="31" borderId="0" xfId="0" applyFont="1" applyFill="1"/>
    <xf numFmtId="165" fontId="8" fillId="31" borderId="0" xfId="498" applyNumberFormat="1" applyFont="1" applyFill="1"/>
    <xf numFmtId="0" fontId="75" fillId="31" borderId="24" xfId="0" applyFont="1" applyFill="1" applyBorder="1" applyAlignment="1"/>
    <xf numFmtId="164" fontId="8" fillId="31" borderId="0" xfId="381" applyNumberFormat="1" applyFont="1" applyFill="1"/>
    <xf numFmtId="0" fontId="75" fillId="31" borderId="0" xfId="0" applyFont="1" applyFill="1" applyAlignment="1"/>
    <xf numFmtId="0" fontId="8" fillId="31" borderId="0" xfId="0" applyFont="1" applyFill="1"/>
    <xf numFmtId="0" fontId="8" fillId="31" borderId="0" xfId="0" applyFont="1" applyFill="1" applyAlignment="1"/>
    <xf numFmtId="0" fontId="0" fillId="31" borderId="0" xfId="0" applyFill="1" applyAlignment="1"/>
    <xf numFmtId="164" fontId="76" fillId="31" borderId="0" xfId="0" applyNumberFormat="1" applyFont="1" applyFill="1" applyAlignment="1"/>
    <xf numFmtId="0" fontId="76" fillId="31" borderId="0" xfId="0" applyFont="1" applyFill="1" applyAlignment="1"/>
    <xf numFmtId="175" fontId="8" fillId="31" borderId="0" xfId="381" applyNumberFormat="1" applyFont="1" applyFill="1"/>
    <xf numFmtId="44" fontId="8" fillId="31" borderId="0" xfId="421" applyFont="1" applyFill="1"/>
    <xf numFmtId="165" fontId="8" fillId="0" borderId="0" xfId="498" applyNumberFormat="1" applyFont="1" applyFill="1"/>
    <xf numFmtId="44" fontId="8" fillId="0" borderId="0" xfId="421" applyFont="1" applyFill="1"/>
    <xf numFmtId="0" fontId="75" fillId="0" borderId="0" xfId="0" applyFont="1" applyFill="1"/>
    <xf numFmtId="165" fontId="8" fillId="0" borderId="0" xfId="498" applyNumberFormat="1" applyFont="1"/>
    <xf numFmtId="44" fontId="8" fillId="0" borderId="0" xfId="421" applyFont="1"/>
    <xf numFmtId="0" fontId="77" fillId="0" borderId="0" xfId="0" applyFont="1"/>
    <xf numFmtId="0" fontId="78" fillId="0" borderId="0" xfId="0" applyFont="1"/>
    <xf numFmtId="0" fontId="79" fillId="0" borderId="0" xfId="0" applyFont="1"/>
    <xf numFmtId="0" fontId="80" fillId="0" borderId="0" xfId="467" applyFont="1" applyAlignment="1">
      <alignment horizontal="centerContinuous"/>
    </xf>
    <xf numFmtId="0" fontId="81" fillId="0" borderId="0" xfId="467" applyFont="1" applyAlignment="1">
      <alignment horizontal="centerContinuous"/>
    </xf>
    <xf numFmtId="0" fontId="82" fillId="0" borderId="0" xfId="467" applyFont="1"/>
    <xf numFmtId="0" fontId="50" fillId="0" borderId="0" xfId="467" applyFont="1" applyAlignment="1">
      <alignment horizontal="center"/>
    </xf>
    <xf numFmtId="0" fontId="50" fillId="0" borderId="0" xfId="467" applyFont="1"/>
    <xf numFmtId="0" fontId="83" fillId="0" borderId="0" xfId="467" applyFont="1" applyAlignment="1">
      <alignment horizontal="left"/>
    </xf>
    <xf numFmtId="0" fontId="50" fillId="0" borderId="0" xfId="467" applyFont="1" applyFill="1" applyAlignment="1">
      <alignment horizontal="center"/>
    </xf>
    <xf numFmtId="0" fontId="50" fillId="0" borderId="0" xfId="467" applyFont="1" applyFill="1" applyAlignment="1">
      <alignment horizontal="left"/>
    </xf>
    <xf numFmtId="0" fontId="50" fillId="0" borderId="0" xfId="467" applyFont="1" applyFill="1"/>
    <xf numFmtId="16" fontId="50" fillId="0" borderId="0" xfId="467" applyNumberFormat="1" applyFont="1" applyFill="1" applyAlignment="1">
      <alignment horizontal="center"/>
    </xf>
    <xf numFmtId="0" fontId="50" fillId="0" borderId="0" xfId="467" applyFont="1" applyAlignment="1">
      <alignment horizontal="left"/>
    </xf>
    <xf numFmtId="0" fontId="8" fillId="0" borderId="0" xfId="467" applyAlignment="1"/>
    <xf numFmtId="16" fontId="50" fillId="0" borderId="0" xfId="467" applyNumberFormat="1" applyFont="1" applyAlignment="1">
      <alignment horizontal="center"/>
    </xf>
    <xf numFmtId="0" fontId="83" fillId="0" borderId="0" xfId="467" applyFont="1" applyFill="1" applyAlignment="1">
      <alignment horizontal="left"/>
    </xf>
    <xf numFmtId="164" fontId="50" fillId="0" borderId="0" xfId="391" applyNumberFormat="1" applyFont="1"/>
    <xf numFmtId="167" fontId="50" fillId="32" borderId="0" xfId="422" applyNumberFormat="1" applyFont="1" applyFill="1"/>
    <xf numFmtId="0" fontId="84" fillId="0" borderId="0" xfId="467" applyFont="1" applyFill="1" applyAlignment="1">
      <alignment horizontal="left"/>
    </xf>
    <xf numFmtId="0" fontId="85" fillId="0" borderId="0" xfId="467" applyFont="1" applyAlignment="1">
      <alignment horizontal="center"/>
    </xf>
    <xf numFmtId="0" fontId="85" fillId="0" borderId="0" xfId="467" applyFont="1" applyAlignment="1">
      <alignment horizontal="left"/>
    </xf>
    <xf numFmtId="164" fontId="50" fillId="0" borderId="0" xfId="467" applyNumberFormat="1" applyFont="1"/>
    <xf numFmtId="164" fontId="50" fillId="33" borderId="0" xfId="391" applyNumberFormat="1" applyFont="1" applyFill="1"/>
    <xf numFmtId="164" fontId="50" fillId="0" borderId="0" xfId="391" applyNumberFormat="1" applyFont="1" applyFill="1"/>
    <xf numFmtId="43" fontId="50" fillId="0" borderId="0" xfId="467" applyNumberFormat="1" applyFont="1"/>
    <xf numFmtId="164" fontId="50" fillId="0" borderId="0" xfId="467" applyNumberFormat="1" applyFont="1" applyAlignment="1">
      <alignment horizontal="right"/>
    </xf>
    <xf numFmtId="167" fontId="50" fillId="32" borderId="0" xfId="467" applyNumberFormat="1" applyFont="1" applyFill="1"/>
    <xf numFmtId="167" fontId="50" fillId="0" borderId="0" xfId="467" applyNumberFormat="1" applyFont="1"/>
    <xf numFmtId="167" fontId="50" fillId="0" borderId="0" xfId="422" applyNumberFormat="1" applyFont="1"/>
    <xf numFmtId="0" fontId="50" fillId="0" borderId="0" xfId="467" applyFont="1" applyBorder="1" applyAlignment="1">
      <alignment horizontal="center"/>
    </xf>
    <xf numFmtId="0" fontId="50" fillId="0" borderId="0" xfId="467" applyFont="1" applyBorder="1"/>
    <xf numFmtId="0" fontId="86" fillId="0" borderId="0" xfId="467" applyFont="1" applyBorder="1"/>
    <xf numFmtId="167" fontId="50" fillId="32" borderId="0" xfId="422" applyNumberFormat="1" applyFont="1" applyFill="1" applyAlignment="1">
      <alignment horizontal="left"/>
    </xf>
    <xf numFmtId="167" fontId="85" fillId="0" borderId="0" xfId="422" applyNumberFormat="1" applyFont="1" applyFill="1" applyAlignment="1">
      <alignment horizontal="left"/>
    </xf>
    <xf numFmtId="167" fontId="50" fillId="0" borderId="0" xfId="422" applyNumberFormat="1" applyFont="1" applyAlignment="1">
      <alignment horizontal="left"/>
    </xf>
    <xf numFmtId="0" fontId="50" fillId="0" borderId="0" xfId="467" applyFont="1" applyFill="1" applyAlignment="1"/>
    <xf numFmtId="0" fontId="8" fillId="0" borderId="0" xfId="467" applyFont="1" applyFill="1" applyAlignment="1"/>
    <xf numFmtId="0" fontId="8" fillId="0" borderId="0" xfId="467" applyAlignment="1">
      <alignment wrapText="1"/>
    </xf>
    <xf numFmtId="167" fontId="50" fillId="0" borderId="0" xfId="422" applyNumberFormat="1" applyFont="1" applyFill="1" applyAlignment="1">
      <alignment horizontal="left"/>
    </xf>
    <xf numFmtId="164" fontId="50" fillId="0" borderId="0" xfId="467" applyNumberFormat="1" applyFont="1" applyAlignment="1">
      <alignment horizontal="center"/>
    </xf>
    <xf numFmtId="164" fontId="84" fillId="0" borderId="0" xfId="467" applyNumberFormat="1" applyFont="1" applyFill="1"/>
    <xf numFmtId="0" fontId="84" fillId="0" borderId="0" xfId="467" applyFont="1" applyFill="1"/>
    <xf numFmtId="164" fontId="50" fillId="0" borderId="0" xfId="467" applyNumberFormat="1" applyFont="1" applyFill="1"/>
    <xf numFmtId="44" fontId="8" fillId="34" borderId="0" xfId="420" applyFont="1" applyFill="1"/>
    <xf numFmtId="43" fontId="50" fillId="34" borderId="0" xfId="381" applyFont="1" applyFill="1"/>
    <xf numFmtId="43" fontId="50" fillId="0" borderId="0" xfId="381" applyFont="1"/>
    <xf numFmtId="164" fontId="50" fillId="0" borderId="0" xfId="467" applyNumberFormat="1" applyFont="1" applyAlignment="1">
      <alignment horizontal="left"/>
    </xf>
    <xf numFmtId="0" fontId="50" fillId="0" borderId="0" xfId="467" applyNumberFormat="1" applyFont="1" applyAlignment="1">
      <alignment horizontal="left"/>
    </xf>
    <xf numFmtId="173" fontId="50" fillId="0" borderId="0" xfId="467" applyNumberFormat="1" applyFont="1"/>
    <xf numFmtId="168" fontId="50" fillId="0" borderId="0" xfId="635" applyNumberFormat="1" applyFont="1"/>
    <xf numFmtId="167" fontId="50" fillId="0" borderId="0" xfId="467" applyNumberFormat="1" applyFont="1" applyFill="1"/>
    <xf numFmtId="43" fontId="50" fillId="0" borderId="0" xfId="467" applyNumberFormat="1" applyFont="1" applyFill="1"/>
    <xf numFmtId="167" fontId="50" fillId="0" borderId="0" xfId="467" applyNumberFormat="1" applyFont="1" applyAlignment="1">
      <alignment horizontal="center"/>
    </xf>
    <xf numFmtId="0" fontId="29" fillId="0" borderId="0" xfId="467" applyFont="1" applyAlignment="1">
      <alignment horizontal="center"/>
    </xf>
    <xf numFmtId="0" fontId="29" fillId="0" borderId="0" xfId="467" applyFont="1"/>
    <xf numFmtId="164" fontId="50" fillId="0" borderId="0" xfId="381" applyNumberFormat="1" applyFont="1" applyFill="1" applyAlignment="1">
      <alignment horizontal="center"/>
    </xf>
    <xf numFmtId="0" fontId="50" fillId="34" borderId="0" xfId="467" applyFont="1" applyFill="1" applyAlignment="1">
      <alignment horizontal="center"/>
    </xf>
    <xf numFmtId="37" fontId="50" fillId="0" borderId="0" xfId="391" applyNumberFormat="1" applyFont="1" applyFill="1"/>
    <xf numFmtId="164" fontId="50" fillId="0" borderId="0" xfId="381" applyNumberFormat="1" applyFont="1" applyFill="1"/>
    <xf numFmtId="164" fontId="50" fillId="0" borderId="0" xfId="381" applyNumberFormat="1" applyFont="1"/>
    <xf numFmtId="170" fontId="9" fillId="0" borderId="0" xfId="0" applyNumberFormat="1" applyFont="1" applyFill="1" applyBorder="1" applyAlignment="1">
      <alignment horizontal="center" wrapText="1"/>
    </xf>
    <xf numFmtId="170" fontId="9" fillId="0" borderId="0" xfId="0" applyNumberFormat="1" applyFont="1" applyBorder="1" applyAlignment="1">
      <alignment horizontal="center" wrapText="1"/>
    </xf>
    <xf numFmtId="0" fontId="0" fillId="0" borderId="0" xfId="0" applyBorder="1" applyAlignment="1">
      <alignment horizontal="center"/>
    </xf>
    <xf numFmtId="170" fontId="0" fillId="0" borderId="0" xfId="0" applyNumberFormat="1" applyFill="1" applyBorder="1"/>
    <xf numFmtId="170" fontId="0" fillId="0" borderId="0" xfId="0" applyNumberFormat="1" applyBorder="1"/>
    <xf numFmtId="0" fontId="9" fillId="0" borderId="0" xfId="0" applyFont="1" applyFill="1" applyBorder="1"/>
    <xf numFmtId="43" fontId="87" fillId="0" borderId="0" xfId="381" applyFont="1" applyBorder="1"/>
    <xf numFmtId="0" fontId="18" fillId="0" borderId="20" xfId="465" applyFont="1" applyFill="1" applyBorder="1" applyAlignment="1"/>
    <xf numFmtId="43" fontId="87" fillId="0" borderId="0" xfId="381" applyFont="1" applyFill="1" applyBorder="1"/>
    <xf numFmtId="0" fontId="18" fillId="0" borderId="21" xfId="465" applyNumberFormat="1" applyFont="1" applyFill="1" applyBorder="1" applyAlignment="1">
      <alignment horizontal="center"/>
    </xf>
    <xf numFmtId="0" fontId="12" fillId="0" borderId="14" xfId="0" applyFont="1" applyFill="1" applyBorder="1" applyAlignment="1">
      <alignment horizontal="center"/>
    </xf>
    <xf numFmtId="164" fontId="9" fillId="0" borderId="0" xfId="381" applyNumberFormat="1" applyFont="1" applyFill="1" applyBorder="1"/>
    <xf numFmtId="0" fontId="12" fillId="0" borderId="20" xfId="0" applyNumberFormat="1" applyFont="1" applyFill="1" applyBorder="1" applyAlignment="1">
      <alignment horizontal="center"/>
    </xf>
    <xf numFmtId="173" fontId="10" fillId="0" borderId="0" xfId="633" applyNumberFormat="1" applyFont="1" applyBorder="1" applyAlignment="1"/>
    <xf numFmtId="164" fontId="10" fillId="0" borderId="0" xfId="381" applyNumberFormat="1" applyFont="1" applyBorder="1" applyAlignment="1"/>
    <xf numFmtId="0" fontId="15" fillId="0" borderId="0" xfId="0" applyFont="1" applyBorder="1" applyAlignment="1"/>
    <xf numFmtId="170" fontId="10" fillId="0" borderId="0" xfId="0" applyNumberFormat="1" applyFont="1" applyFill="1" applyBorder="1"/>
    <xf numFmtId="170" fontId="10" fillId="0" borderId="0" xfId="0" applyNumberFormat="1" applyFont="1" applyBorder="1"/>
    <xf numFmtId="164" fontId="49" fillId="0" borderId="0" xfId="381" applyNumberFormat="1" applyFont="1" applyFill="1" applyBorder="1"/>
    <xf numFmtId="43" fontId="18" fillId="0" borderId="10" xfId="381" applyFont="1" applyFill="1" applyBorder="1" applyAlignment="1">
      <alignment horizontal="center"/>
    </xf>
    <xf numFmtId="37" fontId="51" fillId="0" borderId="0" xfId="0" applyNumberFormat="1" applyFont="1" applyFill="1"/>
    <xf numFmtId="0" fontId="18" fillId="0" borderId="0" xfId="0" applyFont="1" applyFill="1" applyAlignment="1">
      <alignment wrapText="1"/>
    </xf>
    <xf numFmtId="0" fontId="8" fillId="0" borderId="0" xfId="0" applyFont="1" applyFill="1" applyAlignment="1">
      <alignment wrapText="1"/>
    </xf>
    <xf numFmtId="0" fontId="0" fillId="0" borderId="0" xfId="0" applyFill="1" applyAlignment="1">
      <alignment wrapText="1"/>
    </xf>
    <xf numFmtId="37" fontId="35" fillId="0" borderId="0" xfId="0" applyNumberFormat="1" applyFont="1" applyFill="1" applyBorder="1"/>
    <xf numFmtId="164" fontId="35" fillId="0" borderId="0" xfId="381" applyNumberFormat="1" applyFont="1" applyFill="1" applyBorder="1"/>
    <xf numFmtId="3" fontId="12" fillId="0" borderId="0" xfId="0" applyNumberFormat="1" applyFont="1" applyFill="1" applyBorder="1" applyAlignment="1">
      <alignment horizontal="center" wrapText="1"/>
    </xf>
    <xf numFmtId="3" fontId="12" fillId="0" borderId="0" xfId="0" applyNumberFormat="1" applyFont="1" applyBorder="1" applyAlignment="1">
      <alignment horizontal="center" wrapText="1"/>
    </xf>
    <xf numFmtId="0" fontId="12" fillId="0" borderId="0" xfId="0" applyNumberFormat="1" applyFont="1" applyBorder="1" applyAlignment="1">
      <alignment horizontal="center" wrapText="1"/>
    </xf>
    <xf numFmtId="164" fontId="62" fillId="0" borderId="0" xfId="381" applyNumberFormat="1" applyFont="1" applyFill="1" applyBorder="1"/>
    <xf numFmtId="164" fontId="54" fillId="0" borderId="0" xfId="381" applyNumberFormat="1" applyFont="1" applyBorder="1"/>
    <xf numFmtId="0" fontId="8" fillId="0" borderId="17" xfId="0" applyFont="1" applyBorder="1"/>
    <xf numFmtId="0" fontId="66" fillId="0" borderId="0" xfId="0" applyFont="1" applyFill="1" applyBorder="1"/>
    <xf numFmtId="0" fontId="8" fillId="0" borderId="0" xfId="467" applyFont="1" applyAlignment="1">
      <alignment horizontal="center"/>
    </xf>
    <xf numFmtId="0" fontId="21" fillId="0" borderId="0" xfId="467" applyFont="1" applyAlignment="1">
      <alignment horizontal="center"/>
    </xf>
    <xf numFmtId="0" fontId="21" fillId="0" borderId="0" xfId="467" applyFont="1" applyAlignment="1"/>
    <xf numFmtId="0" fontId="9" fillId="0" borderId="0" xfId="467" applyFont="1" applyAlignment="1">
      <alignment horizontal="left"/>
    </xf>
    <xf numFmtId="0" fontId="8" fillId="0" borderId="0" xfId="467" applyFont="1" applyAlignment="1">
      <alignment horizontal="left"/>
    </xf>
    <xf numFmtId="164" fontId="8" fillId="0" borderId="0" xfId="381" applyNumberFormat="1" applyFont="1" applyFill="1"/>
    <xf numFmtId="0" fontId="8" fillId="0" borderId="0" xfId="467" applyFont="1" applyFill="1"/>
    <xf numFmtId="0" fontId="9" fillId="0" borderId="0" xfId="467" applyFont="1" applyFill="1"/>
    <xf numFmtId="0" fontId="8" fillId="0" borderId="0" xfId="467" applyFont="1" applyBorder="1"/>
    <xf numFmtId="164" fontId="8" fillId="0" borderId="0" xfId="381" applyNumberFormat="1" applyFont="1" applyBorder="1"/>
    <xf numFmtId="0" fontId="8" fillId="0" borderId="0" xfId="467" applyFont="1" applyFill="1" applyBorder="1"/>
    <xf numFmtId="0" fontId="8" fillId="0" borderId="10" xfId="467" applyFont="1" applyFill="1" applyBorder="1"/>
    <xf numFmtId="0" fontId="35" fillId="0" borderId="25" xfId="467" applyFont="1" applyFill="1" applyBorder="1"/>
    <xf numFmtId="0" fontId="8" fillId="0" borderId="0" xfId="467" applyFont="1" applyBorder="1" applyAlignment="1">
      <alignment horizontal="center"/>
    </xf>
    <xf numFmtId="0" fontId="35" fillId="0" borderId="25" xfId="467" applyFont="1" applyBorder="1"/>
    <xf numFmtId="0" fontId="8" fillId="0" borderId="0" xfId="467" applyFont="1" applyFill="1" applyAlignment="1">
      <alignment horizontal="center"/>
    </xf>
    <xf numFmtId="0" fontId="35" fillId="0" borderId="20" xfId="467" applyFont="1" applyFill="1" applyBorder="1"/>
    <xf numFmtId="0" fontId="35" fillId="0" borderId="20" xfId="467" applyFont="1" applyFill="1" applyBorder="1" applyAlignment="1">
      <alignment horizontal="center"/>
    </xf>
    <xf numFmtId="0" fontId="39" fillId="0" borderId="20" xfId="467" applyFont="1" applyFill="1" applyBorder="1" applyAlignment="1">
      <alignment horizontal="center"/>
    </xf>
    <xf numFmtId="0" fontId="35" fillId="0" borderId="20" xfId="467" applyFont="1" applyBorder="1"/>
    <xf numFmtId="0" fontId="35" fillId="0" borderId="0" xfId="467" applyFont="1" applyFill="1" applyBorder="1" applyAlignment="1">
      <alignment horizontal="center"/>
    </xf>
    <xf numFmtId="164" fontId="35" fillId="0" borderId="21" xfId="381" applyNumberFormat="1" applyFont="1" applyFill="1" applyBorder="1" applyAlignment="1">
      <alignment horizontal="center"/>
    </xf>
    <xf numFmtId="0" fontId="35" fillId="0" borderId="0" xfId="467" applyFont="1" applyFill="1" applyBorder="1"/>
    <xf numFmtId="164" fontId="35" fillId="0" borderId="21" xfId="381" applyNumberFormat="1" applyFont="1" applyFill="1" applyBorder="1"/>
    <xf numFmtId="164" fontId="35" fillId="0" borderId="20" xfId="381" applyNumberFormat="1" applyFont="1" applyFill="1" applyBorder="1"/>
    <xf numFmtId="0" fontId="35" fillId="0" borderId="22" xfId="467" applyFont="1" applyBorder="1"/>
    <xf numFmtId="164" fontId="35" fillId="0" borderId="22" xfId="381" applyNumberFormat="1" applyFont="1" applyFill="1" applyBorder="1"/>
    <xf numFmtId="164" fontId="35" fillId="0" borderId="10" xfId="381" applyNumberFormat="1" applyFont="1" applyFill="1" applyBorder="1"/>
    <xf numFmtId="164" fontId="35" fillId="0" borderId="23" xfId="381" applyNumberFormat="1" applyFont="1" applyFill="1" applyBorder="1"/>
    <xf numFmtId="164" fontId="39" fillId="0" borderId="29" xfId="381" applyNumberFormat="1" applyFont="1" applyFill="1" applyBorder="1" applyAlignment="1">
      <alignment horizontal="center" wrapText="1"/>
    </xf>
    <xf numFmtId="0" fontId="39" fillId="0" borderId="39" xfId="467" applyFont="1" applyFill="1" applyBorder="1" applyAlignment="1">
      <alignment horizontal="center"/>
    </xf>
    <xf numFmtId="0" fontId="35" fillId="0" borderId="40" xfId="467" applyFont="1" applyBorder="1" applyAlignment="1">
      <alignment horizontal="center"/>
    </xf>
    <xf numFmtId="164" fontId="35" fillId="0" borderId="0" xfId="467" applyNumberFormat="1" applyFont="1" applyFill="1" applyBorder="1"/>
    <xf numFmtId="167" fontId="35" fillId="0" borderId="40" xfId="420" applyNumberFormat="1" applyFont="1" applyBorder="1"/>
    <xf numFmtId="0" fontId="35" fillId="0" borderId="0" xfId="467" applyFont="1" applyBorder="1"/>
    <xf numFmtId="0" fontId="35" fillId="0" borderId="40" xfId="467" applyFont="1" applyBorder="1"/>
    <xf numFmtId="164" fontId="39" fillId="0" borderId="0" xfId="467" applyNumberFormat="1" applyFont="1" applyBorder="1"/>
    <xf numFmtId="164" fontId="39" fillId="0" borderId="21" xfId="381" applyNumberFormat="1" applyFont="1" applyBorder="1"/>
    <xf numFmtId="0" fontId="35" fillId="0" borderId="41" xfId="467" applyFont="1" applyBorder="1"/>
    <xf numFmtId="164" fontId="39" fillId="0" borderId="10" xfId="467" applyNumberFormat="1" applyFont="1" applyBorder="1"/>
    <xf numFmtId="164" fontId="39" fillId="0" borderId="23" xfId="381" applyNumberFormat="1" applyFont="1" applyBorder="1"/>
    <xf numFmtId="167" fontId="35" fillId="0" borderId="41" xfId="420" applyNumberFormat="1" applyFont="1" applyBorder="1"/>
    <xf numFmtId="167" fontId="35" fillId="0" borderId="10" xfId="467" applyNumberFormat="1" applyFont="1" applyBorder="1"/>
    <xf numFmtId="0" fontId="35" fillId="0" borderId="0" xfId="467" applyFont="1"/>
    <xf numFmtId="0" fontId="35" fillId="0" borderId="0" xfId="467" applyFont="1" applyAlignment="1">
      <alignment horizontal="center"/>
    </xf>
    <xf numFmtId="164" fontId="35" fillId="0" borderId="0" xfId="381" applyNumberFormat="1" applyFont="1"/>
    <xf numFmtId="167" fontId="35" fillId="0" borderId="0" xfId="420" applyNumberFormat="1" applyFont="1"/>
    <xf numFmtId="0" fontId="8" fillId="0" borderId="0" xfId="467" applyFont="1" applyFill="1" applyBorder="1" applyAlignment="1">
      <alignment horizontal="center"/>
    </xf>
    <xf numFmtId="164" fontId="8" fillId="0" borderId="0" xfId="381" applyNumberFormat="1" applyFont="1" applyFill="1" applyBorder="1"/>
    <xf numFmtId="0" fontId="46" fillId="0" borderId="0" xfId="0" applyFont="1" applyFill="1" applyBorder="1" applyAlignment="1">
      <alignment horizontal="center"/>
    </xf>
    <xf numFmtId="0" fontId="8" fillId="0" borderId="0" xfId="0" applyFont="1" applyFill="1" applyBorder="1" applyAlignment="1">
      <alignment horizontal="center"/>
    </xf>
    <xf numFmtId="164" fontId="35" fillId="34" borderId="0" xfId="381" applyNumberFormat="1" applyFont="1" applyFill="1" applyBorder="1"/>
    <xf numFmtId="173" fontId="12" fillId="0" borderId="35" xfId="633" applyNumberFormat="1" applyFont="1" applyFill="1" applyBorder="1" applyAlignment="1"/>
    <xf numFmtId="0" fontId="14" fillId="0" borderId="0" xfId="0" quotePrefix="1" applyFont="1" applyFill="1" applyBorder="1" applyAlignment="1">
      <alignment horizontal="center" wrapText="1"/>
    </xf>
    <xf numFmtId="0" fontId="14" fillId="0" borderId="0" xfId="0" applyFont="1" applyFill="1" applyBorder="1" applyAlignment="1"/>
    <xf numFmtId="0" fontId="52" fillId="0" borderId="0" xfId="0" applyFont="1" applyFill="1" applyAlignment="1">
      <alignment horizontal="left" wrapText="1"/>
    </xf>
    <xf numFmtId="0" fontId="0" fillId="0" borderId="0" xfId="0" applyFill="1" applyAlignment="1">
      <alignment horizontal="left" vertical="center" wrapText="1"/>
    </xf>
    <xf numFmtId="0" fontId="8" fillId="0" borderId="0" xfId="465" applyFont="1" applyFill="1" applyBorder="1" applyAlignment="1">
      <alignment horizontal="center" wrapText="1"/>
    </xf>
    <xf numFmtId="0" fontId="52" fillId="0" borderId="0" xfId="465" applyFont="1" applyFill="1" applyBorder="1" applyAlignment="1">
      <alignment horizontal="center"/>
    </xf>
    <xf numFmtId="164" fontId="52" fillId="0" borderId="0" xfId="465" applyNumberFormat="1" applyFont="1" applyFill="1" applyBorder="1" applyAlignment="1"/>
    <xf numFmtId="3" fontId="18" fillId="0" borderId="0" xfId="465" applyNumberFormat="1" applyFont="1" applyFill="1" applyBorder="1" applyAlignment="1">
      <alignment horizontal="left"/>
    </xf>
    <xf numFmtId="0" fontId="8" fillId="0" borderId="0" xfId="465" applyNumberFormat="1" applyFont="1" applyFill="1" applyBorder="1" applyAlignment="1">
      <alignment horizontal="left"/>
    </xf>
    <xf numFmtId="0" fontId="52" fillId="0" borderId="10" xfId="465" applyFont="1" applyFill="1" applyBorder="1" applyAlignment="1">
      <alignment horizontal="center"/>
    </xf>
    <xf numFmtId="43" fontId="56" fillId="0" borderId="0" xfId="381" applyFont="1" applyFill="1" applyBorder="1" applyAlignment="1"/>
    <xf numFmtId="0" fontId="53" fillId="0" borderId="0" xfId="0" applyFont="1" applyFill="1" applyBorder="1"/>
    <xf numFmtId="164" fontId="18" fillId="0" borderId="20" xfId="465" applyNumberFormat="1" applyFont="1" applyFill="1" applyBorder="1"/>
    <xf numFmtId="164" fontId="18" fillId="0" borderId="12" xfId="465" applyNumberFormat="1" applyFont="1" applyFill="1" applyBorder="1"/>
    <xf numFmtId="164" fontId="9" fillId="0" borderId="15" xfId="381" applyNumberFormat="1" applyFont="1" applyFill="1" applyBorder="1" applyAlignment="1"/>
    <xf numFmtId="164" fontId="35" fillId="0" borderId="0" xfId="381" applyNumberFormat="1" applyFont="1" applyFill="1" applyBorder="1" applyAlignment="1">
      <alignment horizontal="center"/>
    </xf>
    <xf numFmtId="164" fontId="35" fillId="0" borderId="0" xfId="381" applyNumberFormat="1" applyFont="1" applyBorder="1"/>
    <xf numFmtId="0" fontId="8" fillId="0" borderId="21" xfId="465" applyFont="1" applyFill="1" applyBorder="1" applyAlignment="1">
      <alignment horizontal="center" wrapText="1"/>
    </xf>
    <xf numFmtId="0" fontId="8" fillId="0" borderId="21" xfId="465" applyFont="1" applyBorder="1" applyAlignment="1"/>
    <xf numFmtId="164" fontId="8" fillId="0" borderId="0" xfId="390" applyNumberFormat="1" applyFont="1" applyFill="1" applyBorder="1" applyAlignment="1">
      <alignment horizontal="right"/>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0" xfId="465" applyFont="1" applyFill="1" applyBorder="1" applyAlignment="1"/>
    <xf numFmtId="43" fontId="49" fillId="0" borderId="21" xfId="381" applyFont="1" applyFill="1" applyBorder="1" applyAlignment="1">
      <alignment horizontal="center" wrapText="1"/>
    </xf>
    <xf numFmtId="0" fontId="8" fillId="0" borderId="10" xfId="465" applyFont="1" applyFill="1" applyBorder="1" applyAlignment="1"/>
    <xf numFmtId="0" fontId="8" fillId="0" borderId="23" xfId="465" applyFont="1" applyFill="1" applyBorder="1" applyAlignment="1"/>
    <xf numFmtId="0" fontId="8" fillId="0" borderId="21" xfId="465" applyFont="1" applyBorder="1"/>
    <xf numFmtId="0" fontId="8" fillId="0" borderId="0" xfId="465" applyFont="1" applyFill="1" applyBorder="1"/>
    <xf numFmtId="0" fontId="8" fillId="0" borderId="21" xfId="465" applyFont="1" applyFill="1" applyBorder="1" applyAlignment="1"/>
    <xf numFmtId="0" fontId="8" fillId="0" borderId="10" xfId="465" applyFont="1" applyFill="1" applyBorder="1" applyAlignment="1">
      <alignment wrapText="1"/>
    </xf>
    <xf numFmtId="0" fontId="8" fillId="0" borderId="23" xfId="465" applyFont="1" applyFill="1" applyBorder="1" applyAlignment="1">
      <alignment wrapText="1"/>
    </xf>
    <xf numFmtId="164" fontId="8" fillId="0" borderId="0" xfId="465" applyNumberFormat="1" applyFont="1" applyFill="1" applyBorder="1" applyAlignment="1">
      <alignment horizontal="center"/>
    </xf>
    <xf numFmtId="164" fontId="8" fillId="0" borderId="0" xfId="390" applyNumberFormat="1" applyFont="1" applyFill="1" applyBorder="1" applyAlignment="1">
      <alignment horizontal="left"/>
    </xf>
    <xf numFmtId="0" fontId="8" fillId="0" borderId="0" xfId="465" applyFont="1" applyFill="1" applyBorder="1" applyAlignment="1">
      <alignment horizontal="left"/>
    </xf>
    <xf numFmtId="0" fontId="8" fillId="0" borderId="21" xfId="465" applyFont="1" applyFill="1" applyBorder="1" applyAlignment="1">
      <alignment horizontal="center"/>
    </xf>
    <xf numFmtId="164" fontId="8" fillId="0" borderId="0" xfId="390" applyNumberFormat="1" applyFont="1" applyFill="1" applyBorder="1" applyAlignment="1"/>
    <xf numFmtId="0" fontId="8" fillId="0" borderId="0" xfId="465" applyFont="1" applyFill="1" applyBorder="1" applyAlignment="1">
      <alignment horizontal="center"/>
    </xf>
    <xf numFmtId="0" fontId="52" fillId="0" borderId="21" xfId="465" applyFont="1" applyBorder="1"/>
    <xf numFmtId="0" fontId="90" fillId="0" borderId="0" xfId="0" applyNumberFormat="1" applyFont="1" applyFill="1"/>
    <xf numFmtId="0" fontId="90" fillId="0" borderId="0" xfId="0" applyFont="1" applyFill="1" applyAlignment="1"/>
    <xf numFmtId="0" fontId="90" fillId="0" borderId="0" xfId="0" applyFont="1" applyFill="1" applyBorder="1" applyAlignment="1"/>
    <xf numFmtId="0" fontId="90" fillId="0" borderId="0" xfId="0" applyFont="1" applyBorder="1" applyAlignment="1"/>
    <xf numFmtId="0" fontId="91" fillId="0" borderId="0" xfId="0" applyFont="1" applyBorder="1" applyAlignment="1">
      <alignment horizontal="center"/>
    </xf>
    <xf numFmtId="37" fontId="90" fillId="0" borderId="0" xfId="0" applyNumberFormat="1" applyFont="1" applyBorder="1" applyAlignment="1">
      <alignment horizontal="left"/>
    </xf>
    <xf numFmtId="0" fontId="90" fillId="0" borderId="0" xfId="0" applyFont="1" applyBorder="1"/>
    <xf numFmtId="37" fontId="92" fillId="0" borderId="0" xfId="0" applyNumberFormat="1" applyFont="1" applyBorder="1" applyAlignment="1">
      <alignment horizontal="right"/>
    </xf>
    <xf numFmtId="0" fontId="90" fillId="0" borderId="0" xfId="0" applyFont="1" applyFill="1" applyAlignment="1">
      <alignment horizontal="left"/>
    </xf>
    <xf numFmtId="0" fontId="91" fillId="0" borderId="0" xfId="0" applyFont="1" applyFill="1" applyBorder="1" applyAlignment="1">
      <alignment horizontal="center"/>
    </xf>
    <xf numFmtId="37" fontId="90" fillId="0" borderId="0" xfId="0" applyNumberFormat="1" applyFont="1" applyFill="1" applyBorder="1" applyAlignment="1">
      <alignment horizontal="left"/>
    </xf>
    <xf numFmtId="43" fontId="35" fillId="0" borderId="0" xfId="381" applyFont="1" applyFill="1" applyBorder="1" applyAlignment="1">
      <alignment horizontal="center"/>
    </xf>
    <xf numFmtId="43" fontId="35" fillId="0" borderId="21" xfId="381" applyFont="1" applyFill="1" applyBorder="1" applyAlignment="1">
      <alignment horizontal="center"/>
    </xf>
    <xf numFmtId="0" fontId="9" fillId="0" borderId="14" xfId="467" applyFont="1" applyBorder="1" applyAlignment="1">
      <alignment horizontal="center"/>
    </xf>
    <xf numFmtId="0" fontId="9" fillId="0" borderId="0" xfId="467" applyFont="1"/>
    <xf numFmtId="13" fontId="8" fillId="0" borderId="0" xfId="467" applyNumberFormat="1" applyFont="1"/>
    <xf numFmtId="49" fontId="8" fillId="0" borderId="0" xfId="467" applyNumberFormat="1" applyFont="1" applyAlignment="1">
      <alignment horizontal="left" indent="1"/>
    </xf>
    <xf numFmtId="17" fontId="8" fillId="0" borderId="0" xfId="467" applyNumberFormat="1" applyFont="1"/>
    <xf numFmtId="43" fontId="12" fillId="0" borderId="12" xfId="0" applyNumberFormat="1" applyFont="1" applyFill="1" applyBorder="1" applyAlignment="1"/>
    <xf numFmtId="167" fontId="35" fillId="0" borderId="0" xfId="420" applyNumberFormat="1" applyFont="1" applyBorder="1"/>
    <xf numFmtId="0" fontId="34" fillId="0" borderId="0" xfId="0" applyFont="1" applyBorder="1"/>
    <xf numFmtId="164" fontId="29" fillId="0" borderId="0" xfId="0" applyNumberFormat="1" applyFont="1" applyFill="1" applyBorder="1" applyAlignment="1">
      <alignment horizontal="center"/>
    </xf>
    <xf numFmtId="164" fontId="29" fillId="0" borderId="0" xfId="381" applyNumberFormat="1" applyFont="1" applyFill="1" applyBorder="1" applyAlignment="1">
      <alignment horizontal="center"/>
    </xf>
    <xf numFmtId="164" fontId="35" fillId="0" borderId="0" xfId="0" applyNumberFormat="1" applyFont="1" applyBorder="1"/>
    <xf numFmtId="0" fontId="9" fillId="0" borderId="0" xfId="0" applyFont="1"/>
    <xf numFmtId="0" fontId="101" fillId="0" borderId="0" xfId="0" applyFont="1" applyFill="1"/>
    <xf numFmtId="0" fontId="0" fillId="0" borderId="17" xfId="0" applyBorder="1" applyAlignment="1">
      <alignment wrapText="1"/>
    </xf>
    <xf numFmtId="0" fontId="0" fillId="0" borderId="17" xfId="0" applyBorder="1" applyAlignment="1">
      <alignment horizontal="center" wrapText="1"/>
    </xf>
    <xf numFmtId="0" fontId="0" fillId="0" borderId="17" xfId="0" applyFill="1" applyBorder="1" applyAlignment="1">
      <alignment horizontal="center" wrapText="1"/>
    </xf>
    <xf numFmtId="0" fontId="0" fillId="0" borderId="34" xfId="0" applyBorder="1"/>
    <xf numFmtId="164" fontId="87" fillId="0" borderId="17" xfId="381" applyNumberFormat="1" applyFont="1" applyBorder="1"/>
    <xf numFmtId="0" fontId="81" fillId="0" borderId="17" xfId="0" applyFont="1" applyBorder="1"/>
    <xf numFmtId="0" fontId="81" fillId="30" borderId="17" xfId="381" applyNumberFormat="1" applyFont="1" applyFill="1" applyBorder="1"/>
    <xf numFmtId="164" fontId="81" fillId="30" borderId="17" xfId="381" applyNumberFormat="1" applyFont="1" applyFill="1" applyBorder="1"/>
    <xf numFmtId="0" fontId="45" fillId="0" borderId="17" xfId="0" applyFont="1" applyBorder="1"/>
    <xf numFmtId="164" fontId="45" fillId="0" borderId="17" xfId="381" applyNumberFormat="1" applyFont="1" applyBorder="1"/>
    <xf numFmtId="164" fontId="45" fillId="30" borderId="17" xfId="381" applyNumberFormat="1" applyFont="1" applyFill="1" applyBorder="1"/>
    <xf numFmtId="0" fontId="45" fillId="30" borderId="17" xfId="381" applyNumberFormat="1" applyFont="1" applyFill="1" applyBorder="1"/>
    <xf numFmtId="164" fontId="9" fillId="0" borderId="17" xfId="381" applyNumberFormat="1" applyFont="1" applyBorder="1"/>
    <xf numFmtId="0" fontId="0" fillId="0" borderId="35" xfId="0" applyBorder="1"/>
    <xf numFmtId="0" fontId="0" fillId="0" borderId="34" xfId="0" applyFill="1" applyBorder="1"/>
    <xf numFmtId="0" fontId="0" fillId="0" borderId="35" xfId="0" applyFill="1" applyBorder="1"/>
    <xf numFmtId="0" fontId="0" fillId="0" borderId="28" xfId="0" applyFill="1" applyBorder="1"/>
    <xf numFmtId="0" fontId="101" fillId="0" borderId="0" xfId="0" applyFont="1"/>
    <xf numFmtId="0" fontId="0" fillId="0" borderId="0" xfId="0" applyFill="1" applyBorder="1" applyAlignment="1">
      <alignment horizontal="center" wrapText="1"/>
    </xf>
    <xf numFmtId="164" fontId="0" fillId="0" borderId="0" xfId="0" applyNumberFormat="1" applyBorder="1"/>
    <xf numFmtId="0" fontId="102" fillId="0" borderId="0" xfId="0" applyFont="1" applyBorder="1"/>
    <xf numFmtId="0" fontId="9" fillId="0" borderId="0" xfId="0" applyFont="1" applyBorder="1"/>
    <xf numFmtId="173" fontId="0" fillId="0" borderId="0" xfId="0" applyNumberFormat="1" applyFill="1" applyAlignment="1">
      <alignment horizontal="center" wrapText="1"/>
    </xf>
    <xf numFmtId="3" fontId="8" fillId="0" borderId="0" xfId="465" applyNumberFormat="1" applyFont="1" applyFill="1" applyBorder="1" applyAlignment="1">
      <alignment horizontal="right"/>
    </xf>
    <xf numFmtId="0" fontId="0" fillId="0" borderId="0" xfId="0" quotePrefix="1"/>
    <xf numFmtId="43" fontId="0" fillId="0" borderId="0" xfId="381" applyNumberFormat="1" applyFont="1"/>
    <xf numFmtId="176" fontId="0" fillId="0" borderId="0" xfId="381" applyNumberFormat="1" applyFont="1"/>
    <xf numFmtId="0" fontId="30" fillId="35" borderId="25" xfId="0" applyFont="1" applyFill="1" applyBorder="1" applyAlignment="1">
      <alignment horizontal="left"/>
    </xf>
    <xf numFmtId="0" fontId="12" fillId="35" borderId="24" xfId="0" applyFont="1" applyFill="1" applyBorder="1" applyAlignment="1"/>
    <xf numFmtId="0" fontId="12" fillId="35" borderId="24" xfId="0" applyFont="1" applyFill="1" applyBorder="1" applyAlignment="1">
      <alignment horizontal="center"/>
    </xf>
    <xf numFmtId="0" fontId="10" fillId="35" borderId="29" xfId="0" applyFont="1" applyFill="1" applyBorder="1" applyAlignment="1">
      <alignment horizontal="center" wrapText="1"/>
    </xf>
    <xf numFmtId="0" fontId="30" fillId="35" borderId="22" xfId="0" applyFont="1" applyFill="1" applyBorder="1" applyAlignment="1">
      <alignment horizontal="left"/>
    </xf>
    <xf numFmtId="0" fontId="10" fillId="35" borderId="10" xfId="0" applyFont="1" applyFill="1" applyBorder="1" applyAlignment="1"/>
    <xf numFmtId="0" fontId="10" fillId="35" borderId="10" xfId="0" applyNumberFormat="1" applyFont="1" applyFill="1" applyBorder="1" applyAlignment="1">
      <alignment horizontal="center"/>
    </xf>
    <xf numFmtId="0" fontId="10" fillId="35" borderId="23" xfId="0" applyFont="1" applyFill="1" applyBorder="1" applyAlignment="1"/>
    <xf numFmtId="0" fontId="10" fillId="35" borderId="42" xfId="0" applyFont="1" applyFill="1" applyBorder="1" applyAlignment="1">
      <alignment horizontal="center" wrapText="1"/>
    </xf>
    <xf numFmtId="0" fontId="10" fillId="35" borderId="43" xfId="0" applyFont="1" applyFill="1" applyBorder="1" applyAlignment="1">
      <alignment horizontal="center" wrapText="1"/>
    </xf>
    <xf numFmtId="0" fontId="10" fillId="35" borderId="44" xfId="0" applyFont="1" applyFill="1" applyBorder="1" applyAlignment="1">
      <alignment horizontal="center" wrapText="1"/>
    </xf>
    <xf numFmtId="0" fontId="10" fillId="35" borderId="45" xfId="0" applyFont="1" applyFill="1" applyBorder="1" applyAlignment="1">
      <alignment horizontal="center"/>
    </xf>
    <xf numFmtId="0" fontId="10" fillId="35" borderId="46" xfId="0" applyFont="1" applyFill="1" applyBorder="1" applyAlignment="1">
      <alignment horizontal="center"/>
    </xf>
    <xf numFmtId="43" fontId="87" fillId="0" borderId="0" xfId="381" applyFont="1"/>
    <xf numFmtId="0" fontId="44" fillId="0" borderId="0" xfId="0" applyFont="1"/>
    <xf numFmtId="17" fontId="9" fillId="0" borderId="26" xfId="0" applyNumberFormat="1" applyFont="1" applyBorder="1" applyAlignment="1">
      <alignment horizontal="center"/>
    </xf>
    <xf numFmtId="0" fontId="103" fillId="0" borderId="0" xfId="0" applyFont="1" applyBorder="1"/>
    <xf numFmtId="164" fontId="103" fillId="0" borderId="0" xfId="381" applyNumberFormat="1" applyFont="1" applyBorder="1"/>
    <xf numFmtId="43" fontId="12" fillId="0" borderId="0" xfId="381" applyFont="1" applyBorder="1"/>
    <xf numFmtId="0" fontId="115" fillId="0" borderId="0" xfId="0" applyFont="1"/>
    <xf numFmtId="37" fontId="0" fillId="0" borderId="0" xfId="0" applyNumberFormat="1"/>
    <xf numFmtId="37" fontId="0" fillId="0" borderId="12" xfId="0" applyNumberFormat="1" applyBorder="1"/>
    <xf numFmtId="2" fontId="8" fillId="0" borderId="0" xfId="467" applyNumberFormat="1" applyFont="1" applyFill="1"/>
    <xf numFmtId="43" fontId="8" fillId="0" borderId="0" xfId="381" applyNumberFormat="1" applyFont="1" applyFill="1"/>
    <xf numFmtId="0" fontId="50" fillId="0" borderId="0" xfId="467" applyFont="1" applyAlignment="1">
      <alignment wrapText="1"/>
    </xf>
    <xf numFmtId="0" fontId="12" fillId="0" borderId="28" xfId="0" applyFont="1" applyBorder="1"/>
    <xf numFmtId="37" fontId="8" fillId="0" borderId="28" xfId="0" applyNumberFormat="1" applyFont="1" applyBorder="1"/>
    <xf numFmtId="37" fontId="8" fillId="0" borderId="0" xfId="0" applyNumberFormat="1" applyFont="1" applyFill="1" applyBorder="1" applyAlignment="1"/>
    <xf numFmtId="0" fontId="8" fillId="0" borderId="0" xfId="467" applyFont="1" applyBorder="1" applyAlignment="1">
      <alignment wrapText="1"/>
    </xf>
    <xf numFmtId="43" fontId="8" fillId="0" borderId="0" xfId="0" applyNumberFormat="1" applyFont="1" applyFill="1" applyBorder="1" applyAlignment="1">
      <alignment horizontal="center"/>
    </xf>
    <xf numFmtId="164" fontId="35" fillId="34" borderId="0" xfId="381" applyNumberFormat="1" applyFont="1" applyFill="1" applyBorder="1" applyAlignment="1"/>
    <xf numFmtId="0" fontId="116" fillId="0" borderId="0" xfId="0" applyFont="1"/>
    <xf numFmtId="0" fontId="9" fillId="0" borderId="0" xfId="0" applyFont="1" applyFill="1" applyAlignment="1">
      <alignment horizontal="left"/>
    </xf>
    <xf numFmtId="164" fontId="9" fillId="0" borderId="26" xfId="381" applyNumberFormat="1" applyFont="1" applyBorder="1"/>
    <xf numFmtId="4" fontId="0" fillId="0" borderId="0" xfId="0" applyNumberFormat="1" applyFill="1"/>
    <xf numFmtId="43" fontId="9" fillId="0" borderId="0" xfId="381" applyFont="1" applyAlignment="1">
      <alignment horizontal="center"/>
    </xf>
    <xf numFmtId="1" fontId="9" fillId="0" borderId="47" xfId="0" applyNumberFormat="1" applyFont="1" applyFill="1" applyBorder="1" applyAlignment="1">
      <alignment horizontal="center"/>
    </xf>
    <xf numFmtId="164" fontId="18" fillId="0" borderId="20" xfId="381" applyNumberFormat="1" applyFont="1" applyFill="1" applyBorder="1" applyAlignment="1">
      <alignment horizontal="center" wrapText="1"/>
    </xf>
    <xf numFmtId="164" fontId="18" fillId="0" borderId="0" xfId="381" applyNumberFormat="1" applyFont="1" applyFill="1" applyBorder="1" applyAlignment="1">
      <alignment horizontal="center" wrapText="1"/>
    </xf>
    <xf numFmtId="175" fontId="50" fillId="34" borderId="0" xfId="381" applyNumberFormat="1" applyFont="1" applyFill="1"/>
    <xf numFmtId="40" fontId="50" fillId="34" borderId="0" xfId="475" applyNumberFormat="1" applyFont="1" applyFill="1" applyBorder="1"/>
    <xf numFmtId="0" fontId="50" fillId="0" borderId="0" xfId="467" applyFont="1" applyFill="1" applyBorder="1"/>
    <xf numFmtId="164" fontId="50" fillId="0" borderId="0" xfId="381" applyNumberFormat="1" applyFont="1" applyFill="1" applyBorder="1"/>
    <xf numFmtId="164" fontId="50" fillId="0" borderId="0" xfId="467" applyNumberFormat="1" applyFont="1" applyFill="1" applyBorder="1"/>
    <xf numFmtId="164" fontId="50" fillId="0" borderId="0" xfId="381" applyNumberFormat="1" applyFont="1" applyBorder="1"/>
    <xf numFmtId="40" fontId="50" fillId="34" borderId="0" xfId="476" applyNumberFormat="1" applyFont="1" applyFill="1" applyBorder="1"/>
    <xf numFmtId="0" fontId="8" fillId="0" borderId="0" xfId="473" applyNumberFormat="1" applyFont="1" applyFill="1" applyBorder="1" applyAlignment="1"/>
    <xf numFmtId="0" fontId="8" fillId="0" borderId="0" xfId="473" applyFont="1" applyFill="1" applyBorder="1" applyAlignment="1">
      <alignment horizontal="left"/>
    </xf>
    <xf numFmtId="0" fontId="8" fillId="0" borderId="0" xfId="473" applyFont="1" applyFill="1" applyBorder="1" applyAlignment="1"/>
    <xf numFmtId="0" fontId="8" fillId="0" borderId="0" xfId="473" applyFont="1" applyBorder="1"/>
    <xf numFmtId="0" fontId="8" fillId="0" borderId="10" xfId="473" applyNumberFormat="1" applyFont="1" applyFill="1" applyBorder="1" applyAlignment="1">
      <alignment horizontal="right"/>
    </xf>
    <xf numFmtId="0" fontId="8" fillId="0" borderId="10" xfId="473" applyNumberFormat="1" applyFont="1" applyFill="1" applyBorder="1" applyAlignment="1">
      <alignment horizontal="left"/>
    </xf>
    <xf numFmtId="0" fontId="8" fillId="0" borderId="10" xfId="473" applyNumberFormat="1" applyFont="1" applyFill="1" applyBorder="1" applyAlignment="1">
      <alignment horizontal="center"/>
    </xf>
    <xf numFmtId="43" fontId="12" fillId="0" borderId="0" xfId="0" applyNumberFormat="1" applyFont="1"/>
    <xf numFmtId="164" fontId="9" fillId="0" borderId="0" xfId="390" applyNumberFormat="1" applyFont="1" applyFill="1" applyBorder="1" applyAlignment="1">
      <alignment horizontal="right"/>
    </xf>
    <xf numFmtId="0" fontId="52" fillId="0" borderId="0" xfId="465" applyFont="1" applyFill="1" applyBorder="1" applyAlignment="1">
      <alignment horizontal="left"/>
    </xf>
    <xf numFmtId="164" fontId="18" fillId="0" borderId="34" xfId="390" applyNumberFormat="1" applyFont="1" applyFill="1" applyBorder="1" applyAlignment="1">
      <alignment horizontal="right"/>
    </xf>
    <xf numFmtId="0" fontId="18" fillId="0" borderId="28" xfId="465" applyNumberFormat="1" applyFont="1" applyFill="1" applyBorder="1" applyAlignment="1">
      <alignment horizontal="left"/>
    </xf>
    <xf numFmtId="0" fontId="18" fillId="0" borderId="28" xfId="465" applyFont="1" applyFill="1" applyBorder="1" applyAlignment="1"/>
    <xf numFmtId="0" fontId="18" fillId="0" borderId="28" xfId="465" applyFont="1" applyFill="1" applyBorder="1" applyAlignment="1">
      <alignment horizontal="left"/>
    </xf>
    <xf numFmtId="3" fontId="18" fillId="0" borderId="28" xfId="465" applyNumberFormat="1" applyFont="1" applyFill="1" applyBorder="1" applyAlignment="1">
      <alignment horizontal="left"/>
    </xf>
    <xf numFmtId="0" fontId="9" fillId="0" borderId="28" xfId="465" applyFont="1" applyFill="1" applyBorder="1" applyAlignment="1">
      <alignment horizontal="center"/>
    </xf>
    <xf numFmtId="164" fontId="18" fillId="0" borderId="28" xfId="465" applyNumberFormat="1" applyFont="1" applyFill="1" applyBorder="1" applyAlignment="1">
      <alignment horizontal="left"/>
    </xf>
    <xf numFmtId="0" fontId="10" fillId="0" borderId="27" xfId="0" applyFont="1" applyFill="1" applyBorder="1"/>
    <xf numFmtId="0" fontId="12" fillId="0" borderId="27" xfId="0" applyFont="1" applyFill="1" applyBorder="1"/>
    <xf numFmtId="0" fontId="8" fillId="0" borderId="20" xfId="465" applyFont="1" applyFill="1" applyBorder="1"/>
    <xf numFmtId="0" fontId="8" fillId="0" borderId="20" xfId="465" applyNumberFormat="1" applyFont="1" applyFill="1" applyBorder="1" applyAlignment="1">
      <alignment horizontal="left"/>
    </xf>
    <xf numFmtId="0" fontId="8" fillId="0" borderId="22" xfId="465" applyNumberFormat="1" applyFont="1" applyFill="1" applyBorder="1" applyAlignment="1">
      <alignment horizontal="center"/>
    </xf>
    <xf numFmtId="0" fontId="8" fillId="0" borderId="10" xfId="465" applyNumberFormat="1" applyFont="1" applyFill="1" applyBorder="1" applyAlignment="1">
      <alignment horizontal="center"/>
    </xf>
    <xf numFmtId="164" fontId="18" fillId="0" borderId="48" xfId="465" applyNumberFormat="1" applyFont="1" applyFill="1" applyBorder="1" applyAlignment="1"/>
    <xf numFmtId="164" fontId="18" fillId="0" borderId="10" xfId="465" applyNumberFormat="1" applyFont="1" applyFill="1" applyBorder="1" applyAlignment="1"/>
    <xf numFmtId="0" fontId="29" fillId="0" borderId="24" xfId="0" applyNumberFormat="1" applyFont="1" applyFill="1" applyBorder="1" applyAlignment="1">
      <alignment horizontal="center"/>
    </xf>
    <xf numFmtId="0" fontId="35" fillId="0" borderId="24" xfId="0" applyFont="1" applyBorder="1"/>
    <xf numFmtId="0" fontId="34" fillId="0" borderId="24" xfId="0" applyFont="1" applyBorder="1"/>
    <xf numFmtId="0" fontId="35" fillId="0" borderId="29" xfId="0" applyFont="1" applyBorder="1"/>
    <xf numFmtId="0" fontId="29" fillId="0" borderId="20" xfId="0" applyNumberFormat="1" applyFont="1" applyFill="1" applyBorder="1" applyAlignment="1">
      <alignment horizontal="center"/>
    </xf>
    <xf numFmtId="0" fontId="35" fillId="0" borderId="21" xfId="0" applyFont="1" applyBorder="1"/>
    <xf numFmtId="0" fontId="29" fillId="0" borderId="22" xfId="0" applyNumberFormat="1" applyFont="1" applyFill="1" applyBorder="1" applyAlignment="1">
      <alignment horizontal="center"/>
    </xf>
    <xf numFmtId="0" fontId="29" fillId="0" borderId="10" xfId="0" applyNumberFormat="1" applyFont="1" applyFill="1" applyBorder="1" applyAlignment="1">
      <alignment horizontal="center"/>
    </xf>
    <xf numFmtId="0" fontId="29" fillId="0" borderId="10" xfId="0" applyNumberFormat="1" applyFont="1" applyFill="1" applyBorder="1" applyAlignment="1">
      <alignment horizontal="left"/>
    </xf>
    <xf numFmtId="164" fontId="29" fillId="0" borderId="10" xfId="381" applyNumberFormat="1" applyFont="1" applyFill="1" applyBorder="1" applyAlignment="1">
      <alignment horizontal="center"/>
    </xf>
    <xf numFmtId="164" fontId="29" fillId="0" borderId="10" xfId="0" applyNumberFormat="1" applyFont="1" applyFill="1" applyBorder="1" applyAlignment="1">
      <alignment horizontal="center"/>
    </xf>
    <xf numFmtId="0" fontId="29" fillId="0" borderId="42" xfId="0" applyNumberFormat="1" applyFont="1" applyFill="1" applyBorder="1" applyAlignment="1">
      <alignment horizontal="center" wrapText="1"/>
    </xf>
    <xf numFmtId="164" fontId="29" fillId="0" borderId="28" xfId="0" applyNumberFormat="1" applyFont="1" applyFill="1" applyBorder="1" applyAlignment="1">
      <alignment horizontal="center"/>
    </xf>
    <xf numFmtId="0" fontId="29" fillId="0" borderId="42" xfId="0" applyNumberFormat="1" applyFont="1" applyFill="1" applyBorder="1" applyAlignment="1">
      <alignment horizontal="center"/>
    </xf>
    <xf numFmtId="164" fontId="29" fillId="0" borderId="49" xfId="0" applyNumberFormat="1" applyFont="1" applyFill="1" applyBorder="1" applyAlignment="1">
      <alignment horizontal="center"/>
    </xf>
    <xf numFmtId="37" fontId="0" fillId="0" borderId="0" xfId="0" applyNumberFormat="1" applyBorder="1"/>
    <xf numFmtId="0" fontId="0" fillId="0" borderId="10" xfId="0" applyBorder="1"/>
    <xf numFmtId="0" fontId="18" fillId="0" borderId="24" xfId="465" applyFont="1" applyFill="1" applyBorder="1"/>
    <xf numFmtId="0" fontId="8" fillId="0" borderId="24" xfId="465" applyFont="1" applyFill="1" applyBorder="1"/>
    <xf numFmtId="0" fontId="18" fillId="0" borderId="29" xfId="465" applyFont="1" applyFill="1" applyBorder="1"/>
    <xf numFmtId="0" fontId="18" fillId="0" borderId="21" xfId="465" applyFont="1" applyFill="1" applyBorder="1"/>
    <xf numFmtId="0" fontId="8" fillId="0" borderId="21" xfId="0" applyFont="1" applyFill="1" applyBorder="1" applyAlignment="1">
      <alignment horizontal="right"/>
    </xf>
    <xf numFmtId="41" fontId="9" fillId="0" borderId="26" xfId="0" applyNumberFormat="1" applyFont="1" applyBorder="1"/>
    <xf numFmtId="0" fontId="44" fillId="0" borderId="0" xfId="0" applyFont="1" applyAlignment="1">
      <alignment horizontal="center"/>
    </xf>
    <xf numFmtId="184" fontId="44" fillId="0" borderId="0" xfId="0" applyNumberFormat="1" applyFont="1"/>
    <xf numFmtId="0" fontId="12" fillId="0" borderId="0" xfId="0" applyNumberFormat="1" applyFont="1" applyFill="1" applyBorder="1" applyAlignment="1">
      <alignment horizontal="center" wrapText="1"/>
    </xf>
    <xf numFmtId="173" fontId="35" fillId="0" borderId="0" xfId="0" applyNumberFormat="1" applyFont="1" applyFill="1" applyBorder="1"/>
    <xf numFmtId="164" fontId="35" fillId="36" borderId="0" xfId="381" applyNumberFormat="1" applyFont="1" applyFill="1" applyBorder="1"/>
    <xf numFmtId="164" fontId="35" fillId="37" borderId="0" xfId="381" applyNumberFormat="1" applyFont="1" applyFill="1" applyBorder="1"/>
    <xf numFmtId="164" fontId="52" fillId="0" borderId="0" xfId="381" applyNumberFormat="1" applyFont="1" applyBorder="1"/>
    <xf numFmtId="3" fontId="12" fillId="0" borderId="28" xfId="0" applyNumberFormat="1" applyFont="1" applyBorder="1" applyAlignment="1"/>
    <xf numFmtId="173" fontId="10" fillId="0" borderId="28" xfId="633" applyNumberFormat="1" applyFont="1" applyFill="1" applyBorder="1" applyAlignment="1"/>
    <xf numFmtId="0" fontId="12" fillId="0" borderId="28" xfId="0" applyFont="1" applyFill="1" applyBorder="1"/>
    <xf numFmtId="0" fontId="12" fillId="30" borderId="28" xfId="0" applyFont="1" applyFill="1" applyBorder="1" applyAlignment="1">
      <alignment horizontal="center" wrapText="1"/>
    </xf>
    <xf numFmtId="0" fontId="12" fillId="0" borderId="28" xfId="0" applyFont="1" applyFill="1" applyBorder="1" applyAlignment="1">
      <alignment horizontal="center" wrapText="1"/>
    </xf>
    <xf numFmtId="3" fontId="12" fillId="0" borderId="35" xfId="0" applyNumberFormat="1" applyFont="1" applyFill="1" applyBorder="1" applyAlignment="1"/>
    <xf numFmtId="3" fontId="10" fillId="0" borderId="28" xfId="0" applyNumberFormat="1" applyFont="1" applyFill="1" applyBorder="1" applyAlignment="1"/>
    <xf numFmtId="3" fontId="63" fillId="0" borderId="28" xfId="0" applyNumberFormat="1" applyFont="1" applyFill="1" applyBorder="1"/>
    <xf numFmtId="0" fontId="12" fillId="30" borderId="28" xfId="0" applyFont="1" applyFill="1" applyBorder="1"/>
    <xf numFmtId="3" fontId="12" fillId="0" borderId="28" xfId="0" applyNumberFormat="1" applyFont="1" applyFill="1" applyBorder="1" applyAlignment="1">
      <alignment horizontal="right"/>
    </xf>
    <xf numFmtId="3" fontId="10" fillId="0" borderId="28" xfId="0" applyNumberFormat="1" applyFont="1" applyFill="1" applyBorder="1" applyAlignment="1">
      <alignment horizontal="right"/>
    </xf>
    <xf numFmtId="173" fontId="12" fillId="0" borderId="28" xfId="0" applyNumberFormat="1" applyFont="1" applyFill="1" applyBorder="1" applyAlignment="1">
      <alignment horizontal="right"/>
    </xf>
    <xf numFmtId="3" fontId="12" fillId="0" borderId="35" xfId="0" applyNumberFormat="1" applyFont="1" applyFill="1" applyBorder="1" applyAlignment="1">
      <alignment horizontal="right"/>
    </xf>
    <xf numFmtId="3" fontId="14" fillId="0" borderId="28" xfId="0" applyNumberFormat="1" applyFont="1" applyFill="1" applyBorder="1" applyAlignment="1">
      <alignment horizontal="right"/>
    </xf>
    <xf numFmtId="173" fontId="12" fillId="0" borderId="28" xfId="0" applyNumberFormat="1" applyFont="1" applyBorder="1" applyAlignment="1">
      <alignment horizontal="right"/>
    </xf>
    <xf numFmtId="173" fontId="12" fillId="0" borderId="35" xfId="0" applyNumberFormat="1" applyFont="1" applyFill="1" applyBorder="1" applyAlignment="1">
      <alignment horizontal="right"/>
    </xf>
    <xf numFmtId="10" fontId="12" fillId="0" borderId="28" xfId="633" applyNumberFormat="1" applyFont="1" applyFill="1" applyBorder="1" applyAlignment="1"/>
    <xf numFmtId="166" fontId="12" fillId="0" borderId="28" xfId="0" applyNumberFormat="1" applyFont="1" applyFill="1" applyBorder="1" applyAlignment="1"/>
    <xf numFmtId="0" fontId="9" fillId="0" borderId="24" xfId="465" applyFont="1" applyFill="1" applyBorder="1" applyAlignment="1">
      <alignment horizontal="center"/>
    </xf>
    <xf numFmtId="0" fontId="18" fillId="0" borderId="24" xfId="465" applyFont="1" applyFill="1" applyBorder="1" applyAlignment="1">
      <alignment horizontal="center" wrapText="1"/>
    </xf>
    <xf numFmtId="166" fontId="12" fillId="0" borderId="35" xfId="0" applyNumberFormat="1" applyFont="1" applyFill="1" applyBorder="1" applyAlignment="1"/>
    <xf numFmtId="166" fontId="10" fillId="0" borderId="28" xfId="0" applyNumberFormat="1" applyFont="1" applyFill="1" applyBorder="1" applyAlignment="1"/>
    <xf numFmtId="166" fontId="10" fillId="0" borderId="28" xfId="0" applyNumberFormat="1" applyFont="1" applyBorder="1" applyAlignment="1"/>
    <xf numFmtId="166" fontId="12" fillId="0" borderId="28" xfId="0" applyNumberFormat="1" applyFont="1" applyBorder="1" applyAlignment="1"/>
    <xf numFmtId="0" fontId="12" fillId="0" borderId="28" xfId="0" applyFont="1" applyBorder="1" applyAlignment="1"/>
    <xf numFmtId="10" fontId="12" fillId="0" borderId="28" xfId="0" applyNumberFormat="1" applyFont="1" applyFill="1" applyBorder="1"/>
    <xf numFmtId="10" fontId="12" fillId="0" borderId="28" xfId="0" applyNumberFormat="1" applyFont="1" applyFill="1" applyBorder="1" applyAlignment="1">
      <alignment horizontal="right"/>
    </xf>
    <xf numFmtId="10" fontId="12" fillId="0" borderId="28" xfId="633" applyNumberFormat="1" applyFont="1" applyBorder="1" applyAlignment="1"/>
    <xf numFmtId="3" fontId="10" fillId="0" borderId="34" xfId="0" applyNumberFormat="1" applyFont="1" applyBorder="1" applyAlignment="1">
      <alignment horizontal="right"/>
    </xf>
    <xf numFmtId="3" fontId="16" fillId="0" borderId="28" xfId="0" applyNumberFormat="1" applyFont="1" applyBorder="1" applyAlignment="1">
      <alignment horizontal="right"/>
    </xf>
    <xf numFmtId="3" fontId="12" fillId="0" borderId="28" xfId="0" applyNumberFormat="1" applyFont="1" applyBorder="1" applyAlignment="1">
      <alignment horizontal="right"/>
    </xf>
    <xf numFmtId="164" fontId="10" fillId="0" borderId="33" xfId="381" applyNumberFormat="1" applyFont="1" applyFill="1" applyBorder="1" applyAlignment="1">
      <alignment horizontal="right"/>
    </xf>
    <xf numFmtId="174" fontId="12" fillId="0" borderId="28" xfId="633" applyNumberFormat="1" applyFont="1" applyFill="1" applyBorder="1" applyAlignment="1">
      <alignment horizontal="right"/>
    </xf>
    <xf numFmtId="3" fontId="21" fillId="0" borderId="28" xfId="0" applyNumberFormat="1" applyFont="1" applyBorder="1"/>
    <xf numFmtId="164" fontId="12" fillId="0" borderId="28" xfId="381" applyNumberFormat="1" applyFont="1" applyFill="1" applyBorder="1" applyAlignment="1"/>
    <xf numFmtId="164" fontId="12" fillId="0" borderId="14" xfId="381" applyNumberFormat="1" applyFont="1" applyFill="1" applyBorder="1"/>
    <xf numFmtId="3" fontId="10" fillId="0" borderId="12" xfId="0" applyNumberFormat="1" applyFont="1" applyBorder="1"/>
    <xf numFmtId="3" fontId="21" fillId="0" borderId="15" xfId="0" applyNumberFormat="1" applyFont="1" applyBorder="1"/>
    <xf numFmtId="3" fontId="12" fillId="0" borderId="14" xfId="0" applyNumberFormat="1" applyFont="1" applyFill="1" applyBorder="1"/>
    <xf numFmtId="164" fontId="12" fillId="0" borderId="0" xfId="381" applyNumberFormat="1" applyFont="1" applyFill="1" applyBorder="1" applyAlignment="1"/>
    <xf numFmtId="0" fontId="12" fillId="0" borderId="25" xfId="0" applyFont="1" applyFill="1" applyBorder="1" applyAlignment="1">
      <alignment horizontal="left"/>
    </xf>
    <xf numFmtId="0" fontId="12" fillId="0" borderId="24" xfId="0" applyFont="1" applyFill="1" applyBorder="1" applyAlignment="1"/>
    <xf numFmtId="0" fontId="10" fillId="0" borderId="24" xfId="0" applyNumberFormat="1" applyFont="1" applyFill="1" applyBorder="1" applyAlignment="1">
      <alignment horizontal="center"/>
    </xf>
    <xf numFmtId="0" fontId="12" fillId="0" borderId="24" xfId="0" applyFont="1" applyFill="1" applyBorder="1"/>
    <xf numFmtId="0" fontId="12" fillId="0" borderId="50" xfId="0" applyFont="1" applyFill="1" applyBorder="1" applyAlignment="1">
      <alignment horizontal="center" wrapText="1"/>
    </xf>
    <xf numFmtId="164" fontId="12" fillId="0" borderId="24" xfId="381" applyNumberFormat="1" applyFont="1" applyFill="1" applyBorder="1"/>
    <xf numFmtId="164" fontId="12" fillId="0" borderId="50" xfId="381" applyNumberFormat="1" applyFont="1" applyFill="1" applyBorder="1"/>
    <xf numFmtId="164" fontId="12" fillId="0" borderId="51" xfId="381" applyNumberFormat="1" applyFont="1" applyFill="1" applyBorder="1"/>
    <xf numFmtId="0" fontId="10" fillId="0" borderId="20" xfId="0" applyNumberFormat="1" applyFont="1" applyFill="1" applyBorder="1" applyAlignment="1">
      <alignment horizontal="center"/>
    </xf>
    <xf numFmtId="164" fontId="12" fillId="0" borderId="52" xfId="381" applyNumberFormat="1" applyFont="1" applyBorder="1"/>
    <xf numFmtId="0" fontId="12" fillId="0" borderId="20" xfId="0" applyNumberFormat="1" applyFont="1" applyBorder="1" applyAlignment="1">
      <alignment horizontal="center"/>
    </xf>
    <xf numFmtId="0" fontId="14" fillId="0" borderId="0" xfId="0" applyFont="1" applyFill="1" applyBorder="1" applyAlignment="1">
      <alignment horizontal="left"/>
    </xf>
    <xf numFmtId="3" fontId="12" fillId="0" borderId="53" xfId="0" applyNumberFormat="1" applyFont="1" applyFill="1" applyBorder="1" applyAlignment="1"/>
    <xf numFmtId="173" fontId="10" fillId="0" borderId="54" xfId="633" applyNumberFormat="1" applyFont="1" applyFill="1" applyBorder="1" applyAlignment="1"/>
    <xf numFmtId="3" fontId="12" fillId="0" borderId="0" xfId="0" applyNumberFormat="1" applyFont="1" applyFill="1" applyBorder="1" applyAlignment="1">
      <alignment horizontal="center"/>
    </xf>
    <xf numFmtId="0" fontId="12" fillId="0" borderId="20" xfId="0" applyFont="1" applyBorder="1" applyAlignment="1">
      <alignment horizontal="center"/>
    </xf>
    <xf numFmtId="3" fontId="10" fillId="0" borderId="52" xfId="0" applyNumberFormat="1" applyFont="1" applyFill="1" applyBorder="1" applyAlignment="1"/>
    <xf numFmtId="3" fontId="12" fillId="0" borderId="0" xfId="0" applyNumberFormat="1" applyFont="1" applyBorder="1"/>
    <xf numFmtId="164" fontId="12" fillId="0" borderId="52" xfId="381" applyNumberFormat="1" applyFont="1" applyFill="1" applyBorder="1"/>
    <xf numFmtId="3" fontId="12" fillId="0" borderId="52" xfId="0" applyNumberFormat="1" applyFont="1" applyFill="1" applyBorder="1"/>
    <xf numFmtId="0" fontId="12" fillId="0" borderId="20" xfId="0" applyNumberFormat="1" applyFont="1" applyBorder="1" applyAlignment="1">
      <alignment horizontal="left"/>
    </xf>
    <xf numFmtId="0" fontId="26" fillId="30" borderId="20" xfId="0" applyFont="1" applyFill="1" applyBorder="1" applyAlignment="1">
      <alignment horizontal="left"/>
    </xf>
    <xf numFmtId="164" fontId="12" fillId="30" borderId="0" xfId="381" applyNumberFormat="1" applyFont="1" applyFill="1" applyBorder="1"/>
    <xf numFmtId="164" fontId="12" fillId="30" borderId="52" xfId="381" applyNumberFormat="1" applyFont="1" applyFill="1" applyBorder="1"/>
    <xf numFmtId="0" fontId="25" fillId="0" borderId="20" xfId="0" applyFont="1" applyFill="1" applyBorder="1" applyAlignment="1">
      <alignment horizontal="center"/>
    </xf>
    <xf numFmtId="164" fontId="12" fillId="0" borderId="55" xfId="381" applyNumberFormat="1" applyFont="1" applyFill="1" applyBorder="1"/>
    <xf numFmtId="3" fontId="10" fillId="0" borderId="53" xfId="0" applyNumberFormat="1" applyFont="1" applyFill="1" applyBorder="1" applyAlignment="1"/>
    <xf numFmtId="0" fontId="12" fillId="0" borderId="20" xfId="0" applyFont="1" applyFill="1" applyBorder="1" applyAlignment="1">
      <alignment horizontal="center"/>
    </xf>
    <xf numFmtId="164" fontId="10" fillId="0" borderId="0" xfId="381" applyNumberFormat="1" applyFont="1" applyFill="1" applyBorder="1"/>
    <xf numFmtId="3" fontId="10" fillId="0" borderId="54" xfId="0" applyNumberFormat="1" applyFont="1" applyFill="1" applyBorder="1"/>
    <xf numFmtId="3" fontId="12" fillId="0" borderId="52" xfId="0" applyNumberFormat="1" applyFont="1" applyFill="1" applyBorder="1" applyAlignment="1"/>
    <xf numFmtId="164" fontId="12" fillId="0" borderId="55" xfId="381" applyNumberFormat="1" applyFont="1" applyBorder="1"/>
    <xf numFmtId="173" fontId="12" fillId="0" borderId="55" xfId="633" applyNumberFormat="1" applyFont="1" applyFill="1" applyBorder="1" applyAlignment="1"/>
    <xf numFmtId="0" fontId="12" fillId="0" borderId="52" xfId="0" applyFont="1" applyFill="1" applyBorder="1"/>
    <xf numFmtId="0" fontId="0" fillId="30" borderId="0" xfId="0" applyFill="1" applyBorder="1"/>
    <xf numFmtId="0" fontId="33" fillId="0" borderId="20" xfId="0" applyFont="1" applyBorder="1" applyAlignment="1">
      <alignment horizontal="left"/>
    </xf>
    <xf numFmtId="0" fontId="33" fillId="0" borderId="0" xfId="0" applyFont="1" applyBorder="1"/>
    <xf numFmtId="0" fontId="12" fillId="0" borderId="0" xfId="0" applyFont="1" applyFill="1" applyBorder="1" applyAlignment="1">
      <alignment horizontal="right"/>
    </xf>
    <xf numFmtId="0" fontId="12" fillId="0" borderId="0" xfId="0" applyNumberFormat="1" applyFont="1" applyFill="1" applyBorder="1" applyAlignment="1">
      <alignment horizontal="right"/>
    </xf>
    <xf numFmtId="0" fontId="58" fillId="0" borderId="0" xfId="0" applyNumberFormat="1" applyFont="1" applyFill="1" applyBorder="1" applyAlignment="1">
      <alignment horizontal="left"/>
    </xf>
    <xf numFmtId="0" fontId="16" fillId="0" borderId="0" xfId="0" applyFont="1" applyFill="1" applyBorder="1" applyAlignment="1">
      <alignment horizontal="center"/>
    </xf>
    <xf numFmtId="0" fontId="14" fillId="0" borderId="0" xfId="0" applyNumberFormat="1" applyFont="1" applyFill="1" applyBorder="1" applyAlignment="1">
      <alignment horizontal="center"/>
    </xf>
    <xf numFmtId="0" fontId="10" fillId="0" borderId="0" xfId="0" applyNumberFormat="1" applyFont="1" applyFill="1" applyBorder="1" applyAlignment="1">
      <alignment horizontal="right"/>
    </xf>
    <xf numFmtId="0" fontId="10" fillId="0" borderId="20" xfId="0" applyFont="1" applyBorder="1"/>
    <xf numFmtId="3" fontId="10" fillId="0" borderId="52" xfId="0" applyNumberFormat="1" applyFont="1" applyFill="1" applyBorder="1"/>
    <xf numFmtId="3" fontId="10" fillId="0" borderId="54" xfId="0" applyNumberFormat="1" applyFont="1" applyBorder="1"/>
    <xf numFmtId="0" fontId="12" fillId="0" borderId="20" xfId="0" applyFont="1" applyBorder="1" applyAlignment="1">
      <alignment horizontal="left"/>
    </xf>
    <xf numFmtId="0" fontId="10" fillId="30" borderId="0" xfId="0" applyNumberFormat="1" applyFont="1" applyFill="1" applyBorder="1" applyAlignment="1">
      <alignment horizontal="left"/>
    </xf>
    <xf numFmtId="164" fontId="63" fillId="0" borderId="0" xfId="381" applyNumberFormat="1" applyFont="1" applyFill="1" applyBorder="1"/>
    <xf numFmtId="43" fontId="12" fillId="0" borderId="0" xfId="381" applyFont="1" applyFill="1" applyBorder="1" applyAlignment="1"/>
    <xf numFmtId="3" fontId="10" fillId="0" borderId="54" xfId="0" applyNumberFormat="1" applyFont="1" applyFill="1" applyBorder="1" applyAlignment="1"/>
    <xf numFmtId="0" fontId="10" fillId="0" borderId="20" xfId="0" applyNumberFormat="1" applyFont="1" applyFill="1" applyBorder="1" applyAlignment="1"/>
    <xf numFmtId="0" fontId="12" fillId="0" borderId="0" xfId="0" applyNumberFormat="1" applyFont="1" applyBorder="1" applyAlignment="1">
      <alignment horizontal="right"/>
    </xf>
    <xf numFmtId="3" fontId="10" fillId="0" borderId="52" xfId="0" applyNumberFormat="1" applyFont="1" applyFill="1" applyBorder="1" applyAlignment="1">
      <alignment horizontal="right"/>
    </xf>
    <xf numFmtId="0" fontId="16" fillId="0" borderId="20" xfId="0" applyNumberFormat="1" applyFont="1" applyFill="1" applyBorder="1" applyAlignment="1">
      <alignment horizontal="center"/>
    </xf>
    <xf numFmtId="0" fontId="16" fillId="0" borderId="0" xfId="0" applyNumberFormat="1" applyFont="1" applyFill="1" applyBorder="1" applyAlignment="1"/>
    <xf numFmtId="3" fontId="10" fillId="0" borderId="54" xfId="0" applyNumberFormat="1" applyFont="1" applyFill="1" applyBorder="1" applyAlignment="1">
      <alignment horizontal="right"/>
    </xf>
    <xf numFmtId="164" fontId="10" fillId="0" borderId="52" xfId="381" applyNumberFormat="1" applyFont="1" applyFill="1" applyBorder="1"/>
    <xf numFmtId="0" fontId="10" fillId="0" borderId="20" xfId="0" applyNumberFormat="1" applyFont="1" applyBorder="1" applyAlignment="1">
      <alignment horizontal="center"/>
    </xf>
    <xf numFmtId="0" fontId="12" fillId="0" borderId="20" xfId="0" applyNumberFormat="1" applyFont="1" applyFill="1" applyBorder="1" applyAlignment="1">
      <alignment horizontal="left"/>
    </xf>
    <xf numFmtId="0" fontId="12" fillId="0" borderId="0" xfId="0" applyNumberFormat="1" applyFont="1" applyFill="1" applyBorder="1"/>
    <xf numFmtId="170" fontId="12" fillId="0" borderId="0" xfId="0" applyNumberFormat="1" applyFont="1" applyBorder="1" applyAlignment="1"/>
    <xf numFmtId="168" fontId="12" fillId="0" borderId="0" xfId="0" applyNumberFormat="1" applyFont="1" applyBorder="1" applyAlignment="1">
      <alignment horizontal="center"/>
    </xf>
    <xf numFmtId="3" fontId="12" fillId="0" borderId="52" xfId="0" applyNumberFormat="1" applyFont="1" applyBorder="1"/>
    <xf numFmtId="3" fontId="10" fillId="0" borderId="53" xfId="0" applyNumberFormat="1" applyFont="1" applyBorder="1"/>
    <xf numFmtId="3" fontId="21" fillId="0" borderId="56" xfId="0" applyNumberFormat="1" applyFont="1" applyBorder="1"/>
    <xf numFmtId="0" fontId="21" fillId="0" borderId="20" xfId="0" applyNumberFormat="1" applyFont="1" applyBorder="1" applyAlignment="1">
      <alignment horizontal="center"/>
    </xf>
    <xf numFmtId="3" fontId="12" fillId="0" borderId="55" xfId="0" applyNumberFormat="1" applyFont="1" applyFill="1" applyBorder="1"/>
    <xf numFmtId="164" fontId="10" fillId="0" borderId="52" xfId="381" applyNumberFormat="1" applyFont="1" applyBorder="1" applyAlignment="1"/>
    <xf numFmtId="173" fontId="10" fillId="0" borderId="52" xfId="633" applyNumberFormat="1" applyFont="1" applyBorder="1" applyAlignment="1"/>
    <xf numFmtId="164" fontId="10" fillId="0" borderId="52" xfId="381" applyNumberFormat="1" applyFont="1" applyFill="1" applyBorder="1" applyAlignment="1"/>
    <xf numFmtId="3" fontId="10" fillId="0" borderId="35" xfId="0" applyNumberFormat="1" applyFont="1" applyFill="1" applyBorder="1" applyAlignment="1"/>
    <xf numFmtId="3" fontId="10" fillId="0" borderId="55" xfId="0" applyNumberFormat="1" applyFont="1" applyFill="1" applyBorder="1" applyAlignment="1"/>
    <xf numFmtId="3" fontId="12" fillId="0" borderId="17" xfId="0" applyNumberFormat="1" applyFont="1" applyFill="1" applyBorder="1" applyAlignment="1"/>
    <xf numFmtId="164" fontId="12" fillId="0" borderId="26" xfId="381" applyNumberFormat="1" applyFont="1" applyFill="1" applyBorder="1"/>
    <xf numFmtId="0" fontId="0" fillId="0" borderId="19" xfId="0" applyBorder="1"/>
    <xf numFmtId="3" fontId="12" fillId="0" borderId="13" xfId="0" applyNumberFormat="1" applyFont="1" applyFill="1" applyBorder="1" applyAlignment="1"/>
    <xf numFmtId="0" fontId="12" fillId="0" borderId="57" xfId="0" applyFont="1" applyFill="1" applyBorder="1"/>
    <xf numFmtId="3" fontId="12" fillId="0" borderId="58" xfId="0" applyNumberFormat="1" applyFont="1" applyBorder="1" applyAlignment="1"/>
    <xf numFmtId="0" fontId="12" fillId="0" borderId="58" xfId="0" applyFont="1" applyFill="1" applyBorder="1"/>
    <xf numFmtId="3" fontId="12" fillId="0" borderId="59" xfId="0" applyNumberFormat="1" applyFont="1" applyFill="1" applyBorder="1" applyAlignment="1"/>
    <xf numFmtId="0" fontId="12" fillId="0" borderId="58" xfId="0" applyFont="1" applyBorder="1" applyAlignment="1"/>
    <xf numFmtId="0" fontId="12" fillId="0" borderId="58" xfId="0" applyFont="1" applyBorder="1"/>
    <xf numFmtId="0" fontId="12" fillId="0" borderId="60" xfId="0" applyFont="1" applyFill="1" applyBorder="1"/>
    <xf numFmtId="3" fontId="12" fillId="0" borderId="58" xfId="0" applyNumberFormat="1" applyFont="1" applyFill="1" applyBorder="1" applyAlignment="1"/>
    <xf numFmtId="3" fontId="12" fillId="0" borderId="19" xfId="0" applyNumberFormat="1" applyFont="1" applyBorder="1" applyAlignment="1"/>
    <xf numFmtId="3" fontId="12" fillId="0" borderId="60" xfId="0" applyNumberFormat="1" applyFont="1" applyFill="1" applyBorder="1" applyAlignment="1"/>
    <xf numFmtId="3" fontId="12" fillId="0" borderId="59" xfId="0" applyNumberFormat="1" applyFont="1" applyBorder="1" applyAlignment="1"/>
    <xf numFmtId="0" fontId="12" fillId="30" borderId="58" xfId="0" applyFont="1" applyFill="1" applyBorder="1"/>
    <xf numFmtId="0" fontId="12" fillId="0" borderId="58" xfId="0" applyFont="1" applyFill="1" applyBorder="1" applyAlignment="1">
      <alignment horizontal="left"/>
    </xf>
    <xf numFmtId="0" fontId="12" fillId="0" borderId="60" xfId="0" applyFont="1" applyFill="1" applyBorder="1" applyAlignment="1">
      <alignment horizontal="left"/>
    </xf>
    <xf numFmtId="3" fontId="12" fillId="0" borderId="60" xfId="0" applyNumberFormat="1" applyFont="1" applyBorder="1" applyAlignment="1"/>
    <xf numFmtId="3" fontId="10" fillId="0" borderId="59" xfId="0" applyNumberFormat="1" applyFont="1" applyFill="1" applyBorder="1" applyAlignment="1"/>
    <xf numFmtId="3" fontId="10" fillId="0" borderId="59" xfId="0" applyNumberFormat="1" applyFont="1" applyBorder="1" applyAlignment="1"/>
    <xf numFmtId="3" fontId="12" fillId="0" borderId="58" xfId="0" applyNumberFormat="1" applyFont="1" applyFill="1" applyBorder="1" applyAlignment="1">
      <alignment horizontal="right"/>
    </xf>
    <xf numFmtId="4" fontId="14" fillId="0" borderId="58" xfId="0" applyNumberFormat="1" applyFont="1" applyFill="1" applyBorder="1" applyAlignment="1">
      <alignment horizontal="right"/>
    </xf>
    <xf numFmtId="3" fontId="14" fillId="0" borderId="58" xfId="0" applyNumberFormat="1" applyFont="1" applyFill="1" applyBorder="1" applyAlignment="1">
      <alignment horizontal="right"/>
    </xf>
    <xf numFmtId="0" fontId="12" fillId="0" borderId="60" xfId="0" applyNumberFormat="1" applyFont="1" applyFill="1" applyBorder="1" applyAlignment="1">
      <alignment horizontal="left"/>
    </xf>
    <xf numFmtId="3" fontId="14" fillId="0" borderId="58" xfId="0" applyNumberFormat="1" applyFont="1" applyBorder="1" applyAlignment="1">
      <alignment horizontal="right"/>
    </xf>
    <xf numFmtId="3" fontId="12" fillId="0" borderId="59" xfId="0" applyNumberFormat="1" applyFont="1" applyFill="1" applyBorder="1" applyAlignment="1">
      <alignment horizontal="right"/>
    </xf>
    <xf numFmtId="0" fontId="12" fillId="0" borderId="58" xfId="0" applyFont="1" applyFill="1" applyBorder="1" applyAlignment="1"/>
    <xf numFmtId="0" fontId="12" fillId="0" borderId="58" xfId="0" applyNumberFormat="1" applyFont="1" applyFill="1" applyBorder="1" applyAlignment="1"/>
    <xf numFmtId="0" fontId="12" fillId="0" borderId="60" xfId="0" applyFont="1" applyFill="1" applyBorder="1" applyAlignment="1"/>
    <xf numFmtId="0" fontId="12" fillId="0" borderId="58" xfId="0" applyNumberFormat="1" applyFont="1" applyFill="1" applyBorder="1" applyAlignment="1">
      <alignment horizontal="left"/>
    </xf>
    <xf numFmtId="3" fontId="10" fillId="0" borderId="58" xfId="0" applyNumberFormat="1" applyFont="1" applyBorder="1" applyAlignment="1"/>
    <xf numFmtId="168" fontId="12" fillId="0" borderId="58" xfId="0" applyNumberFormat="1" applyFont="1" applyBorder="1" applyAlignment="1">
      <alignment horizontal="left"/>
    </xf>
    <xf numFmtId="3" fontId="16" fillId="0" borderId="58" xfId="0" applyNumberFormat="1" applyFont="1" applyBorder="1" applyAlignment="1"/>
    <xf numFmtId="3" fontId="21" fillId="0" borderId="61" xfId="0" applyNumberFormat="1" applyFont="1" applyBorder="1" applyAlignment="1"/>
    <xf numFmtId="0" fontId="12" fillId="0" borderId="35" xfId="0" applyFont="1" applyBorder="1"/>
    <xf numFmtId="0" fontId="0" fillId="0" borderId="33" xfId="0" applyBorder="1"/>
    <xf numFmtId="0" fontId="12" fillId="0" borderId="35" xfId="0" applyFont="1" applyFill="1" applyBorder="1"/>
    <xf numFmtId="164" fontId="63" fillId="0" borderId="14" xfId="381" applyNumberFormat="1" applyFont="1" applyFill="1" applyBorder="1"/>
    <xf numFmtId="0" fontId="10" fillId="35" borderId="37" xfId="0" applyFont="1" applyFill="1" applyBorder="1" applyAlignment="1">
      <alignment horizontal="center" wrapText="1"/>
    </xf>
    <xf numFmtId="0" fontId="10" fillId="35" borderId="45" xfId="0" applyFont="1" applyFill="1" applyBorder="1"/>
    <xf numFmtId="3" fontId="12" fillId="0" borderId="62" xfId="0" applyNumberFormat="1" applyFont="1" applyFill="1" applyBorder="1" applyAlignment="1"/>
    <xf numFmtId="3" fontId="12" fillId="0" borderId="63" xfId="0" applyNumberFormat="1" applyFont="1" applyFill="1" applyBorder="1" applyAlignment="1"/>
    <xf numFmtId="3" fontId="12" fillId="0" borderId="19" xfId="0" applyNumberFormat="1" applyFont="1" applyFill="1" applyBorder="1" applyAlignment="1"/>
    <xf numFmtId="3" fontId="12" fillId="0" borderId="34" xfId="0" applyNumberFormat="1" applyFont="1" applyFill="1" applyBorder="1" applyAlignment="1"/>
    <xf numFmtId="164" fontId="12" fillId="0" borderId="12" xfId="381" applyNumberFormat="1" applyFont="1" applyFill="1" applyBorder="1"/>
    <xf numFmtId="177" fontId="12" fillId="0" borderId="28" xfId="381" applyNumberFormat="1" applyFont="1" applyBorder="1"/>
    <xf numFmtId="164" fontId="12" fillId="0" borderId="13" xfId="381" applyNumberFormat="1" applyFont="1" applyFill="1" applyBorder="1"/>
    <xf numFmtId="174" fontId="12" fillId="0" borderId="35" xfId="633" applyNumberFormat="1" applyFont="1" applyFill="1" applyBorder="1" applyAlignment="1"/>
    <xf numFmtId="164" fontId="10" fillId="0" borderId="13" xfId="381" applyNumberFormat="1" applyFont="1" applyFill="1" applyBorder="1"/>
    <xf numFmtId="0" fontId="0" fillId="0" borderId="13" xfId="0" applyBorder="1"/>
    <xf numFmtId="3" fontId="10" fillId="0" borderId="33" xfId="0" applyNumberFormat="1" applyFont="1" applyBorder="1" applyAlignment="1"/>
    <xf numFmtId="3" fontId="10" fillId="0" borderId="61" xfId="0" applyNumberFormat="1" applyFont="1" applyBorder="1" applyAlignment="1"/>
    <xf numFmtId="0" fontId="10" fillId="0" borderId="15" xfId="0" applyFont="1" applyBorder="1"/>
    <xf numFmtId="0" fontId="21" fillId="0" borderId="15" xfId="0" applyNumberFormat="1" applyFont="1" applyBorder="1" applyAlignment="1">
      <alignment horizontal="left"/>
    </xf>
    <xf numFmtId="0" fontId="21" fillId="0" borderId="15" xfId="0" applyFont="1" applyFill="1" applyBorder="1"/>
    <xf numFmtId="0" fontId="21" fillId="0" borderId="15" xfId="0" applyFont="1" applyBorder="1" applyAlignment="1">
      <alignment horizontal="center"/>
    </xf>
    <xf numFmtId="0" fontId="60" fillId="0" borderId="0" xfId="0" applyFont="1" applyFill="1" applyBorder="1" applyAlignment="1"/>
    <xf numFmtId="0" fontId="12" fillId="0" borderId="22" xfId="0" applyFont="1" applyFill="1" applyBorder="1" applyAlignment="1">
      <alignment horizontal="center"/>
    </xf>
    <xf numFmtId="0" fontId="12" fillId="0" borderId="10" xfId="0" applyNumberFormat="1" applyFont="1" applyFill="1" applyBorder="1" applyAlignment="1">
      <alignment horizontal="center"/>
    </xf>
    <xf numFmtId="0" fontId="12" fillId="0" borderId="10" xfId="0" applyNumberFormat="1" applyFont="1" applyBorder="1" applyAlignment="1">
      <alignment horizontal="left"/>
    </xf>
    <xf numFmtId="0" fontId="12" fillId="0" borderId="10" xfId="0" applyFont="1" applyBorder="1" applyAlignment="1"/>
    <xf numFmtId="0" fontId="15" fillId="0" borderId="10" xfId="0" applyFont="1" applyBorder="1" applyAlignment="1">
      <alignment horizontal="center"/>
    </xf>
    <xf numFmtId="3" fontId="12" fillId="0" borderId="10" xfId="0" applyNumberFormat="1" applyFont="1" applyBorder="1" applyAlignment="1"/>
    <xf numFmtId="0" fontId="0" fillId="0" borderId="49" xfId="0" applyBorder="1"/>
    <xf numFmtId="43" fontId="10" fillId="0" borderId="10" xfId="381" applyFont="1" applyBorder="1"/>
    <xf numFmtId="164" fontId="10" fillId="0" borderId="49" xfId="381" applyNumberFormat="1" applyFont="1" applyBorder="1"/>
    <xf numFmtId="37" fontId="0" fillId="0" borderId="12" xfId="0" applyNumberFormat="1" applyFill="1" applyBorder="1"/>
    <xf numFmtId="0" fontId="0" fillId="0" borderId="13" xfId="0" applyFill="1" applyBorder="1"/>
    <xf numFmtId="164" fontId="18" fillId="0" borderId="0" xfId="381" applyNumberFormat="1" applyFont="1" applyFill="1" applyBorder="1" applyAlignment="1">
      <alignment wrapText="1"/>
    </xf>
    <xf numFmtId="164" fontId="8" fillId="0" borderId="14" xfId="381" applyNumberFormat="1" applyFont="1" applyFill="1" applyBorder="1" applyAlignment="1"/>
    <xf numFmtId="164" fontId="0" fillId="0" borderId="14" xfId="0" applyNumberFormat="1" applyFill="1" applyBorder="1"/>
    <xf numFmtId="0" fontId="9" fillId="0" borderId="14" xfId="465" applyNumberFormat="1" applyFont="1" applyFill="1" applyBorder="1" applyAlignment="1">
      <alignment horizontal="left"/>
    </xf>
    <xf numFmtId="3" fontId="18" fillId="0" borderId="14" xfId="465" applyNumberFormat="1" applyFont="1" applyFill="1" applyBorder="1" applyAlignment="1">
      <alignment horizontal="center"/>
    </xf>
    <xf numFmtId="0" fontId="9" fillId="0" borderId="13" xfId="465" applyNumberFormat="1" applyFont="1" applyFill="1" applyBorder="1" applyAlignment="1">
      <alignment horizontal="left"/>
    </xf>
    <xf numFmtId="3" fontId="18" fillId="0" borderId="13" xfId="465" applyNumberFormat="1" applyFont="1" applyFill="1" applyBorder="1" applyAlignment="1"/>
    <xf numFmtId="164" fontId="9" fillId="0" borderId="33" xfId="390" applyNumberFormat="1" applyFont="1" applyFill="1" applyBorder="1" applyAlignment="1">
      <alignment horizontal="right"/>
    </xf>
    <xf numFmtId="168" fontId="8" fillId="0" borderId="0" xfId="465" applyNumberFormat="1" applyFont="1" applyFill="1" applyBorder="1" applyAlignment="1">
      <alignment horizontal="center" wrapText="1"/>
    </xf>
    <xf numFmtId="164" fontId="9" fillId="0" borderId="0" xfId="465" applyNumberFormat="1" applyFont="1" applyFill="1" applyBorder="1" applyAlignment="1">
      <alignment horizontal="center" wrapText="1"/>
    </xf>
    <xf numFmtId="0" fontId="52" fillId="0" borderId="0" xfId="465" applyFont="1" applyFill="1" applyBorder="1"/>
    <xf numFmtId="164" fontId="8" fillId="0" borderId="0" xfId="381" applyNumberFormat="1" applyFont="1" applyFill="1" applyBorder="1" applyAlignment="1"/>
    <xf numFmtId="164" fontId="52" fillId="0" borderId="0" xfId="381" applyNumberFormat="1" applyFont="1" applyFill="1" applyBorder="1"/>
    <xf numFmtId="164" fontId="52" fillId="0" borderId="0" xfId="465" applyNumberFormat="1" applyFont="1" applyFill="1" applyBorder="1"/>
    <xf numFmtId="10" fontId="52" fillId="0" borderId="0" xfId="633" applyNumberFormat="1" applyFont="1" applyFill="1" applyBorder="1"/>
    <xf numFmtId="164" fontId="8" fillId="0" borderId="10" xfId="390" applyNumberFormat="1" applyFont="1" applyFill="1" applyBorder="1" applyAlignment="1">
      <alignment wrapText="1"/>
    </xf>
    <xf numFmtId="164" fontId="8" fillId="0" borderId="23" xfId="390" applyNumberFormat="1" applyFont="1" applyFill="1" applyBorder="1" applyAlignment="1">
      <alignment wrapText="1"/>
    </xf>
    <xf numFmtId="0" fontId="18" fillId="0" borderId="40" xfId="465" applyNumberFormat="1" applyFont="1" applyFill="1" applyBorder="1" applyAlignment="1">
      <alignment horizontal="center"/>
    </xf>
    <xf numFmtId="0" fontId="18" fillId="0" borderId="40" xfId="465" applyNumberFormat="1" applyFont="1" applyFill="1" applyBorder="1" applyAlignment="1">
      <alignment horizontal="left"/>
    </xf>
    <xf numFmtId="0" fontId="18" fillId="0" borderId="41" xfId="465" applyNumberFormat="1" applyFont="1" applyFill="1" applyBorder="1" applyAlignment="1">
      <alignment horizontal="center"/>
    </xf>
    <xf numFmtId="0" fontId="9" fillId="0" borderId="25" xfId="465" applyFont="1" applyFill="1" applyBorder="1" applyAlignment="1">
      <alignment horizontal="center"/>
    </xf>
    <xf numFmtId="173" fontId="49" fillId="0" borderId="0" xfId="633" applyNumberFormat="1" applyFont="1" applyFill="1" applyBorder="1"/>
    <xf numFmtId="0" fontId="89" fillId="0" borderId="24" xfId="0" applyFont="1" applyFill="1" applyBorder="1" applyAlignment="1">
      <alignment horizontal="center"/>
    </xf>
    <xf numFmtId="0" fontId="49" fillId="0" borderId="22" xfId="0" applyFont="1" applyFill="1" applyBorder="1"/>
    <xf numFmtId="173" fontId="49" fillId="0" borderId="40" xfId="633" applyNumberFormat="1" applyFont="1" applyFill="1" applyBorder="1"/>
    <xf numFmtId="0" fontId="51" fillId="0" borderId="40" xfId="0" applyFont="1" applyFill="1" applyBorder="1"/>
    <xf numFmtId="164" fontId="49" fillId="0" borderId="3" xfId="381" applyNumberFormat="1" applyFont="1" applyFill="1" applyBorder="1"/>
    <xf numFmtId="0" fontId="49" fillId="0" borderId="40" xfId="0" applyFont="1" applyFill="1" applyBorder="1"/>
    <xf numFmtId="0" fontId="89" fillId="0" borderId="39" xfId="0" applyFont="1" applyFill="1" applyBorder="1" applyAlignment="1">
      <alignment horizontal="center"/>
    </xf>
    <xf numFmtId="0" fontId="89" fillId="0" borderId="20" xfId="0" applyFont="1" applyFill="1" applyBorder="1"/>
    <xf numFmtId="0" fontId="9" fillId="0" borderId="20" xfId="465" applyFont="1" applyFill="1" applyBorder="1"/>
    <xf numFmtId="164" fontId="81" fillId="0" borderId="0" xfId="381" applyNumberFormat="1" applyFont="1" applyBorder="1"/>
    <xf numFmtId="164" fontId="45" fillId="0" borderId="0" xfId="381" applyNumberFormat="1" applyFont="1" applyBorder="1"/>
    <xf numFmtId="164" fontId="9" fillId="0" borderId="0" xfId="0" applyNumberFormat="1" applyFont="1"/>
    <xf numFmtId="43" fontId="12" fillId="0" borderId="28" xfId="381" applyFont="1" applyFill="1" applyBorder="1" applyAlignment="1"/>
    <xf numFmtId="43" fontId="12" fillId="0" borderId="0" xfId="381" applyFont="1" applyFill="1" applyBorder="1"/>
    <xf numFmtId="43" fontId="12" fillId="0" borderId="28" xfId="381" applyFont="1" applyFill="1" applyBorder="1"/>
    <xf numFmtId="164" fontId="12" fillId="0" borderId="21" xfId="381" applyNumberFormat="1" applyFont="1" applyFill="1" applyBorder="1"/>
    <xf numFmtId="0" fontId="12" fillId="0" borderId="22" xfId="0" applyFont="1" applyBorder="1" applyAlignment="1">
      <alignment horizontal="left"/>
    </xf>
    <xf numFmtId="0" fontId="12" fillId="0" borderId="10" xfId="0" applyFont="1" applyBorder="1"/>
    <xf numFmtId="0" fontId="12" fillId="0" borderId="10" xfId="0" applyFont="1" applyBorder="1" applyAlignment="1">
      <alignment horizontal="center"/>
    </xf>
    <xf numFmtId="0" fontId="12" fillId="0" borderId="64" xfId="0" applyFont="1" applyBorder="1"/>
    <xf numFmtId="0" fontId="12" fillId="0" borderId="49" xfId="0" applyFont="1" applyBorder="1"/>
    <xf numFmtId="164" fontId="12" fillId="0" borderId="10" xfId="381" applyNumberFormat="1" applyFont="1" applyFill="1" applyBorder="1"/>
    <xf numFmtId="171" fontId="12" fillId="0" borderId="49" xfId="633" applyNumberFormat="1" applyFont="1" applyBorder="1"/>
    <xf numFmtId="171" fontId="12" fillId="0" borderId="65" xfId="633" applyNumberFormat="1" applyFont="1" applyBorder="1"/>
    <xf numFmtId="0" fontId="90" fillId="0" borderId="0" xfId="0" applyFont="1" applyFill="1" applyBorder="1"/>
    <xf numFmtId="37" fontId="92" fillId="0" borderId="0" xfId="0" applyNumberFormat="1" applyFont="1" applyFill="1" applyBorder="1" applyAlignment="1">
      <alignment horizontal="right"/>
    </xf>
    <xf numFmtId="0" fontId="90" fillId="0" borderId="0" xfId="0" applyFont="1" applyFill="1"/>
    <xf numFmtId="37" fontId="10" fillId="0" borderId="0" xfId="0" applyNumberFormat="1" applyFont="1" applyFill="1" applyBorder="1" applyAlignment="1">
      <alignment horizontal="right"/>
    </xf>
    <xf numFmtId="39" fontId="10" fillId="0" borderId="28" xfId="0" applyNumberFormat="1" applyFont="1" applyFill="1" applyBorder="1" applyAlignment="1">
      <alignment horizontal="right"/>
    </xf>
    <xf numFmtId="10" fontId="12" fillId="0" borderId="28" xfId="633" applyNumberFormat="1" applyFont="1" applyFill="1" applyBorder="1"/>
    <xf numFmtId="10" fontId="12" fillId="0" borderId="52" xfId="633" applyNumberFormat="1" applyFont="1" applyFill="1" applyBorder="1"/>
    <xf numFmtId="37" fontId="10" fillId="0" borderId="0" xfId="0" applyNumberFormat="1" applyFont="1" applyFill="1" applyBorder="1"/>
    <xf numFmtId="37" fontId="117" fillId="0" borderId="0" xfId="0" applyNumberFormat="1" applyFont="1" applyFill="1" applyBorder="1"/>
    <xf numFmtId="37" fontId="118" fillId="0" borderId="0" xfId="0" applyNumberFormat="1" applyFont="1" applyFill="1" applyBorder="1"/>
    <xf numFmtId="37" fontId="12" fillId="0" borderId="58" xfId="0" applyNumberFormat="1" applyFont="1" applyFill="1" applyBorder="1"/>
    <xf numFmtId="37" fontId="12" fillId="0" borderId="0" xfId="0" applyNumberFormat="1" applyFont="1" applyFill="1" applyBorder="1"/>
    <xf numFmtId="37" fontId="12" fillId="0" borderId="28" xfId="0" applyNumberFormat="1" applyFont="1" applyFill="1" applyBorder="1" applyAlignment="1"/>
    <xf numFmtId="37" fontId="12" fillId="0" borderId="0" xfId="0" applyNumberFormat="1" applyFont="1" applyFill="1" applyBorder="1" applyAlignment="1"/>
    <xf numFmtId="37" fontId="12" fillId="0" borderId="58" xfId="0" applyNumberFormat="1" applyFont="1" applyFill="1" applyBorder="1" applyAlignment="1"/>
    <xf numFmtId="37" fontId="12" fillId="0" borderId="28" xfId="0" applyNumberFormat="1" applyFont="1" applyFill="1" applyBorder="1"/>
    <xf numFmtId="37" fontId="12" fillId="0" borderId="14" xfId="0" applyNumberFormat="1" applyFont="1" applyFill="1" applyBorder="1"/>
    <xf numFmtId="37" fontId="12" fillId="0" borderId="14" xfId="0" applyNumberFormat="1" applyFont="1" applyFill="1" applyBorder="1" applyAlignment="1"/>
    <xf numFmtId="37" fontId="12" fillId="0" borderId="60" xfId="0" applyNumberFormat="1" applyFont="1" applyFill="1" applyBorder="1" applyAlignment="1"/>
    <xf numFmtId="37" fontId="12" fillId="0" borderId="35" xfId="0" applyNumberFormat="1" applyFont="1" applyFill="1" applyBorder="1"/>
    <xf numFmtId="37" fontId="16" fillId="0" borderId="0" xfId="0" applyNumberFormat="1" applyFont="1" applyFill="1" applyBorder="1"/>
    <xf numFmtId="37" fontId="16" fillId="0" borderId="35" xfId="0" applyNumberFormat="1" applyFont="1" applyFill="1" applyBorder="1"/>
    <xf numFmtId="37" fontId="119" fillId="0" borderId="28" xfId="0" applyNumberFormat="1" applyFont="1" applyFill="1" applyBorder="1" applyAlignment="1">
      <alignment horizontal="center"/>
    </xf>
    <xf numFmtId="10" fontId="12" fillId="0" borderId="28" xfId="0" applyNumberFormat="1" applyFont="1" applyFill="1" applyBorder="1" applyAlignment="1"/>
    <xf numFmtId="3" fontId="12" fillId="0" borderId="0" xfId="0" applyNumberFormat="1" applyFont="1" applyFill="1" applyBorder="1" applyAlignment="1">
      <alignment horizontal="left"/>
    </xf>
    <xf numFmtId="0" fontId="12" fillId="0" borderId="0" xfId="0" quotePrefix="1" applyNumberFormat="1" applyFont="1" applyFill="1" applyBorder="1" applyAlignment="1">
      <alignment wrapText="1"/>
    </xf>
    <xf numFmtId="0" fontId="18" fillId="0" borderId="0" xfId="0" applyFont="1" applyFill="1" applyBorder="1"/>
    <xf numFmtId="0" fontId="12" fillId="0" borderId="58" xfId="0" applyFont="1" applyFill="1" applyBorder="1" applyAlignment="1">
      <alignment horizontal="right"/>
    </xf>
    <xf numFmtId="173" fontId="14" fillId="0" borderId="28" xfId="0" applyNumberFormat="1" applyFont="1" applyFill="1" applyBorder="1" applyAlignment="1">
      <alignment horizontal="right"/>
    </xf>
    <xf numFmtId="173" fontId="12" fillId="0" borderId="35" xfId="633" applyNumberFormat="1" applyFont="1" applyFill="1" applyBorder="1"/>
    <xf numFmtId="172" fontId="12" fillId="0" borderId="35" xfId="381" applyNumberFormat="1" applyFont="1" applyFill="1" applyBorder="1" applyAlignment="1">
      <alignment horizontal="right"/>
    </xf>
    <xf numFmtId="172" fontId="12" fillId="0" borderId="14" xfId="381" applyNumberFormat="1" applyFont="1" applyFill="1" applyBorder="1"/>
    <xf numFmtId="172" fontId="12" fillId="0" borderId="35" xfId="381" applyNumberFormat="1" applyFont="1" applyFill="1" applyBorder="1"/>
    <xf numFmtId="0" fontId="14" fillId="0" borderId="14" xfId="0" quotePrefix="1" applyFont="1" applyFill="1" applyBorder="1" applyAlignment="1">
      <alignment horizontal="center" wrapText="1"/>
    </xf>
    <xf numFmtId="0" fontId="0" fillId="0" borderId="58" xfId="0" applyFill="1" applyBorder="1"/>
    <xf numFmtId="0" fontId="10" fillId="0" borderId="12" xfId="0" applyNumberFormat="1" applyFont="1" applyFill="1" applyBorder="1" applyAlignment="1">
      <alignment horizontal="center"/>
    </xf>
    <xf numFmtId="43" fontId="12" fillId="0" borderId="58" xfId="381" applyFont="1" applyFill="1" applyBorder="1" applyAlignment="1"/>
    <xf numFmtId="43" fontId="12" fillId="0" borderId="58" xfId="381" applyFont="1" applyFill="1" applyBorder="1"/>
    <xf numFmtId="164" fontId="12" fillId="0" borderId="58" xfId="381" applyNumberFormat="1" applyFont="1" applyFill="1" applyBorder="1"/>
    <xf numFmtId="0" fontId="12" fillId="0" borderId="25" xfId="0" applyFont="1" applyFill="1" applyBorder="1" applyAlignment="1">
      <alignment horizontal="center"/>
    </xf>
    <xf numFmtId="0" fontId="10" fillId="0" borderId="24" xfId="0" applyNumberFormat="1" applyFont="1" applyFill="1" applyBorder="1" applyAlignment="1">
      <alignment horizontal="left"/>
    </xf>
    <xf numFmtId="0" fontId="12" fillId="0" borderId="24" xfId="0" applyFont="1" applyBorder="1" applyAlignment="1"/>
    <xf numFmtId="0" fontId="12" fillId="0" borderId="24" xfId="0" applyFont="1" applyFill="1" applyBorder="1" applyAlignment="1">
      <alignment horizontal="right"/>
    </xf>
    <xf numFmtId="0" fontId="12" fillId="0" borderId="57" xfId="0" applyFont="1" applyBorder="1"/>
    <xf numFmtId="0" fontId="0" fillId="0" borderId="24" xfId="0" applyBorder="1"/>
    <xf numFmtId="3" fontId="12" fillId="0" borderId="50" xfId="0" applyNumberFormat="1" applyFont="1" applyBorder="1" applyAlignment="1"/>
    <xf numFmtId="164" fontId="12" fillId="0" borderId="50" xfId="381" applyNumberFormat="1" applyFont="1" applyBorder="1"/>
    <xf numFmtId="164" fontId="12" fillId="0" borderId="51" xfId="381" applyNumberFormat="1" applyFont="1" applyBorder="1"/>
    <xf numFmtId="168" fontId="12" fillId="0" borderId="35" xfId="633" applyNumberFormat="1" applyFont="1" applyFill="1" applyBorder="1" applyAlignment="1"/>
    <xf numFmtId="168" fontId="12" fillId="0" borderId="55" xfId="633" applyNumberFormat="1" applyFont="1" applyFill="1" applyBorder="1" applyAlignment="1"/>
    <xf numFmtId="0" fontId="10" fillId="0" borderId="13" xfId="0" applyFont="1" applyFill="1" applyBorder="1"/>
    <xf numFmtId="0" fontId="10" fillId="0" borderId="13" xfId="0" applyFont="1" applyFill="1" applyBorder="1" applyAlignment="1">
      <alignment horizontal="center"/>
    </xf>
    <xf numFmtId="0" fontId="35" fillId="0" borderId="0" xfId="0" applyFont="1" applyFill="1"/>
    <xf numFmtId="0" fontId="0" fillId="0" borderId="17" xfId="0" applyFill="1" applyBorder="1"/>
    <xf numFmtId="37" fontId="0" fillId="0" borderId="17" xfId="0" applyNumberFormat="1" applyFill="1" applyBorder="1" applyAlignment="1">
      <alignment horizontal="right"/>
    </xf>
    <xf numFmtId="173" fontId="0" fillId="0" borderId="0" xfId="0" applyNumberFormat="1" applyFill="1"/>
    <xf numFmtId="0" fontId="10" fillId="0" borderId="0" xfId="0" applyFont="1" applyFill="1" applyAlignment="1">
      <alignment horizontal="centerContinuous"/>
    </xf>
    <xf numFmtId="0" fontId="0" fillId="0" borderId="0" xfId="0" applyFill="1" applyBorder="1" applyAlignment="1">
      <alignment horizontal="left"/>
    </xf>
    <xf numFmtId="0" fontId="87" fillId="0" borderId="0" xfId="0" applyFont="1" applyFill="1" applyBorder="1" applyAlignment="1">
      <alignment horizontal="left"/>
    </xf>
    <xf numFmtId="0" fontId="87" fillId="0" borderId="0" xfId="0" applyFont="1" applyFill="1"/>
    <xf numFmtId="0" fontId="35" fillId="0" borderId="0" xfId="0" applyFont="1" applyFill="1" applyBorder="1"/>
    <xf numFmtId="0" fontId="21" fillId="0" borderId="0" xfId="0" applyFont="1" applyFill="1" applyBorder="1" applyAlignment="1">
      <alignment horizontal="center"/>
    </xf>
    <xf numFmtId="0" fontId="41" fillId="0" borderId="0" xfId="0" applyFont="1" applyFill="1" applyBorder="1" applyAlignment="1"/>
    <xf numFmtId="0" fontId="0" fillId="0" borderId="0" xfId="0" applyFill="1" applyBorder="1" applyAlignment="1"/>
    <xf numFmtId="0" fontId="21" fillId="0" borderId="0" xfId="0" applyFont="1" applyFill="1" applyBorder="1" applyAlignment="1">
      <alignment horizontal="centerContinuous"/>
    </xf>
    <xf numFmtId="0" fontId="11" fillId="0" borderId="0" xfId="0" applyFont="1" applyFill="1" applyBorder="1" applyAlignment="1">
      <alignment horizontal="centerContinuous"/>
    </xf>
    <xf numFmtId="0" fontId="32" fillId="0" borderId="0" xfId="0" applyFont="1" applyFill="1" applyBorder="1" applyAlignment="1">
      <alignment horizontal="left"/>
    </xf>
    <xf numFmtId="0" fontId="31" fillId="0" borderId="0" xfId="0" applyFont="1" applyFill="1" applyBorder="1"/>
    <xf numFmtId="0" fontId="8" fillId="0" borderId="0" xfId="0" applyFont="1" applyFill="1" applyBorder="1" applyAlignment="1">
      <alignment horizontal="left"/>
    </xf>
    <xf numFmtId="0" fontId="18" fillId="0" borderId="0" xfId="0" applyFont="1" applyFill="1" applyBorder="1" applyAlignment="1">
      <alignment horizontal="left"/>
    </xf>
    <xf numFmtId="0" fontId="0" fillId="0" borderId="17" xfId="0" applyFill="1" applyBorder="1" applyAlignment="1">
      <alignment horizontal="left"/>
    </xf>
    <xf numFmtId="0" fontId="8" fillId="0" borderId="17" xfId="0" applyFont="1" applyFill="1" applyBorder="1"/>
    <xf numFmtId="164" fontId="8" fillId="0" borderId="17" xfId="381" applyNumberFormat="1" applyFont="1" applyFill="1" applyBorder="1"/>
    <xf numFmtId="164" fontId="8" fillId="0" borderId="17" xfId="381" applyNumberFormat="1" applyFill="1" applyBorder="1"/>
    <xf numFmtId="0" fontId="55" fillId="0" borderId="0" xfId="0" applyFont="1" applyFill="1"/>
    <xf numFmtId="42" fontId="18" fillId="0" borderId="0" xfId="0" applyNumberFormat="1" applyFont="1" applyFill="1"/>
    <xf numFmtId="42" fontId="0" fillId="0" borderId="0" xfId="0" applyNumberFormat="1" applyFill="1"/>
    <xf numFmtId="0" fontId="0" fillId="0" borderId="0" xfId="0" applyFill="1" applyAlignment="1">
      <alignment horizontal="right" wrapText="1"/>
    </xf>
    <xf numFmtId="37" fontId="9" fillId="0" borderId="0" xfId="0" applyNumberFormat="1" applyFont="1" applyFill="1" applyAlignment="1">
      <alignment horizontal="right" wrapText="1"/>
    </xf>
    <xf numFmtId="37" fontId="31" fillId="0" borderId="0" xfId="0" applyNumberFormat="1" applyFont="1" applyFill="1"/>
    <xf numFmtId="0" fontId="37" fillId="0" borderId="0" xfId="0" applyFont="1" applyFill="1" applyAlignment="1">
      <alignment horizontal="right"/>
    </xf>
    <xf numFmtId="0" fontId="9" fillId="0" borderId="0" xfId="0" applyFont="1" applyFill="1" applyAlignment="1"/>
    <xf numFmtId="0" fontId="44" fillId="0" borderId="0" xfId="0" applyFont="1" applyFill="1" applyAlignment="1"/>
    <xf numFmtId="0" fontId="44" fillId="0" borderId="0" xfId="465" applyFont="1" applyFill="1" applyBorder="1" applyAlignment="1">
      <alignment horizontal="left"/>
    </xf>
    <xf numFmtId="0" fontId="10" fillId="0" borderId="17" xfId="0" applyFont="1" applyFill="1" applyBorder="1" applyAlignment="1">
      <alignment horizontal="center" wrapText="1"/>
    </xf>
    <xf numFmtId="0" fontId="10" fillId="0" borderId="26" xfId="0" applyFont="1" applyFill="1" applyBorder="1" applyAlignment="1">
      <alignment horizontal="center" wrapText="1"/>
    </xf>
    <xf numFmtId="164" fontId="52" fillId="0" borderId="0" xfId="465" applyNumberFormat="1" applyFont="1" applyFill="1" applyBorder="1" applyAlignment="1">
      <alignment horizontal="center"/>
    </xf>
    <xf numFmtId="164" fontId="52" fillId="0" borderId="0" xfId="390" applyNumberFormat="1" applyFont="1" applyFill="1" applyBorder="1" applyAlignment="1"/>
    <xf numFmtId="3" fontId="52" fillId="0" borderId="0" xfId="465" applyNumberFormat="1" applyFont="1" applyFill="1" applyBorder="1" applyAlignment="1">
      <alignment horizontal="center"/>
    </xf>
    <xf numFmtId="0" fontId="18" fillId="0" borderId="14" xfId="465" applyFont="1" applyFill="1" applyBorder="1" applyAlignment="1"/>
    <xf numFmtId="0" fontId="52" fillId="0" borderId="35" xfId="465" applyFont="1" applyFill="1" applyBorder="1"/>
    <xf numFmtId="3" fontId="18" fillId="0" borderId="13" xfId="465" applyNumberFormat="1" applyFont="1" applyFill="1" applyBorder="1" applyAlignment="1">
      <alignment horizontal="center"/>
    </xf>
    <xf numFmtId="3" fontId="18" fillId="0" borderId="17" xfId="465" applyNumberFormat="1" applyFont="1" applyFill="1" applyBorder="1" applyAlignment="1">
      <alignment horizontal="center" wrapText="1"/>
    </xf>
    <xf numFmtId="3" fontId="18" fillId="0" borderId="17" xfId="465" applyNumberFormat="1" applyFont="1" applyFill="1" applyBorder="1" applyAlignment="1">
      <alignment horizontal="right"/>
    </xf>
    <xf numFmtId="0" fontId="57" fillId="0" borderId="24" xfId="465" applyFont="1" applyFill="1" applyBorder="1" applyAlignment="1">
      <alignment horizontal="center"/>
    </xf>
    <xf numFmtId="0" fontId="18" fillId="0" borderId="25" xfId="465" applyFont="1" applyFill="1" applyBorder="1" applyAlignment="1">
      <alignment horizontal="center" wrapText="1"/>
    </xf>
    <xf numFmtId="0" fontId="52" fillId="0" borderId="24" xfId="465" applyFont="1" applyFill="1" applyBorder="1" applyAlignment="1">
      <alignment horizontal="center" wrapText="1"/>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52" fillId="0" borderId="21" xfId="465" applyFont="1" applyFill="1" applyBorder="1"/>
    <xf numFmtId="43" fontId="49" fillId="0" borderId="0" xfId="381" applyFont="1" applyFill="1" applyBorder="1" applyAlignment="1"/>
    <xf numFmtId="0" fontId="52" fillId="0" borderId="28" xfId="465" applyFont="1" applyFill="1" applyBorder="1"/>
    <xf numFmtId="0" fontId="18" fillId="0" borderId="13" xfId="465" applyFont="1" applyFill="1" applyBorder="1" applyAlignment="1"/>
    <xf numFmtId="0" fontId="52" fillId="0" borderId="10" xfId="465" applyFont="1" applyFill="1" applyBorder="1" applyAlignment="1"/>
    <xf numFmtId="0" fontId="34" fillId="0" borderId="0" xfId="465" applyFont="1" applyFill="1" applyBorder="1" applyAlignment="1">
      <alignment horizontal="center"/>
    </xf>
    <xf numFmtId="37" fontId="35" fillId="0" borderId="0" xfId="465" applyNumberFormat="1" applyFont="1" applyFill="1" applyBorder="1" applyAlignment="1">
      <alignment horizontal="left"/>
    </xf>
    <xf numFmtId="0" fontId="35" fillId="0" borderId="0" xfId="465" applyFont="1" applyFill="1"/>
    <xf numFmtId="0" fontId="39" fillId="0" borderId="25" xfId="465" applyFont="1" applyFill="1" applyBorder="1" applyAlignment="1">
      <alignment horizontal="center" wrapText="1"/>
    </xf>
    <xf numFmtId="0" fontId="39" fillId="0" borderId="24" xfId="465" applyFont="1" applyFill="1" applyBorder="1" applyAlignment="1">
      <alignment horizontal="center" wrapText="1"/>
    </xf>
    <xf numFmtId="0" fontId="35" fillId="0" borderId="24" xfId="465" applyFont="1" applyFill="1" applyBorder="1" applyAlignment="1">
      <alignment horizontal="center" wrapText="1"/>
    </xf>
    <xf numFmtId="0" fontId="35" fillId="0" borderId="29" xfId="465" applyFont="1" applyFill="1" applyBorder="1" applyAlignment="1">
      <alignment horizontal="center" wrapText="1"/>
    </xf>
    <xf numFmtId="0" fontId="35" fillId="0" borderId="21" xfId="465" applyFont="1" applyFill="1" applyBorder="1"/>
    <xf numFmtId="0" fontId="35" fillId="0" borderId="20" xfId="465" applyFont="1" applyFill="1" applyBorder="1"/>
    <xf numFmtId="3" fontId="35" fillId="0" borderId="0" xfId="465" applyNumberFormat="1" applyFont="1" applyFill="1" applyBorder="1" applyAlignment="1">
      <alignment horizontal="left" wrapText="1"/>
    </xf>
    <xf numFmtId="0" fontId="8" fillId="0" borderId="0" xfId="465" applyFont="1" applyFill="1" applyBorder="1" applyAlignment="1">
      <alignment wrapText="1"/>
    </xf>
    <xf numFmtId="0" fontId="8" fillId="0" borderId="21" xfId="465" applyFont="1" applyFill="1" applyBorder="1" applyAlignment="1">
      <alignment wrapText="1"/>
    </xf>
    <xf numFmtId="0" fontId="35" fillId="0" borderId="0" xfId="465" applyFont="1" applyFill="1" applyBorder="1" applyAlignment="1">
      <alignment wrapText="1"/>
    </xf>
    <xf numFmtId="0" fontId="35" fillId="0" borderId="21" xfId="465" applyFont="1" applyFill="1" applyBorder="1" applyAlignment="1">
      <alignment wrapText="1"/>
    </xf>
    <xf numFmtId="3" fontId="35" fillId="0" borderId="0" xfId="465" quotePrefix="1" applyNumberFormat="1" applyFont="1" applyFill="1" applyBorder="1" applyAlignment="1">
      <alignment horizontal="left" wrapText="1"/>
    </xf>
    <xf numFmtId="0" fontId="35" fillId="0" borderId="22" xfId="465" applyNumberFormat="1" applyFont="1" applyFill="1" applyBorder="1" applyAlignment="1">
      <alignment horizontal="center"/>
    </xf>
    <xf numFmtId="0" fontId="35" fillId="0" borderId="10" xfId="465" applyNumberFormat="1" applyFont="1" applyFill="1" applyBorder="1" applyAlignment="1">
      <alignment horizontal="right"/>
    </xf>
    <xf numFmtId="0" fontId="35" fillId="0" borderId="10" xfId="465" applyFont="1" applyFill="1" applyBorder="1" applyAlignment="1">
      <alignment horizontal="left"/>
    </xf>
    <xf numFmtId="0" fontId="35" fillId="0" borderId="10" xfId="465" applyNumberFormat="1" applyFont="1" applyFill="1" applyBorder="1" applyAlignment="1">
      <alignment horizontal="center"/>
    </xf>
    <xf numFmtId="0" fontId="35" fillId="0" borderId="23" xfId="465" applyNumberFormat="1" applyFont="1" applyFill="1" applyBorder="1" applyAlignment="1"/>
    <xf numFmtId="0" fontId="35" fillId="0" borderId="10" xfId="465" applyNumberFormat="1" applyFont="1" applyFill="1" applyBorder="1" applyAlignment="1"/>
    <xf numFmtId="3" fontId="35" fillId="0" borderId="10" xfId="465" applyNumberFormat="1" applyFont="1" applyFill="1" applyBorder="1" applyAlignment="1">
      <alignment horizontal="center"/>
    </xf>
    <xf numFmtId="3" fontId="35" fillId="0" borderId="10" xfId="465" applyNumberFormat="1" applyFont="1" applyFill="1" applyBorder="1" applyAlignment="1">
      <alignment horizontal="left" wrapText="1"/>
    </xf>
    <xf numFmtId="0" fontId="9" fillId="0" borderId="16" xfId="465" applyFont="1" applyFill="1" applyBorder="1" applyAlignment="1">
      <alignment horizontal="center"/>
    </xf>
    <xf numFmtId="0" fontId="9" fillId="0" borderId="16" xfId="465" applyFont="1" applyFill="1" applyBorder="1" applyAlignment="1">
      <alignment horizontal="center" wrapText="1"/>
    </xf>
    <xf numFmtId="0" fontId="9" fillId="0" borderId="15" xfId="465" applyFont="1" applyFill="1" applyBorder="1" applyAlignment="1">
      <alignment horizontal="center" wrapText="1"/>
    </xf>
    <xf numFmtId="164" fontId="18" fillId="0" borderId="0" xfId="381" applyNumberFormat="1" applyFont="1" applyFill="1" applyBorder="1" applyAlignment="1"/>
    <xf numFmtId="0" fontId="9" fillId="0" borderId="25" xfId="465" applyFont="1" applyFill="1" applyBorder="1" applyAlignment="1">
      <alignment horizontal="center" wrapText="1"/>
    </xf>
    <xf numFmtId="0" fontId="8" fillId="0" borderId="21" xfId="465" applyFont="1" applyFill="1" applyBorder="1"/>
    <xf numFmtId="3" fontId="9" fillId="0" borderId="0" xfId="465" applyNumberFormat="1" applyFont="1" applyFill="1" applyBorder="1" applyAlignment="1">
      <alignment horizontal="center"/>
    </xf>
    <xf numFmtId="0" fontId="8" fillId="0" borderId="20" xfId="473" applyNumberFormat="1" applyFont="1" applyFill="1" applyBorder="1" applyAlignment="1">
      <alignment horizontal="center"/>
    </xf>
    <xf numFmtId="3" fontId="8" fillId="0" borderId="0" xfId="473" applyNumberFormat="1" applyFont="1" applyFill="1" applyBorder="1" applyAlignment="1">
      <alignment horizontal="center"/>
    </xf>
    <xf numFmtId="0" fontId="8" fillId="0" borderId="0" xfId="473" applyFont="1" applyFill="1" applyBorder="1"/>
    <xf numFmtId="164" fontId="8" fillId="0" borderId="21" xfId="381" applyNumberFormat="1" applyFont="1" applyFill="1" applyBorder="1"/>
    <xf numFmtId="43" fontId="8" fillId="0" borderId="21" xfId="381" applyFont="1" applyFill="1" applyBorder="1"/>
    <xf numFmtId="0" fontId="8" fillId="0" borderId="21" xfId="473" applyFont="1" applyFill="1" applyBorder="1"/>
    <xf numFmtId="0" fontId="8" fillId="0" borderId="22" xfId="473" applyNumberFormat="1" applyFont="1" applyFill="1" applyBorder="1" applyAlignment="1">
      <alignment horizontal="center"/>
    </xf>
    <xf numFmtId="0" fontId="9" fillId="0" borderId="10" xfId="473" applyFont="1" applyFill="1" applyBorder="1"/>
    <xf numFmtId="0" fontId="20" fillId="0" borderId="10" xfId="465" applyNumberFormat="1" applyFont="1" applyFill="1" applyBorder="1" applyAlignment="1">
      <alignment horizontal="center"/>
    </xf>
    <xf numFmtId="3" fontId="9" fillId="0" borderId="21" xfId="465" applyNumberFormat="1" applyFont="1" applyFill="1" applyBorder="1" applyAlignment="1"/>
    <xf numFmtId="3" fontId="9" fillId="0" borderId="0" xfId="465" applyNumberFormat="1" applyFont="1" applyFill="1" applyBorder="1" applyAlignment="1"/>
    <xf numFmtId="164" fontId="18" fillId="0" borderId="20" xfId="381" applyNumberFormat="1" applyFont="1" applyFill="1" applyBorder="1"/>
    <xf numFmtId="164" fontId="18" fillId="0" borderId="66" xfId="381" applyNumberFormat="1" applyFont="1" applyFill="1" applyBorder="1"/>
    <xf numFmtId="0" fontId="18" fillId="0" borderId="23" xfId="465" applyFont="1" applyFill="1" applyBorder="1"/>
    <xf numFmtId="0" fontId="8" fillId="0" borderId="10" xfId="465" applyFont="1" applyFill="1" applyBorder="1"/>
    <xf numFmtId="0" fontId="9" fillId="0" borderId="10" xfId="465" applyFont="1" applyFill="1" applyBorder="1"/>
    <xf numFmtId="0" fontId="8" fillId="0" borderId="23" xfId="465" applyFont="1" applyFill="1" applyBorder="1"/>
    <xf numFmtId="0" fontId="9" fillId="0" borderId="0" xfId="465" applyFont="1" applyFill="1" applyBorder="1"/>
    <xf numFmtId="9" fontId="8" fillId="0" borderId="0" xfId="634" applyFont="1" applyFill="1" applyBorder="1" applyAlignment="1">
      <alignment horizontal="center"/>
    </xf>
    <xf numFmtId="164" fontId="18" fillId="0" borderId="0" xfId="381" applyNumberFormat="1" applyFont="1" applyFill="1" applyBorder="1"/>
    <xf numFmtId="0" fontId="0" fillId="0" borderId="22" xfId="0" applyFill="1" applyBorder="1"/>
    <xf numFmtId="0" fontId="0" fillId="0" borderId="10" xfId="0" applyFill="1" applyBorder="1"/>
    <xf numFmtId="0" fontId="0" fillId="0" borderId="23" xfId="0" applyFill="1" applyBorder="1"/>
    <xf numFmtId="168" fontId="8" fillId="0" borderId="10" xfId="634" applyNumberFormat="1" applyFont="1" applyFill="1" applyBorder="1" applyAlignment="1">
      <alignment horizontal="center"/>
    </xf>
    <xf numFmtId="0" fontId="8" fillId="0" borderId="10" xfId="0" applyFont="1" applyFill="1" applyBorder="1"/>
    <xf numFmtId="0" fontId="8" fillId="0" borderId="23" xfId="0" applyFont="1" applyFill="1" applyBorder="1"/>
    <xf numFmtId="0" fontId="9" fillId="0" borderId="25" xfId="465" applyFont="1" applyFill="1" applyBorder="1" applyAlignment="1">
      <alignment horizontal="left"/>
    </xf>
    <xf numFmtId="3" fontId="20" fillId="0" borderId="20" xfId="465" applyNumberFormat="1" applyFont="1" applyFill="1" applyBorder="1" applyAlignment="1">
      <alignment horizontal="center"/>
    </xf>
    <xf numFmtId="37" fontId="9" fillId="0" borderId="0" xfId="467" applyNumberFormat="1" applyFont="1" applyFill="1" applyBorder="1"/>
    <xf numFmtId="168" fontId="8" fillId="0" borderId="0" xfId="634" applyNumberFormat="1" applyFont="1" applyFill="1" applyBorder="1" applyAlignment="1"/>
    <xf numFmtId="164" fontId="18" fillId="0" borderId="0" xfId="390" applyNumberFormat="1" applyFont="1" applyFill="1" applyBorder="1"/>
    <xf numFmtId="164" fontId="8" fillId="0" borderId="0" xfId="390" applyNumberFormat="1" applyFont="1" applyFill="1" applyBorder="1"/>
    <xf numFmtId="0" fontId="9" fillId="0" borderId="10" xfId="465" applyFont="1" applyFill="1" applyBorder="1" applyAlignment="1"/>
    <xf numFmtId="164" fontId="18" fillId="0" borderId="22" xfId="390" applyNumberFormat="1" applyFont="1" applyFill="1" applyBorder="1"/>
    <xf numFmtId="164" fontId="18" fillId="0" borderId="10" xfId="390" applyNumberFormat="1" applyFont="1" applyFill="1" applyBorder="1"/>
    <xf numFmtId="164" fontId="9" fillId="0" borderId="10" xfId="390" applyNumberFormat="1" applyFont="1" applyFill="1" applyBorder="1" applyAlignment="1"/>
    <xf numFmtId="164" fontId="8" fillId="0" borderId="10" xfId="381" applyNumberFormat="1" applyFont="1" applyFill="1" applyBorder="1" applyAlignment="1"/>
    <xf numFmtId="183" fontId="115" fillId="0" borderId="0" xfId="0" applyNumberFormat="1" applyFont="1" applyFill="1" applyBorder="1"/>
    <xf numFmtId="0" fontId="115" fillId="0" borderId="21" xfId="0" applyFont="1" applyFill="1" applyBorder="1" applyAlignment="1">
      <alignment horizontal="right"/>
    </xf>
    <xf numFmtId="164" fontId="9" fillId="0" borderId="67" xfId="465" applyNumberFormat="1" applyFont="1" applyFill="1" applyBorder="1"/>
    <xf numFmtId="164" fontId="9" fillId="0" borderId="0" xfId="390" applyNumberFormat="1" applyFont="1" applyFill="1" applyBorder="1" applyAlignment="1"/>
    <xf numFmtId="3" fontId="18" fillId="0" borderId="21" xfId="465" applyNumberFormat="1" applyFont="1" applyFill="1" applyBorder="1" applyAlignment="1"/>
    <xf numFmtId="0" fontId="9" fillId="0" borderId="20" xfId="465" applyFont="1" applyFill="1" applyBorder="1" applyAlignment="1">
      <alignment horizontal="center" wrapText="1"/>
    </xf>
    <xf numFmtId="164" fontId="18" fillId="0" borderId="20" xfId="381" applyNumberFormat="1" applyFont="1" applyFill="1" applyBorder="1" applyAlignment="1">
      <alignment horizontal="right"/>
    </xf>
    <xf numFmtId="164" fontId="18" fillId="0" borderId="20" xfId="465" applyNumberFormat="1" applyFont="1" applyFill="1" applyBorder="1" applyAlignment="1">
      <alignment horizontal="right"/>
    </xf>
    <xf numFmtId="0" fontId="9" fillId="0" borderId="39" xfId="465" applyFont="1" applyFill="1" applyBorder="1" applyAlignment="1">
      <alignment horizontal="center"/>
    </xf>
    <xf numFmtId="0" fontId="18" fillId="0" borderId="40" xfId="465" applyFont="1" applyFill="1" applyBorder="1"/>
    <xf numFmtId="164" fontId="35" fillId="0" borderId="0" xfId="0" applyNumberFormat="1" applyFont="1" applyFill="1" applyBorder="1"/>
    <xf numFmtId="0" fontId="35" fillId="0" borderId="21" xfId="0" applyFont="1" applyFill="1" applyBorder="1"/>
    <xf numFmtId="164" fontId="35" fillId="0" borderId="10" xfId="0" applyNumberFormat="1" applyFont="1" applyFill="1" applyBorder="1"/>
    <xf numFmtId="0" fontId="34" fillId="0" borderId="10" xfId="0" applyFont="1" applyFill="1" applyBorder="1"/>
    <xf numFmtId="0" fontId="35" fillId="0" borderId="10" xfId="0" applyFont="1" applyFill="1" applyBorder="1"/>
    <xf numFmtId="0" fontId="35" fillId="0" borderId="23" xfId="0" applyFont="1" applyFill="1" applyBorder="1"/>
    <xf numFmtId="167" fontId="35" fillId="0" borderId="0" xfId="420" applyNumberFormat="1" applyFont="1" applyFill="1" applyBorder="1"/>
    <xf numFmtId="0" fontId="50" fillId="0" borderId="0" xfId="467" applyNumberFormat="1" applyFont="1" applyFill="1" applyAlignment="1">
      <alignment horizontal="left"/>
    </xf>
    <xf numFmtId="164" fontId="8" fillId="0" borderId="10" xfId="381" applyNumberFormat="1" applyFont="1" applyFill="1" applyBorder="1"/>
    <xf numFmtId="0" fontId="35" fillId="0" borderId="24" xfId="467" applyFont="1" applyFill="1" applyBorder="1" applyAlignment="1">
      <alignment horizontal="center"/>
    </xf>
    <xf numFmtId="0" fontId="8" fillId="0" borderId="21" xfId="467" applyFont="1" applyFill="1" applyBorder="1" applyAlignment="1">
      <alignment horizontal="center"/>
    </xf>
    <xf numFmtId="0" fontId="35" fillId="0" borderId="29" xfId="467" applyFont="1" applyFill="1" applyBorder="1"/>
    <xf numFmtId="0" fontId="35" fillId="0" borderId="21" xfId="467" applyFont="1" applyFill="1" applyBorder="1"/>
    <xf numFmtId="0" fontId="90" fillId="0" borderId="0" xfId="0" applyNumberFormat="1" applyFont="1" applyFill="1" applyAlignment="1">
      <alignment horizontal="left" wrapText="1"/>
    </xf>
    <xf numFmtId="0" fontId="35" fillId="0" borderId="10" xfId="467" applyFont="1" applyFill="1" applyBorder="1" applyAlignment="1">
      <alignment horizontal="center"/>
    </xf>
    <xf numFmtId="0" fontId="35" fillId="0" borderId="23" xfId="467" applyFont="1" applyFill="1" applyBorder="1"/>
    <xf numFmtId="0" fontId="35" fillId="0" borderId="22" xfId="467" applyFont="1" applyFill="1" applyBorder="1"/>
    <xf numFmtId="0" fontId="39" fillId="0" borderId="24" xfId="467" applyFont="1" applyFill="1" applyBorder="1" applyAlignment="1">
      <alignment horizontal="center" wrapText="1"/>
    </xf>
    <xf numFmtId="0" fontId="35" fillId="0" borderId="40" xfId="467" applyFont="1" applyFill="1" applyBorder="1" applyAlignment="1">
      <alignment horizontal="center"/>
    </xf>
    <xf numFmtId="167" fontId="35" fillId="0" borderId="40" xfId="420" applyNumberFormat="1" applyFont="1" applyFill="1" applyBorder="1"/>
    <xf numFmtId="167" fontId="35" fillId="0" borderId="0" xfId="467" applyNumberFormat="1" applyFont="1" applyFill="1" applyBorder="1"/>
    <xf numFmtId="0" fontId="9" fillId="0" borderId="26" xfId="0" applyFont="1" applyFill="1" applyBorder="1"/>
    <xf numFmtId="164" fontId="103" fillId="0" borderId="0" xfId="381" applyNumberFormat="1" applyFont="1" applyFill="1" applyBorder="1"/>
    <xf numFmtId="0" fontId="12" fillId="0" borderId="0" xfId="0" applyNumberFormat="1" applyFont="1" applyFill="1" applyBorder="1" applyAlignment="1">
      <alignment horizontal="center" vertical="top"/>
    </xf>
    <xf numFmtId="0" fontId="18" fillId="0" borderId="22" xfId="465" applyNumberFormat="1" applyFont="1" applyFill="1" applyBorder="1" applyAlignment="1">
      <alignment horizontal="left"/>
    </xf>
    <xf numFmtId="0" fontId="9" fillId="0" borderId="25" xfId="465" applyNumberFormat="1" applyFont="1" applyFill="1" applyBorder="1" applyAlignment="1">
      <alignment horizontal="center"/>
    </xf>
    <xf numFmtId="0" fontId="9" fillId="0" borderId="24" xfId="465" applyNumberFormat="1" applyFont="1" applyFill="1" applyBorder="1" applyAlignment="1">
      <alignment horizontal="center"/>
    </xf>
    <xf numFmtId="0" fontId="9" fillId="0" borderId="24" xfId="465" applyNumberFormat="1" applyFont="1" applyFill="1" applyBorder="1" applyAlignment="1">
      <alignment horizontal="left" wrapText="1"/>
    </xf>
    <xf numFmtId="0" fontId="8" fillId="0" borderId="0" xfId="467" applyFont="1" applyAlignment="1">
      <alignment horizontal="center" vertical="top"/>
    </xf>
    <xf numFmtId="43" fontId="0" fillId="0" borderId="17" xfId="381" applyFont="1" applyFill="1" applyBorder="1"/>
    <xf numFmtId="0" fontId="18" fillId="34" borderId="0" xfId="0" applyFont="1" applyFill="1"/>
    <xf numFmtId="0" fontId="0" fillId="34" borderId="0" xfId="0" applyFill="1"/>
    <xf numFmtId="0" fontId="52" fillId="34" borderId="0" xfId="0" applyFont="1" applyFill="1"/>
    <xf numFmtId="0" fontId="65" fillId="34" borderId="0" xfId="0" applyFont="1" applyFill="1"/>
    <xf numFmtId="164" fontId="50" fillId="34" borderId="0" xfId="381" applyNumberFormat="1" applyFont="1" applyFill="1"/>
    <xf numFmtId="0" fontId="9" fillId="0" borderId="0" xfId="467" applyFont="1" applyFill="1" applyBorder="1" applyAlignment="1">
      <alignment horizontal="left"/>
    </xf>
    <xf numFmtId="0" fontId="9" fillId="0" borderId="25" xfId="467" applyFont="1" applyFill="1" applyBorder="1" applyAlignment="1">
      <alignment horizontal="left"/>
    </xf>
    <xf numFmtId="0" fontId="9" fillId="0" borderId="24" xfId="467" applyFont="1" applyFill="1" applyBorder="1" applyAlignment="1">
      <alignment horizontal="left"/>
    </xf>
    <xf numFmtId="0" fontId="9" fillId="0" borderId="25" xfId="467" applyFont="1" applyFill="1" applyBorder="1" applyAlignment="1">
      <alignment horizontal="center" wrapText="1"/>
    </xf>
    <xf numFmtId="0" fontId="9" fillId="0" borderId="24" xfId="467" applyFont="1" applyFill="1" applyBorder="1" applyAlignment="1">
      <alignment horizontal="center" wrapText="1"/>
    </xf>
    <xf numFmtId="0" fontId="8" fillId="0" borderId="24" xfId="467" applyFont="1" applyBorder="1"/>
    <xf numFmtId="0" fontId="8" fillId="0" borderId="24" xfId="467" applyFont="1" applyFill="1" applyBorder="1" applyAlignment="1">
      <alignment wrapText="1"/>
    </xf>
    <xf numFmtId="0" fontId="9" fillId="0" borderId="24" xfId="467" applyFont="1" applyFill="1" applyBorder="1" applyAlignment="1">
      <alignment wrapText="1"/>
    </xf>
    <xf numFmtId="0" fontId="8" fillId="0" borderId="29" xfId="467" applyFont="1" applyFill="1" applyBorder="1" applyAlignment="1">
      <alignment wrapText="1"/>
    </xf>
    <xf numFmtId="0" fontId="9" fillId="0" borderId="20" xfId="467" applyFont="1" applyFill="1" applyBorder="1" applyAlignment="1">
      <alignment horizontal="left"/>
    </xf>
    <xf numFmtId="0" fontId="9" fillId="0" borderId="20" xfId="467" applyFont="1" applyFill="1" applyBorder="1" applyAlignment="1">
      <alignment horizontal="center" wrapText="1"/>
    </xf>
    <xf numFmtId="0" fontId="9" fillId="0" borderId="0" xfId="467" applyFont="1" applyFill="1" applyBorder="1" applyAlignment="1">
      <alignment horizontal="center" wrapText="1"/>
    </xf>
    <xf numFmtId="0" fontId="8" fillId="0" borderId="0" xfId="467" applyFont="1" applyFill="1" applyBorder="1" applyAlignment="1">
      <alignment wrapText="1"/>
    </xf>
    <xf numFmtId="0" fontId="9" fillId="0" borderId="0" xfId="467" applyFont="1" applyFill="1" applyBorder="1" applyAlignment="1">
      <alignment wrapText="1"/>
    </xf>
    <xf numFmtId="0" fontId="8" fillId="0" borderId="21" xfId="467" applyFont="1" applyFill="1" applyBorder="1" applyAlignment="1">
      <alignment wrapText="1"/>
    </xf>
    <xf numFmtId="164" fontId="9" fillId="0" borderId="0" xfId="467" applyNumberFormat="1" applyFont="1" applyFill="1" applyBorder="1" applyAlignment="1">
      <alignment horizontal="center" wrapText="1"/>
    </xf>
    <xf numFmtId="0" fontId="8" fillId="0" borderId="20" xfId="467" applyNumberFormat="1" applyFont="1" applyFill="1" applyBorder="1" applyAlignment="1">
      <alignment horizontal="center"/>
    </xf>
    <xf numFmtId="0" fontId="9" fillId="0" borderId="0" xfId="467" applyNumberFormat="1" applyFont="1" applyFill="1" applyBorder="1" applyAlignment="1"/>
    <xf numFmtId="0" fontId="8" fillId="0" borderId="0" xfId="467" applyFont="1" applyFill="1" applyBorder="1" applyAlignment="1">
      <alignment horizontal="left"/>
    </xf>
    <xf numFmtId="0" fontId="8" fillId="0" borderId="0" xfId="467" applyFont="1" applyFill="1" applyBorder="1" applyAlignment="1"/>
    <xf numFmtId="3" fontId="8" fillId="0" borderId="0" xfId="467" applyNumberFormat="1" applyFont="1" applyFill="1" applyBorder="1" applyAlignment="1">
      <alignment horizontal="center"/>
    </xf>
    <xf numFmtId="0" fontId="9" fillId="0" borderId="20" xfId="467" applyFont="1" applyFill="1" applyBorder="1" applyAlignment="1">
      <alignment horizontal="center"/>
    </xf>
    <xf numFmtId="3" fontId="9" fillId="0" borderId="0" xfId="467" applyNumberFormat="1" applyFont="1" applyFill="1" applyBorder="1" applyAlignment="1">
      <alignment horizontal="center"/>
    </xf>
    <xf numFmtId="0" fontId="9" fillId="0" borderId="0" xfId="467" applyFont="1" applyFill="1" applyBorder="1" applyAlignment="1">
      <alignment horizontal="center"/>
    </xf>
    <xf numFmtId="0" fontId="9" fillId="0" borderId="21" xfId="467" applyFont="1" applyFill="1" applyBorder="1"/>
    <xf numFmtId="164" fontId="8" fillId="0" borderId="0" xfId="467" applyNumberFormat="1" applyFont="1"/>
    <xf numFmtId="43" fontId="8" fillId="0" borderId="0" xfId="381" applyNumberFormat="1" applyFont="1" applyFill="1" applyBorder="1" applyAlignment="1">
      <alignment horizontal="center"/>
    </xf>
    <xf numFmtId="164" fontId="8" fillId="0" borderId="0" xfId="381" applyNumberFormat="1" applyFont="1" applyFill="1" applyBorder="1" applyAlignment="1">
      <alignment horizontal="center"/>
    </xf>
    <xf numFmtId="164" fontId="8" fillId="0" borderId="22" xfId="391" applyNumberFormat="1" applyFont="1" applyFill="1" applyBorder="1" applyAlignment="1">
      <alignment horizontal="center"/>
    </xf>
    <xf numFmtId="164" fontId="9" fillId="0" borderId="10" xfId="381" applyNumberFormat="1" applyFont="1" applyFill="1" applyBorder="1" applyAlignment="1">
      <alignment wrapText="1"/>
    </xf>
    <xf numFmtId="164" fontId="9" fillId="0" borderId="23" xfId="381" applyNumberFormat="1" applyFont="1" applyFill="1" applyBorder="1" applyAlignment="1">
      <alignment wrapText="1"/>
    </xf>
    <xf numFmtId="0" fontId="8" fillId="0" borderId="0" xfId="473" applyNumberFormat="1" applyFont="1" applyFill="1" applyBorder="1" applyAlignment="1">
      <alignment horizontal="center"/>
    </xf>
    <xf numFmtId="0" fontId="8" fillId="0" borderId="0" xfId="473" applyNumberFormat="1" applyFont="1" applyFill="1" applyBorder="1" applyAlignment="1">
      <alignment horizontal="right"/>
    </xf>
    <xf numFmtId="0" fontId="8" fillId="0" borderId="0" xfId="473" applyNumberFormat="1" applyFont="1" applyFill="1" applyBorder="1" applyAlignment="1">
      <alignment horizontal="left"/>
    </xf>
    <xf numFmtId="164" fontId="8" fillId="0" borderId="0" xfId="391" applyNumberFormat="1" applyFont="1" applyFill="1" applyBorder="1" applyAlignment="1">
      <alignment horizontal="center"/>
    </xf>
    <xf numFmtId="0" fontId="9" fillId="0" borderId="0" xfId="473" applyFont="1" applyFill="1" applyBorder="1"/>
    <xf numFmtId="164" fontId="9" fillId="0" borderId="0" xfId="381" applyNumberFormat="1" applyFont="1" applyFill="1" applyBorder="1" applyAlignment="1">
      <alignment wrapText="1"/>
    </xf>
    <xf numFmtId="37" fontId="50" fillId="0" borderId="0" xfId="391" applyNumberFormat="1" applyFont="1" applyFill="1" applyAlignment="1">
      <alignment horizontal="right"/>
    </xf>
    <xf numFmtId="43" fontId="21" fillId="0" borderId="28" xfId="381" applyFont="1" applyFill="1" applyBorder="1" applyAlignment="1">
      <alignment horizontal="center"/>
    </xf>
    <xf numFmtId="181" fontId="12" fillId="0" borderId="28" xfId="381" applyNumberFormat="1" applyFont="1" applyBorder="1"/>
    <xf numFmtId="43" fontId="35" fillId="0" borderId="20" xfId="381" applyFont="1" applyFill="1" applyBorder="1" applyAlignment="1">
      <alignment horizontal="center"/>
    </xf>
    <xf numFmtId="164" fontId="35" fillId="0" borderId="20" xfId="381" applyNumberFormat="1" applyFont="1" applyFill="1" applyBorder="1" applyAlignment="1">
      <alignment horizontal="center"/>
    </xf>
    <xf numFmtId="168" fontId="35" fillId="0" borderId="20" xfId="633" applyNumberFormat="1" applyFont="1" applyFill="1" applyBorder="1" applyAlignment="1">
      <alignment horizontal="right"/>
    </xf>
    <xf numFmtId="0" fontId="10" fillId="0" borderId="37" xfId="0" applyFont="1" applyFill="1" applyBorder="1" applyAlignment="1">
      <alignment horizontal="center" wrapText="1"/>
    </xf>
    <xf numFmtId="0" fontId="10" fillId="0" borderId="42" xfId="0" applyFont="1" applyFill="1" applyBorder="1" applyAlignment="1">
      <alignment horizontal="center" wrapText="1"/>
    </xf>
    <xf numFmtId="0" fontId="10" fillId="0" borderId="43" xfId="0" applyFont="1" applyFill="1" applyBorder="1" applyAlignment="1">
      <alignment horizontal="center" wrapText="1"/>
    </xf>
    <xf numFmtId="173" fontId="8" fillId="0" borderId="0" xfId="633" applyNumberFormat="1" applyFont="1" applyFill="1"/>
    <xf numFmtId="43" fontId="12" fillId="0" borderId="34" xfId="381" applyFont="1" applyFill="1" applyBorder="1" applyAlignment="1">
      <alignment horizontal="right"/>
    </xf>
    <xf numFmtId="43" fontId="12" fillId="0" borderId="53" xfId="381" applyFont="1" applyFill="1" applyBorder="1" applyAlignment="1">
      <alignment horizontal="right"/>
    </xf>
    <xf numFmtId="43" fontId="12" fillId="0" borderId="35" xfId="381" applyFont="1" applyFill="1" applyBorder="1"/>
    <xf numFmtId="43" fontId="12" fillId="0" borderId="55" xfId="381" applyFont="1" applyFill="1" applyBorder="1"/>
    <xf numFmtId="43" fontId="10" fillId="0" borderId="28" xfId="381" applyFont="1" applyFill="1" applyBorder="1"/>
    <xf numFmtId="43" fontId="10" fillId="0" borderId="53" xfId="381" applyFont="1" applyFill="1" applyBorder="1"/>
    <xf numFmtId="43" fontId="12" fillId="0" borderId="28" xfId="381" applyFont="1" applyBorder="1"/>
    <xf numFmtId="43" fontId="12" fillId="0" borderId="52" xfId="381" applyFont="1" applyBorder="1"/>
    <xf numFmtId="43" fontId="12" fillId="0" borderId="52" xfId="381" applyFont="1" applyFill="1" applyBorder="1"/>
    <xf numFmtId="43" fontId="10" fillId="0" borderId="28" xfId="381" applyFont="1" applyFill="1" applyBorder="1" applyAlignment="1">
      <alignment horizontal="right"/>
    </xf>
    <xf numFmtId="43" fontId="10" fillId="0" borderId="53" xfId="381" applyFont="1" applyFill="1" applyBorder="1" applyAlignment="1">
      <alignment horizontal="right"/>
    </xf>
    <xf numFmtId="43" fontId="10" fillId="0" borderId="28" xfId="381" applyFont="1" applyBorder="1"/>
    <xf numFmtId="43" fontId="10" fillId="0" borderId="52" xfId="381" applyFont="1" applyBorder="1"/>
    <xf numFmtId="43" fontId="10" fillId="0" borderId="52" xfId="381" applyFont="1" applyFill="1" applyBorder="1"/>
    <xf numFmtId="43" fontId="10" fillId="0" borderId="33" xfId="381" applyFont="1" applyFill="1" applyBorder="1"/>
    <xf numFmtId="43" fontId="10" fillId="0" borderId="0" xfId="381" applyFont="1" applyFill="1" applyBorder="1"/>
    <xf numFmtId="43" fontId="10" fillId="0" borderId="34" xfId="381" applyFont="1" applyFill="1" applyBorder="1" applyAlignment="1"/>
    <xf numFmtId="43" fontId="10" fillId="0" borderId="53" xfId="381" applyFont="1" applyFill="1" applyBorder="1" applyAlignment="1"/>
    <xf numFmtId="43" fontId="10" fillId="0" borderId="34" xfId="381" applyFont="1" applyFill="1" applyBorder="1" applyAlignment="1">
      <alignment horizontal="right"/>
    </xf>
    <xf numFmtId="43" fontId="10" fillId="0" borderId="52" xfId="381" applyFont="1" applyFill="1" applyBorder="1" applyAlignment="1">
      <alignment horizontal="right"/>
    </xf>
    <xf numFmtId="0" fontId="35" fillId="0" borderId="24" xfId="467" applyFont="1" applyFill="1" applyBorder="1"/>
    <xf numFmtId="0" fontId="35" fillId="0" borderId="10" xfId="467" applyFont="1" applyFill="1" applyBorder="1"/>
    <xf numFmtId="0" fontId="0" fillId="0" borderId="29" xfId="0" applyBorder="1"/>
    <xf numFmtId="0" fontId="39" fillId="0" borderId="25" xfId="467" applyFont="1" applyFill="1" applyBorder="1" applyAlignment="1">
      <alignment horizontal="center" wrapText="1"/>
    </xf>
    <xf numFmtId="167" fontId="35" fillId="0" borderId="20" xfId="467" applyNumberFormat="1" applyFont="1" applyFill="1" applyBorder="1"/>
    <xf numFmtId="167" fontId="8" fillId="0" borderId="21" xfId="467" applyNumberFormat="1" applyFont="1" applyBorder="1"/>
    <xf numFmtId="167" fontId="35" fillId="0" borderId="22" xfId="467" applyNumberFormat="1" applyFont="1" applyBorder="1"/>
    <xf numFmtId="0" fontId="0" fillId="0" borderId="23" xfId="0" applyBorder="1"/>
    <xf numFmtId="0" fontId="9" fillId="0" borderId="21" xfId="0" applyFont="1" applyBorder="1"/>
    <xf numFmtId="0" fontId="39" fillId="0" borderId="24" xfId="467" applyFont="1" applyFill="1" applyBorder="1" applyAlignment="1">
      <alignment horizontal="center" wrapText="1"/>
    </xf>
    <xf numFmtId="164" fontId="35" fillId="0" borderId="0" xfId="381" applyNumberFormat="1" applyFont="1" applyFill="1" applyBorder="1"/>
    <xf numFmtId="43" fontId="12" fillId="0" borderId="28" xfId="381" applyFont="1" applyFill="1" applyBorder="1" applyAlignment="1">
      <alignment horizontal="right"/>
    </xf>
    <xf numFmtId="0" fontId="10"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NumberFormat="1" applyFont="1" applyFill="1" applyBorder="1" applyAlignment="1">
      <alignment horizontal="center"/>
    </xf>
    <xf numFmtId="0" fontId="21" fillId="0" borderId="0" xfId="467" applyFont="1" applyAlignment="1">
      <alignment horizontal="centerContinuous"/>
    </xf>
    <xf numFmtId="17" fontId="45" fillId="0" borderId="12" xfId="0" applyNumberFormat="1" applyFont="1" applyBorder="1"/>
    <xf numFmtId="17" fontId="45" fillId="0" borderId="12" xfId="0" applyNumberFormat="1" applyFont="1" applyBorder="1" applyAlignment="1">
      <alignment horizontal="center"/>
    </xf>
    <xf numFmtId="17" fontId="45" fillId="0" borderId="26" xfId="0" applyNumberFormat="1" applyFont="1" applyBorder="1"/>
    <xf numFmtId="3" fontId="12" fillId="33" borderId="28" xfId="0" applyNumberFormat="1" applyFont="1" applyFill="1" applyBorder="1" applyAlignment="1"/>
    <xf numFmtId="164" fontId="12" fillId="33" borderId="28" xfId="381" applyNumberFormat="1" applyFont="1" applyFill="1" applyBorder="1"/>
    <xf numFmtId="164" fontId="12" fillId="33" borderId="52" xfId="381" applyNumberFormat="1" applyFont="1" applyFill="1" applyBorder="1"/>
    <xf numFmtId="3" fontId="12" fillId="33" borderId="28" xfId="0" applyNumberFormat="1" applyFont="1" applyFill="1" applyBorder="1" applyAlignment="1">
      <alignment horizontal="right"/>
    </xf>
    <xf numFmtId="3" fontId="12" fillId="33" borderId="35" xfId="0" applyNumberFormat="1" applyFont="1" applyFill="1" applyBorder="1" applyAlignment="1">
      <alignment horizontal="right"/>
    </xf>
    <xf numFmtId="164" fontId="8" fillId="33" borderId="0" xfId="381" applyNumberFormat="1" applyFont="1" applyFill="1"/>
    <xf numFmtId="164" fontId="8" fillId="33" borderId="14" xfId="381" applyNumberFormat="1" applyFont="1" applyFill="1" applyBorder="1"/>
    <xf numFmtId="0" fontId="8" fillId="33" borderId="0" xfId="0" applyFont="1" applyFill="1"/>
    <xf numFmtId="0" fontId="18" fillId="33" borderId="0" xfId="0" applyFont="1" applyFill="1"/>
    <xf numFmtId="0" fontId="0" fillId="33" borderId="0" xfId="0" applyFill="1"/>
    <xf numFmtId="37" fontId="0" fillId="33" borderId="0" xfId="0" applyNumberFormat="1" applyFill="1" applyAlignment="1">
      <alignment horizontal="right" wrapText="1"/>
    </xf>
    <xf numFmtId="0" fontId="0" fillId="33" borderId="0" xfId="0" applyFill="1" applyAlignment="1">
      <alignment horizontal="right"/>
    </xf>
    <xf numFmtId="0" fontId="8" fillId="33" borderId="0" xfId="0" applyFont="1" applyFill="1" applyAlignment="1">
      <alignment horizontal="left" wrapText="1"/>
    </xf>
    <xf numFmtId="0" fontId="0" fillId="33" borderId="0" xfId="0" applyFill="1" applyAlignment="1">
      <alignment horizontal="right" wrapText="1"/>
    </xf>
    <xf numFmtId="0" fontId="0" fillId="33" borderId="0" xfId="0" applyFill="1" applyAlignment="1">
      <alignment horizontal="left" wrapText="1"/>
    </xf>
    <xf numFmtId="164" fontId="18" fillId="33" borderId="35" xfId="390" applyNumberFormat="1" applyFont="1" applyFill="1" applyBorder="1" applyAlignment="1">
      <alignment horizontal="right"/>
    </xf>
    <xf numFmtId="164" fontId="18" fillId="33" borderId="35" xfId="390" applyNumberFormat="1" applyFont="1" applyFill="1" applyBorder="1" applyAlignment="1"/>
    <xf numFmtId="164" fontId="18" fillId="33" borderId="28" xfId="390" applyNumberFormat="1" applyFont="1" applyFill="1" applyBorder="1" applyAlignment="1"/>
    <xf numFmtId="3" fontId="35" fillId="33" borderId="20" xfId="465" applyNumberFormat="1" applyFont="1" applyFill="1" applyBorder="1" applyAlignment="1">
      <alignment horizontal="center"/>
    </xf>
    <xf numFmtId="3" fontId="35" fillId="33" borderId="0" xfId="465" applyNumberFormat="1" applyFont="1" applyFill="1" applyBorder="1" applyAlignment="1">
      <alignment horizontal="center"/>
    </xf>
    <xf numFmtId="3" fontId="35" fillId="33" borderId="22" xfId="465" applyNumberFormat="1" applyFont="1" applyFill="1" applyBorder="1" applyAlignment="1">
      <alignment horizontal="center"/>
    </xf>
    <xf numFmtId="3" fontId="35" fillId="33" borderId="10" xfId="465" applyNumberFormat="1" applyFont="1" applyFill="1" applyBorder="1" applyAlignment="1">
      <alignment horizontal="center"/>
    </xf>
    <xf numFmtId="164" fontId="18" fillId="33" borderId="21" xfId="390" applyNumberFormat="1" applyFont="1" applyFill="1" applyBorder="1" applyAlignment="1">
      <alignment horizontal="right"/>
    </xf>
    <xf numFmtId="164" fontId="18" fillId="33" borderId="31" xfId="390" applyNumberFormat="1" applyFont="1" applyFill="1" applyBorder="1" applyAlignment="1">
      <alignment horizontal="right"/>
    </xf>
    <xf numFmtId="164" fontId="9" fillId="33" borderId="20" xfId="381" applyNumberFormat="1" applyFont="1" applyFill="1" applyBorder="1"/>
    <xf numFmtId="164" fontId="18" fillId="33" borderId="22" xfId="390" applyNumberFormat="1" applyFont="1" applyFill="1" applyBorder="1" applyAlignment="1">
      <alignment horizontal="center"/>
    </xf>
    <xf numFmtId="0" fontId="18" fillId="33" borderId="10" xfId="465" applyFont="1" applyFill="1" applyBorder="1" applyAlignment="1">
      <alignment horizontal="center"/>
    </xf>
    <xf numFmtId="164" fontId="9" fillId="33" borderId="14" xfId="381" applyNumberFormat="1" applyFont="1" applyFill="1" applyBorder="1"/>
    <xf numFmtId="164" fontId="9" fillId="0" borderId="10" xfId="465" applyNumberFormat="1" applyFont="1" applyFill="1" applyBorder="1" applyAlignment="1">
      <alignment horizontal="center"/>
    </xf>
    <xf numFmtId="164" fontId="8" fillId="34" borderId="0" xfId="381" applyNumberFormat="1" applyFont="1" applyFill="1" applyBorder="1"/>
    <xf numFmtId="43" fontId="8" fillId="34" borderId="0" xfId="467" applyNumberFormat="1" applyFont="1" applyFill="1" applyBorder="1"/>
    <xf numFmtId="164" fontId="87" fillId="0" borderId="0" xfId="381" applyNumberFormat="1" applyFont="1" applyFill="1"/>
    <xf numFmtId="0" fontId="0" fillId="0" borderId="21" xfId="0" applyFill="1" applyBorder="1"/>
    <xf numFmtId="0" fontId="0" fillId="0" borderId="20" xfId="0" applyFill="1" applyBorder="1"/>
    <xf numFmtId="0" fontId="8" fillId="0" borderId="21" xfId="0" applyFont="1" applyFill="1" applyBorder="1"/>
    <xf numFmtId="167" fontId="0" fillId="33" borderId="0" xfId="0" applyNumberFormat="1" applyFill="1"/>
    <xf numFmtId="164" fontId="0" fillId="33" borderId="0" xfId="0" applyNumberFormat="1" applyFill="1"/>
    <xf numFmtId="37" fontId="0" fillId="33" borderId="0" xfId="0" applyNumberFormat="1" applyFill="1"/>
    <xf numFmtId="164" fontId="0" fillId="33" borderId="14" xfId="0" applyNumberFormat="1" applyFill="1" applyBorder="1"/>
    <xf numFmtId="164" fontId="0" fillId="33" borderId="21" xfId="0" applyNumberFormat="1" applyFill="1" applyBorder="1"/>
    <xf numFmtId="3" fontId="12" fillId="33" borderId="35" xfId="0" applyNumberFormat="1" applyFont="1" applyFill="1" applyBorder="1" applyAlignment="1"/>
    <xf numFmtId="164" fontId="12" fillId="33" borderId="14" xfId="381" applyNumberFormat="1" applyFont="1" applyFill="1" applyBorder="1"/>
    <xf numFmtId="164" fontId="9" fillId="33" borderId="24" xfId="381" applyNumberFormat="1" applyFont="1" applyFill="1" applyBorder="1" applyAlignment="1"/>
    <xf numFmtId="164" fontId="9" fillId="33" borderId="0" xfId="381" applyNumberFormat="1" applyFont="1" applyFill="1" applyBorder="1" applyAlignment="1"/>
    <xf numFmtId="0" fontId="87" fillId="0" borderId="0" xfId="0" applyFont="1" applyFill="1" applyAlignment="1">
      <alignment horizontal="left"/>
    </xf>
    <xf numFmtId="0" fontId="121" fillId="0" borderId="0" xfId="0" applyFont="1" applyFill="1" applyAlignment="1">
      <alignment horizontal="center"/>
    </xf>
    <xf numFmtId="0" fontId="122" fillId="0" borderId="0" xfId="0" applyFont="1" applyFill="1"/>
    <xf numFmtId="0" fontId="39" fillId="0" borderId="26" xfId="0" applyFont="1" applyFill="1" applyBorder="1"/>
    <xf numFmtId="0" fontId="87" fillId="0" borderId="19" xfId="0" applyFont="1" applyFill="1" applyBorder="1"/>
    <xf numFmtId="37" fontId="87" fillId="0" borderId="17" xfId="0" applyNumberFormat="1" applyFont="1" applyFill="1" applyBorder="1"/>
    <xf numFmtId="0" fontId="39" fillId="0" borderId="60" xfId="0" applyFont="1" applyFill="1" applyBorder="1"/>
    <xf numFmtId="0" fontId="87" fillId="0" borderId="60" xfId="0" applyFont="1" applyFill="1" applyBorder="1"/>
    <xf numFmtId="0" fontId="39" fillId="0" borderId="58" xfId="0" applyFont="1" applyFill="1" applyBorder="1"/>
    <xf numFmtId="0" fontId="87" fillId="0" borderId="58" xfId="0" applyFont="1" applyFill="1" applyBorder="1"/>
    <xf numFmtId="0" fontId="87" fillId="0" borderId="0" xfId="0" applyFont="1" applyBorder="1" applyAlignment="1">
      <alignment horizontal="left"/>
    </xf>
    <xf numFmtId="0" fontId="123" fillId="0" borderId="0" xfId="0" applyFont="1" applyFill="1" applyBorder="1"/>
    <xf numFmtId="0" fontId="124" fillId="0" borderId="0" xfId="0" applyFont="1" applyBorder="1"/>
    <xf numFmtId="37" fontId="124" fillId="0" borderId="0" xfId="0" applyNumberFormat="1" applyFont="1" applyFill="1" applyBorder="1"/>
    <xf numFmtId="0" fontId="87" fillId="0" borderId="0" xfId="0" applyFont="1" applyFill="1" applyBorder="1"/>
    <xf numFmtId="0" fontId="18" fillId="0" borderId="47" xfId="0" applyFont="1" applyFill="1" applyBorder="1" applyAlignment="1">
      <alignment horizontal="left"/>
    </xf>
    <xf numFmtId="0" fontId="18" fillId="0" borderId="26" xfId="0" applyFont="1" applyFill="1" applyBorder="1" applyAlignment="1">
      <alignment horizontal="left"/>
    </xf>
    <xf numFmtId="0" fontId="9" fillId="0" borderId="19" xfId="0" applyFont="1" applyFill="1" applyBorder="1" applyAlignment="1"/>
    <xf numFmtId="0" fontId="9" fillId="0" borderId="19" xfId="0" applyFont="1" applyFill="1" applyBorder="1"/>
    <xf numFmtId="0" fontId="9" fillId="0" borderId="18" xfId="0" applyFont="1" applyFill="1" applyBorder="1"/>
    <xf numFmtId="0" fontId="39" fillId="0" borderId="0" xfId="0" applyFont="1" applyFill="1" applyBorder="1"/>
    <xf numFmtId="0" fontId="9" fillId="0" borderId="26" xfId="0" applyFont="1" applyFill="1" applyBorder="1" applyAlignment="1"/>
    <xf numFmtId="164" fontId="18" fillId="0" borderId="17" xfId="381" applyNumberFormat="1" applyFont="1" applyFill="1" applyBorder="1" applyAlignment="1">
      <alignment horizontal="right"/>
    </xf>
    <xf numFmtId="0" fontId="9" fillId="0" borderId="14" xfId="0" applyFont="1" applyFill="1" applyBorder="1"/>
    <xf numFmtId="37" fontId="87" fillId="0" borderId="0" xfId="0" applyNumberFormat="1" applyFont="1" applyFill="1" applyBorder="1"/>
    <xf numFmtId="0" fontId="126" fillId="0" borderId="0" xfId="467" applyFont="1" applyAlignment="1">
      <alignment horizontal="center"/>
    </xf>
    <xf numFmtId="164" fontId="125" fillId="0" borderId="0" xfId="467" applyNumberFormat="1" applyFont="1"/>
    <xf numFmtId="0" fontId="125" fillId="0" borderId="0" xfId="467" applyFont="1"/>
    <xf numFmtId="0" fontId="125" fillId="0" borderId="0" xfId="467" applyFont="1" applyAlignment="1">
      <alignment horizontal="center"/>
    </xf>
    <xf numFmtId="0" fontId="127" fillId="0" borderId="0" xfId="467" applyFont="1"/>
    <xf numFmtId="167" fontId="125" fillId="0" borderId="0" xfId="467" applyNumberFormat="1" applyFont="1"/>
    <xf numFmtId="164" fontId="87" fillId="33" borderId="0" xfId="381" applyNumberFormat="1" applyFont="1" applyFill="1"/>
    <xf numFmtId="39" fontId="49" fillId="0" borderId="37" xfId="551" applyFont="1" applyFill="1" applyBorder="1" applyAlignment="1" applyProtection="1">
      <alignment horizontal="left"/>
    </xf>
    <xf numFmtId="39" fontId="49" fillId="0" borderId="68" xfId="549" applyFont="1" applyFill="1" applyBorder="1"/>
    <xf numFmtId="39" fontId="49" fillId="0" borderId="68" xfId="549" applyFont="1" applyFill="1" applyBorder="1" applyAlignment="1">
      <alignment wrapText="1"/>
    </xf>
    <xf numFmtId="0" fontId="49" fillId="0" borderId="68" xfId="0" applyFont="1" applyFill="1" applyBorder="1" applyAlignment="1">
      <alignment wrapText="1"/>
    </xf>
    <xf numFmtId="39" fontId="49" fillId="0" borderId="38" xfId="549" applyFont="1" applyFill="1" applyBorder="1" applyAlignment="1">
      <alignment wrapText="1"/>
    </xf>
    <xf numFmtId="39" fontId="49" fillId="0" borderId="20" xfId="551" applyFont="1" applyFill="1" applyBorder="1"/>
    <xf numFmtId="39" fontId="49" fillId="0" borderId="0" xfId="551" applyFont="1" applyFill="1" applyBorder="1"/>
    <xf numFmtId="0" fontId="49" fillId="0" borderId="21" xfId="0" applyFont="1" applyFill="1" applyBorder="1"/>
    <xf numFmtId="0" fontId="49" fillId="0" borderId="0" xfId="0" applyFont="1" applyFill="1"/>
    <xf numFmtId="37" fontId="49" fillId="0" borderId="21" xfId="0" applyNumberFormat="1" applyFont="1" applyFill="1" applyBorder="1"/>
    <xf numFmtId="37" fontId="49" fillId="0" borderId="0" xfId="551" applyNumberFormat="1" applyFont="1" applyFill="1" applyBorder="1"/>
    <xf numFmtId="37" fontId="49" fillId="0" borderId="10" xfId="551" applyNumberFormat="1" applyFont="1" applyFill="1" applyBorder="1"/>
    <xf numFmtId="39" fontId="49" fillId="0" borderId="10" xfId="551" applyFont="1" applyFill="1" applyBorder="1" applyAlignment="1">
      <alignment horizontal="center"/>
    </xf>
    <xf numFmtId="39" fontId="49" fillId="0" borderId="25" xfId="551" applyFont="1" applyFill="1" applyBorder="1"/>
    <xf numFmtId="39" fontId="49" fillId="0" borderId="24" xfId="551" applyFont="1" applyFill="1" applyBorder="1"/>
    <xf numFmtId="0" fontId="49" fillId="0" borderId="0" xfId="0" applyFont="1" applyFill="1" applyBorder="1"/>
    <xf numFmtId="164" fontId="49" fillId="0" borderId="21" xfId="381" applyNumberFormat="1" applyFont="1" applyFill="1" applyBorder="1"/>
    <xf numFmtId="39" fontId="49" fillId="0" borderId="22" xfId="551" applyFont="1" applyFill="1" applyBorder="1"/>
    <xf numFmtId="164" fontId="49" fillId="0" borderId="23" xfId="0" applyNumberFormat="1" applyFont="1" applyFill="1" applyBorder="1"/>
    <xf numFmtId="0" fontId="128" fillId="0" borderId="0" xfId="467" applyFont="1" applyAlignment="1">
      <alignment horizontal="center"/>
    </xf>
    <xf numFmtId="0" fontId="128" fillId="0" borderId="0" xfId="467" applyFont="1"/>
    <xf numFmtId="37" fontId="87" fillId="0" borderId="19" xfId="0" applyNumberFormat="1" applyFont="1" applyFill="1" applyBorder="1"/>
    <xf numFmtId="44" fontId="0" fillId="0" borderId="0" xfId="420" applyFont="1"/>
    <xf numFmtId="44" fontId="0" fillId="0" borderId="0" xfId="0" applyNumberFormat="1"/>
    <xf numFmtId="164" fontId="103" fillId="0" borderId="0" xfId="0" applyNumberFormat="1" applyFont="1" applyBorder="1"/>
    <xf numFmtId="164" fontId="50" fillId="0" borderId="0" xfId="381" applyNumberFormat="1" applyFont="1" applyFill="1" applyAlignment="1">
      <alignment horizontal="left"/>
    </xf>
    <xf numFmtId="164" fontId="8" fillId="33" borderId="20" xfId="381" applyNumberFormat="1" applyFont="1" applyFill="1" applyBorder="1" applyAlignment="1">
      <alignment horizontal="center"/>
    </xf>
    <xf numFmtId="164" fontId="90" fillId="33" borderId="20" xfId="381" applyNumberFormat="1" applyFont="1" applyFill="1" applyBorder="1" applyAlignment="1">
      <alignment vertical="center"/>
    </xf>
    <xf numFmtId="164" fontId="8" fillId="33" borderId="30" xfId="381" applyNumberFormat="1" applyFont="1" applyFill="1" applyBorder="1" applyAlignment="1">
      <alignment horizontal="center"/>
    </xf>
    <xf numFmtId="164" fontId="8" fillId="33" borderId="0" xfId="381" applyNumberFormat="1" applyFont="1" applyFill="1" applyBorder="1" applyAlignment="1">
      <alignment horizontal="center"/>
    </xf>
    <xf numFmtId="164" fontId="8" fillId="33" borderId="0" xfId="381" applyNumberFormat="1" applyFont="1" applyFill="1" applyBorder="1"/>
    <xf numFmtId="0" fontId="8" fillId="33" borderId="0" xfId="467" applyFont="1" applyFill="1" applyBorder="1"/>
    <xf numFmtId="0" fontId="8" fillId="33" borderId="0" xfId="473" applyFont="1" applyFill="1" applyBorder="1"/>
    <xf numFmtId="164" fontId="8" fillId="33" borderId="14" xfId="381" applyNumberFormat="1" applyFont="1" applyFill="1" applyBorder="1" applyAlignment="1">
      <alignment horizontal="center"/>
    </xf>
    <xf numFmtId="0" fontId="8" fillId="33" borderId="14" xfId="467" applyFont="1" applyFill="1" applyBorder="1"/>
    <xf numFmtId="0" fontId="8" fillId="33" borderId="14" xfId="473" applyFont="1" applyFill="1" applyBorder="1"/>
    <xf numFmtId="164" fontId="18" fillId="33" borderId="0" xfId="465" applyNumberFormat="1" applyFont="1" applyFill="1" applyBorder="1" applyAlignment="1">
      <alignment horizontal="center"/>
    </xf>
    <xf numFmtId="37" fontId="49" fillId="0" borderId="24" xfId="551" applyNumberFormat="1" applyFont="1" applyFill="1" applyBorder="1" applyAlignment="1">
      <alignment horizontal="right"/>
    </xf>
    <xf numFmtId="37" fontId="49" fillId="0" borderId="29" xfId="551" applyNumberFormat="1" applyFont="1" applyFill="1" applyBorder="1" applyAlignment="1">
      <alignment horizontal="right"/>
    </xf>
    <xf numFmtId="37" fontId="0" fillId="0" borderId="0" xfId="0" applyNumberFormat="1" applyFill="1" applyAlignment="1">
      <alignment horizontal="right"/>
    </xf>
    <xf numFmtId="164" fontId="0" fillId="0" borderId="0" xfId="0" applyNumberFormat="1" applyFill="1" applyAlignment="1">
      <alignment horizontal="right"/>
    </xf>
    <xf numFmtId="164" fontId="0" fillId="0" borderId="0" xfId="0" applyNumberFormat="1" applyFill="1" applyBorder="1"/>
    <xf numFmtId="164" fontId="50" fillId="33" borderId="0" xfId="467" applyNumberFormat="1" applyFont="1" applyFill="1" applyAlignment="1">
      <alignment horizontal="center"/>
    </xf>
    <xf numFmtId="167" fontId="50" fillId="33" borderId="0" xfId="467" applyNumberFormat="1" applyFont="1" applyFill="1" applyAlignment="1">
      <alignment horizontal="center"/>
    </xf>
    <xf numFmtId="3" fontId="129" fillId="0" borderId="0" xfId="0" applyNumberFormat="1" applyFont="1" applyFill="1" applyBorder="1" applyAlignment="1">
      <alignment horizontal="center"/>
    </xf>
    <xf numFmtId="3" fontId="129" fillId="0" borderId="14" xfId="0" applyNumberFormat="1" applyFont="1" applyBorder="1" applyAlignment="1">
      <alignment horizontal="center"/>
    </xf>
    <xf numFmtId="3" fontId="129" fillId="0" borderId="0" xfId="0" applyNumberFormat="1" applyFont="1" applyBorder="1" applyAlignment="1">
      <alignment horizontal="center"/>
    </xf>
    <xf numFmtId="3" fontId="14" fillId="0" borderId="0" xfId="0" applyNumberFormat="1" applyFont="1" applyBorder="1" applyAlignment="1">
      <alignment horizontal="center"/>
    </xf>
    <xf numFmtId="3" fontId="59" fillId="0" borderId="0" xfId="0" applyNumberFormat="1" applyFont="1" applyFill="1" applyBorder="1" applyAlignment="1">
      <alignment horizontal="center"/>
    </xf>
    <xf numFmtId="0" fontId="14" fillId="0" borderId="0" xfId="0" applyFont="1" applyBorder="1" applyAlignment="1">
      <alignment horizontal="center"/>
    </xf>
    <xf numFmtId="164" fontId="46" fillId="0" borderId="0" xfId="381" applyNumberFormat="1" applyFont="1" applyFill="1" applyAlignment="1"/>
    <xf numFmtId="0" fontId="10" fillId="0" borderId="0" xfId="0" applyFont="1" applyFill="1" applyBorder="1" applyAlignment="1">
      <alignment horizontal="center"/>
    </xf>
    <xf numFmtId="172" fontId="12" fillId="0" borderId="0" xfId="381" applyNumberFormat="1" applyFont="1" applyFill="1" applyBorder="1"/>
    <xf numFmtId="0" fontId="8" fillId="0" borderId="0" xfId="473" quotePrefix="1" applyFont="1" applyFill="1" applyBorder="1" applyAlignment="1"/>
    <xf numFmtId="164" fontId="51" fillId="0" borderId="0" xfId="381" applyNumberFormat="1" applyFont="1" applyFill="1"/>
    <xf numFmtId="0" fontId="49" fillId="0" borderId="10" xfId="0" applyFont="1" applyFill="1" applyBorder="1"/>
    <xf numFmtId="164" fontId="10" fillId="0" borderId="0" xfId="381" applyNumberFormat="1" applyFont="1" applyFill="1" applyBorder="1" applyAlignment="1">
      <alignment horizontal="right"/>
    </xf>
    <xf numFmtId="0" fontId="12" fillId="0" borderId="25" xfId="0" applyFont="1" applyFill="1" applyBorder="1" applyAlignment="1"/>
    <xf numFmtId="0" fontId="12" fillId="0" borderId="22" xfId="0" applyNumberFormat="1" applyFont="1" applyBorder="1" applyAlignment="1">
      <alignment horizontal="left"/>
    </xf>
    <xf numFmtId="0" fontId="12" fillId="0" borderId="10" xfId="0" applyNumberFormat="1" applyFont="1" applyBorder="1" applyAlignment="1">
      <alignment horizontal="center"/>
    </xf>
    <xf numFmtId="0" fontId="10" fillId="0" borderId="10" xfId="0" applyNumberFormat="1" applyFont="1" applyFill="1" applyBorder="1" applyAlignment="1"/>
    <xf numFmtId="0" fontId="12" fillId="0" borderId="10" xfId="0" applyFont="1" applyFill="1" applyBorder="1" applyAlignment="1"/>
    <xf numFmtId="3" fontId="12" fillId="0" borderId="10" xfId="0" applyNumberFormat="1" applyFont="1" applyBorder="1" applyAlignment="1">
      <alignment horizontal="center"/>
    </xf>
    <xf numFmtId="0" fontId="12" fillId="0" borderId="64" xfId="0" applyFont="1" applyBorder="1" applyAlignment="1"/>
    <xf numFmtId="173" fontId="10" fillId="0" borderId="49" xfId="633" applyNumberFormat="1" applyFont="1" applyBorder="1" applyAlignment="1"/>
    <xf numFmtId="164" fontId="12" fillId="0" borderId="49" xfId="381" applyNumberFormat="1" applyFont="1" applyBorder="1"/>
    <xf numFmtId="164" fontId="12" fillId="0" borderId="65" xfId="381" applyNumberFormat="1" applyFont="1" applyBorder="1"/>
    <xf numFmtId="41" fontId="0" fillId="0" borderId="14" xfId="0" applyNumberFormat="1" applyFill="1" applyBorder="1" applyAlignment="1">
      <alignment horizontal="right"/>
    </xf>
    <xf numFmtId="0" fontId="101" fillId="0" borderId="0" xfId="0" applyFont="1" applyFill="1" applyAlignment="1">
      <alignment horizontal="left"/>
    </xf>
    <xf numFmtId="0" fontId="0" fillId="34" borderId="26" xfId="0" applyFill="1" applyBorder="1" applyAlignment="1">
      <alignment horizontal="left"/>
    </xf>
    <xf numFmtId="37" fontId="0" fillId="34" borderId="17" xfId="0" applyNumberFormat="1" applyFill="1" applyBorder="1"/>
    <xf numFmtId="0" fontId="0" fillId="34" borderId="17" xfId="0" applyFill="1" applyBorder="1" applyAlignment="1">
      <alignment wrapText="1"/>
    </xf>
    <xf numFmtId="0" fontId="8" fillId="34" borderId="47" xfId="0" applyFont="1" applyFill="1" applyBorder="1" applyAlignment="1">
      <alignment horizontal="left"/>
    </xf>
    <xf numFmtId="0" fontId="8" fillId="34" borderId="26" xfId="0" applyFont="1" applyFill="1" applyBorder="1" applyAlignment="1">
      <alignment horizontal="left"/>
    </xf>
    <xf numFmtId="0" fontId="0" fillId="34" borderId="69" xfId="0" applyFill="1" applyBorder="1" applyAlignment="1">
      <alignment horizontal="left"/>
    </xf>
    <xf numFmtId="0" fontId="0" fillId="34" borderId="12" xfId="0" applyFill="1" applyBorder="1" applyAlignment="1">
      <alignment horizontal="left"/>
    </xf>
    <xf numFmtId="0" fontId="8" fillId="34" borderId="17" xfId="0" applyFont="1" applyFill="1" applyBorder="1" applyAlignment="1">
      <alignment wrapText="1"/>
    </xf>
    <xf numFmtId="0" fontId="0" fillId="34" borderId="17" xfId="0" applyFill="1" applyBorder="1"/>
    <xf numFmtId="0" fontId="35" fillId="34" borderId="19" xfId="0" applyFont="1" applyFill="1" applyBorder="1"/>
    <xf numFmtId="0" fontId="35" fillId="34" borderId="18" xfId="0" applyFont="1" applyFill="1" applyBorder="1"/>
    <xf numFmtId="0" fontId="34" fillId="0" borderId="47" xfId="0" applyFont="1" applyFill="1" applyBorder="1"/>
    <xf numFmtId="0" fontId="34" fillId="0" borderId="35" xfId="0" applyFont="1" applyFill="1" applyBorder="1"/>
    <xf numFmtId="0" fontId="34" fillId="0" borderId="28" xfId="0" applyFont="1" applyFill="1" applyBorder="1"/>
    <xf numFmtId="0" fontId="101" fillId="0" borderId="0" xfId="0" applyFont="1" applyBorder="1" applyAlignment="1">
      <alignment horizontal="left"/>
    </xf>
    <xf numFmtId="0" fontId="34" fillId="0" borderId="69" xfId="0" applyFont="1" applyFill="1" applyBorder="1"/>
    <xf numFmtId="0" fontId="101" fillId="0" borderId="12" xfId="0" applyFont="1" applyBorder="1"/>
    <xf numFmtId="0" fontId="101" fillId="0" borderId="12" xfId="0" applyFont="1" applyFill="1" applyBorder="1"/>
    <xf numFmtId="37" fontId="101" fillId="0" borderId="12" xfId="0" applyNumberFormat="1" applyFont="1" applyFill="1" applyBorder="1"/>
    <xf numFmtId="37" fontId="101" fillId="0" borderId="12" xfId="0" applyNumberFormat="1" applyFont="1" applyFill="1" applyBorder="1" applyAlignment="1">
      <alignment horizontal="center"/>
    </xf>
    <xf numFmtId="0" fontId="101" fillId="0" borderId="18" xfId="0" applyFont="1" applyFill="1" applyBorder="1" applyAlignment="1">
      <alignment horizontal="center"/>
    </xf>
    <xf numFmtId="0" fontId="34" fillId="0" borderId="27" xfId="0" applyFont="1" applyFill="1" applyBorder="1" applyAlignment="1">
      <alignment horizontal="left"/>
    </xf>
    <xf numFmtId="0" fontId="101" fillId="0" borderId="0" xfId="0" applyFont="1" applyBorder="1"/>
    <xf numFmtId="0" fontId="101" fillId="0" borderId="0" xfId="0" applyFont="1" applyFill="1" applyBorder="1"/>
    <xf numFmtId="0" fontId="101" fillId="0" borderId="0" xfId="0" applyFont="1" applyFill="1" applyBorder="1" applyAlignment="1">
      <alignment horizontal="center"/>
    </xf>
    <xf numFmtId="0" fontId="101" fillId="0" borderId="58" xfId="0" applyFont="1" applyFill="1" applyBorder="1" applyAlignment="1">
      <alignment horizontal="center"/>
    </xf>
    <xf numFmtId="0" fontId="34" fillId="0" borderId="70" xfId="0" applyFont="1" applyFill="1" applyBorder="1" applyAlignment="1">
      <alignment horizontal="left"/>
    </xf>
    <xf numFmtId="0" fontId="101" fillId="0" borderId="14" xfId="0" applyFont="1" applyBorder="1" applyAlignment="1">
      <alignment wrapText="1"/>
    </xf>
    <xf numFmtId="0" fontId="101" fillId="0" borderId="60" xfId="0" applyFont="1" applyBorder="1" applyAlignment="1">
      <alignment wrapText="1"/>
    </xf>
    <xf numFmtId="0" fontId="8" fillId="34" borderId="47" xfId="0" applyFont="1" applyFill="1" applyBorder="1"/>
    <xf numFmtId="0" fontId="8" fillId="34" borderId="26" xfId="0" applyFont="1" applyFill="1" applyBorder="1"/>
    <xf numFmtId="0" fontId="17" fillId="0" borderId="17" xfId="0" applyFont="1" applyFill="1" applyBorder="1" applyAlignment="1"/>
    <xf numFmtId="0" fontId="17" fillId="0" borderId="17" xfId="0" applyFont="1" applyFill="1" applyBorder="1"/>
    <xf numFmtId="0" fontId="17" fillId="0" borderId="34" xfId="0" applyFont="1" applyFill="1" applyBorder="1"/>
    <xf numFmtId="0" fontId="17" fillId="0" borderId="47" xfId="0" applyFont="1" applyFill="1" applyBorder="1"/>
    <xf numFmtId="0" fontId="101" fillId="0" borderId="12" xfId="0" applyFont="1" applyFill="1" applyBorder="1" applyAlignment="1">
      <alignment horizontal="center"/>
    </xf>
    <xf numFmtId="0" fontId="101" fillId="0" borderId="14" xfId="0" applyFont="1" applyFill="1" applyBorder="1"/>
    <xf numFmtId="0" fontId="101" fillId="0" borderId="14" xfId="0" applyFont="1" applyFill="1" applyBorder="1" applyAlignment="1">
      <alignment horizontal="center"/>
    </xf>
    <xf numFmtId="0" fontId="101" fillId="0" borderId="60" xfId="0" applyFont="1" applyFill="1" applyBorder="1" applyAlignment="1">
      <alignment horizontal="center"/>
    </xf>
    <xf numFmtId="37" fontId="8" fillId="34" borderId="17" xfId="0" applyNumberFormat="1" applyFont="1" applyFill="1" applyBorder="1"/>
    <xf numFmtId="0" fontId="8" fillId="34" borderId="12" xfId="0" applyFont="1" applyFill="1" applyBorder="1"/>
    <xf numFmtId="0" fontId="8" fillId="34" borderId="69" xfId="0" applyFont="1" applyFill="1" applyBorder="1" applyAlignment="1">
      <alignment horizontal="left"/>
    </xf>
    <xf numFmtId="0" fontId="8" fillId="34" borderId="12" xfId="0" applyFont="1" applyFill="1" applyBorder="1" applyAlignment="1">
      <alignment horizontal="left"/>
    </xf>
    <xf numFmtId="0" fontId="18" fillId="34" borderId="18" xfId="0" applyFont="1" applyFill="1" applyBorder="1"/>
    <xf numFmtId="0" fontId="18" fillId="34" borderId="19" xfId="0" applyFont="1" applyFill="1" applyBorder="1"/>
    <xf numFmtId="0" fontId="8" fillId="34" borderId="70" xfId="0" applyFont="1" applyFill="1" applyBorder="1" applyAlignment="1">
      <alignment horizontal="left"/>
    </xf>
    <xf numFmtId="0" fontId="8" fillId="34" borderId="0" xfId="0" applyFont="1" applyFill="1" applyBorder="1" applyAlignment="1">
      <alignment horizontal="left"/>
    </xf>
    <xf numFmtId="0" fontId="18" fillId="34" borderId="69" xfId="0" applyFont="1" applyFill="1" applyBorder="1" applyAlignment="1">
      <alignment horizontal="left"/>
    </xf>
    <xf numFmtId="0" fontId="18" fillId="34" borderId="12" xfId="0" applyFont="1" applyFill="1" applyBorder="1" applyAlignment="1">
      <alignment horizontal="left"/>
    </xf>
    <xf numFmtId="0" fontId="17" fillId="0" borderId="47" xfId="0" applyFont="1" applyFill="1" applyBorder="1" applyAlignment="1"/>
    <xf numFmtId="0" fontId="17" fillId="0" borderId="70" xfId="0" applyFont="1" applyFill="1" applyBorder="1"/>
    <xf numFmtId="0" fontId="101" fillId="0" borderId="58" xfId="0" applyFont="1" applyBorder="1"/>
    <xf numFmtId="0" fontId="101" fillId="0" borderId="14" xfId="0" applyFont="1" applyBorder="1"/>
    <xf numFmtId="0" fontId="101" fillId="0" borderId="60" xfId="0" applyFont="1" applyBorder="1"/>
    <xf numFmtId="164" fontId="8" fillId="34" borderId="17" xfId="381" applyNumberFormat="1" applyFont="1" applyFill="1" applyBorder="1"/>
    <xf numFmtId="164" fontId="8" fillId="34" borderId="17" xfId="381" applyNumberFormat="1" applyFill="1" applyBorder="1"/>
    <xf numFmtId="164" fontId="0" fillId="34" borderId="0" xfId="0" applyNumberFormat="1" applyFill="1"/>
    <xf numFmtId="0" fontId="0" fillId="34" borderId="0" xfId="0" applyFill="1" applyBorder="1"/>
    <xf numFmtId="0" fontId="18" fillId="34" borderId="0" xfId="465" applyFont="1" applyFill="1" applyBorder="1"/>
    <xf numFmtId="49" fontId="0" fillId="34" borderId="0" xfId="0" applyNumberFormat="1" applyFill="1" applyBorder="1" applyAlignment="1">
      <alignment horizontal="left"/>
    </xf>
    <xf numFmtId="0" fontId="18" fillId="34" borderId="0" xfId="465" applyFont="1" applyFill="1"/>
    <xf numFmtId="164" fontId="87" fillId="34" borderId="0" xfId="381" applyNumberFormat="1" applyFont="1" applyFill="1"/>
    <xf numFmtId="9" fontId="8" fillId="34" borderId="0" xfId="634" applyFont="1" applyFill="1" applyBorder="1" applyAlignment="1">
      <alignment horizontal="center"/>
    </xf>
    <xf numFmtId="0" fontId="8" fillId="34" borderId="0" xfId="465" applyFont="1" applyFill="1" applyBorder="1"/>
    <xf numFmtId="0" fontId="18" fillId="34" borderId="14" xfId="465" applyFont="1" applyFill="1" applyBorder="1"/>
    <xf numFmtId="164" fontId="18" fillId="34" borderId="0" xfId="465" applyNumberFormat="1" applyFont="1" applyFill="1" applyBorder="1" applyAlignment="1">
      <alignment horizontal="center"/>
    </xf>
    <xf numFmtId="164" fontId="9" fillId="34" borderId="0" xfId="390" applyNumberFormat="1" applyFont="1" applyFill="1" applyBorder="1"/>
    <xf numFmtId="10" fontId="8" fillId="34" borderId="0" xfId="634" applyNumberFormat="1" applyFont="1" applyFill="1" applyBorder="1" applyAlignment="1">
      <alignment horizontal="center"/>
    </xf>
    <xf numFmtId="164" fontId="8" fillId="34" borderId="0" xfId="465" applyNumberFormat="1" applyFont="1" applyFill="1" applyBorder="1" applyAlignment="1">
      <alignment horizontal="center"/>
    </xf>
    <xf numFmtId="164" fontId="8" fillId="34" borderId="0" xfId="381" applyNumberFormat="1" applyFont="1" applyFill="1" applyBorder="1" applyAlignment="1">
      <alignment horizontal="center"/>
    </xf>
    <xf numFmtId="164" fontId="87" fillId="34" borderId="14" xfId="381" applyNumberFormat="1" applyFont="1" applyFill="1" applyBorder="1"/>
    <xf numFmtId="164" fontId="8" fillId="34" borderId="0" xfId="465" applyNumberFormat="1" applyFont="1" applyFill="1" applyBorder="1"/>
    <xf numFmtId="0" fontId="9" fillId="34" borderId="0" xfId="465" applyFont="1" applyFill="1" applyBorder="1"/>
    <xf numFmtId="164" fontId="18" fillId="34" borderId="26" xfId="465" applyNumberFormat="1" applyFont="1" applyFill="1" applyBorder="1" applyAlignment="1">
      <alignment horizontal="center"/>
    </xf>
    <xf numFmtId="10" fontId="8" fillId="34" borderId="26" xfId="634" applyNumberFormat="1" applyFont="1" applyFill="1" applyBorder="1" applyAlignment="1">
      <alignment horizontal="center"/>
    </xf>
    <xf numFmtId="164" fontId="8" fillId="34" borderId="14" xfId="465" applyNumberFormat="1" applyFont="1" applyFill="1" applyBorder="1" applyAlignment="1">
      <alignment horizontal="center"/>
    </xf>
    <xf numFmtId="0" fontId="8" fillId="34" borderId="0" xfId="0" applyFont="1" applyFill="1" applyBorder="1"/>
    <xf numFmtId="173" fontId="49" fillId="0" borderId="41" xfId="633" applyNumberFormat="1" applyFont="1" applyFill="1" applyBorder="1"/>
    <xf numFmtId="173" fontId="49" fillId="0" borderId="10" xfId="633" applyNumberFormat="1" applyFont="1" applyFill="1" applyBorder="1"/>
    <xf numFmtId="0" fontId="51" fillId="0" borderId="16" xfId="0" applyFont="1" applyFill="1" applyBorder="1"/>
    <xf numFmtId="164" fontId="51" fillId="0" borderId="71" xfId="381" applyNumberFormat="1" applyFont="1" applyFill="1" applyBorder="1"/>
    <xf numFmtId="0" fontId="51" fillId="0" borderId="15" xfId="0" applyFont="1" applyFill="1" applyBorder="1"/>
    <xf numFmtId="43" fontId="49" fillId="0" borderId="15" xfId="381" applyFont="1" applyFill="1" applyBorder="1"/>
    <xf numFmtId="43" fontId="49" fillId="0" borderId="3" xfId="381" applyFont="1" applyFill="1" applyBorder="1"/>
    <xf numFmtId="164" fontId="49" fillId="0" borderId="3" xfId="0" applyNumberFormat="1" applyFont="1" applyFill="1" applyBorder="1"/>
    <xf numFmtId="164" fontId="49" fillId="0" borderId="15" xfId="0" applyNumberFormat="1" applyFont="1" applyFill="1" applyBorder="1"/>
    <xf numFmtId="164" fontId="51" fillId="0" borderId="0" xfId="0" applyNumberFormat="1" applyFont="1" applyFill="1"/>
    <xf numFmtId="37" fontId="49" fillId="0" borderId="23" xfId="0" applyNumberFormat="1" applyFont="1" applyFill="1" applyBorder="1"/>
    <xf numFmtId="164" fontId="8" fillId="0" borderId="0" xfId="381" applyNumberFormat="1"/>
    <xf numFmtId="164" fontId="84" fillId="0" borderId="0" xfId="381" applyNumberFormat="1" applyFont="1" applyFill="1"/>
    <xf numFmtId="41" fontId="8" fillId="0" borderId="0" xfId="0" applyNumberFormat="1" applyFont="1" applyFill="1" applyBorder="1" applyAlignment="1">
      <alignment horizontal="left"/>
    </xf>
    <xf numFmtId="3" fontId="0" fillId="0" borderId="0" xfId="0" applyNumberFormat="1"/>
    <xf numFmtId="164" fontId="0" fillId="0" borderId="22" xfId="0" applyNumberFormat="1" applyFill="1" applyBorder="1"/>
    <xf numFmtId="164" fontId="18" fillId="0" borderId="0" xfId="381" applyNumberFormat="1" applyFont="1"/>
    <xf numFmtId="164" fontId="18" fillId="0" borderId="0" xfId="465" applyNumberFormat="1" applyFont="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164" fontId="8" fillId="0" borderId="17" xfId="381" applyNumberFormat="1" applyFont="1" applyFill="1" applyBorder="1"/>
    <xf numFmtId="164" fontId="8" fillId="0" borderId="17" xfId="381" applyNumberFormat="1" applyFill="1" applyBorder="1"/>
    <xf numFmtId="0"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 fontId="8" fillId="0" borderId="0" xfId="465" applyNumberFormat="1" applyFont="1" applyFill="1" applyBorder="1" applyAlignment="1">
      <alignment horizontal="center"/>
    </xf>
    <xf numFmtId="1" fontId="8" fillId="0" borderId="14" xfId="465" applyNumberFormat="1" applyFont="1" applyFill="1" applyBorder="1" applyAlignment="1">
      <alignment horizontal="center"/>
    </xf>
    <xf numFmtId="0" fontId="149" fillId="0" borderId="0" xfId="465" applyFont="1" applyFill="1"/>
    <xf numFmtId="43" fontId="150" fillId="0" borderId="0" xfId="381" applyFont="1" applyFill="1" applyBorder="1" applyAlignment="1">
      <alignment horizontal="right" vertical="center" wrapText="1"/>
    </xf>
    <xf numFmtId="0" fontId="151" fillId="0" borderId="0" xfId="0" applyFont="1" applyFill="1" applyBorder="1"/>
    <xf numFmtId="39" fontId="49" fillId="0" borderId="68" xfId="551" applyFont="1" applyFill="1" applyBorder="1" applyAlignment="1" applyProtection="1">
      <alignment horizontal="left"/>
    </xf>
    <xf numFmtId="0" fontId="148" fillId="0" borderId="0" xfId="0" applyFont="1"/>
    <xf numFmtId="37" fontId="8" fillId="0" borderId="0" xfId="445" applyNumberFormat="1"/>
    <xf numFmtId="37" fontId="8" fillId="0" borderId="0" xfId="445" applyNumberFormat="1"/>
    <xf numFmtId="0" fontId="49" fillId="0" borderId="21" xfId="898" applyFont="1" applyFill="1" applyBorder="1"/>
    <xf numFmtId="0" fontId="49" fillId="0" borderId="0" xfId="898" applyFont="1" applyFill="1" applyBorder="1"/>
    <xf numFmtId="164" fontId="49" fillId="0" borderId="21" xfId="382" applyNumberFormat="1" applyFont="1" applyFill="1" applyBorder="1"/>
    <xf numFmtId="37" fontId="49" fillId="0" borderId="0" xfId="551" applyNumberFormat="1" applyFont="1" applyFill="1" applyBorder="1" applyAlignment="1">
      <alignment horizontal="center"/>
    </xf>
    <xf numFmtId="37" fontId="49" fillId="0" borderId="21" xfId="898" applyNumberFormat="1" applyFont="1" applyFill="1" applyBorder="1"/>
    <xf numFmtId="0" fontId="49" fillId="0" borderId="0" xfId="898" applyFont="1" applyFill="1" applyBorder="1" applyAlignment="1">
      <alignment horizontal="center"/>
    </xf>
    <xf numFmtId="168" fontId="12" fillId="33" borderId="35" xfId="633" applyNumberFormat="1" applyFont="1" applyFill="1" applyBorder="1" applyAlignment="1"/>
    <xf numFmtId="164" fontId="10" fillId="0" borderId="28" xfId="381" applyNumberFormat="1" applyFont="1" applyFill="1" applyBorder="1" applyAlignment="1"/>
    <xf numFmtId="0" fontId="149" fillId="0" borderId="0" xfId="0" applyFont="1"/>
    <xf numFmtId="0" fontId="152" fillId="0" borderId="0" xfId="0" applyFont="1" applyFill="1" applyBorder="1"/>
    <xf numFmtId="43" fontId="52" fillId="0" borderId="0" xfId="381" applyFont="1" applyFill="1" applyBorder="1"/>
    <xf numFmtId="0" fontId="8" fillId="0" borderId="0" xfId="465" applyNumberFormat="1" applyFont="1" applyFill="1" applyBorder="1" applyAlignment="1"/>
    <xf numFmtId="0" fontId="153" fillId="0" borderId="0" xfId="467" applyFont="1" applyAlignment="1">
      <alignment horizontal="left"/>
    </xf>
    <xf numFmtId="0" fontId="153" fillId="0" borderId="0" xfId="467" applyFont="1" applyFill="1" applyAlignment="1">
      <alignment horizontal="left"/>
    </xf>
    <xf numFmtId="0" fontId="148" fillId="0" borderId="0" xfId="0" applyFont="1" applyBorder="1"/>
    <xf numFmtId="0" fontId="8" fillId="69" borderId="0" xfId="0" applyFont="1" applyFill="1"/>
    <xf numFmtId="173" fontId="50" fillId="0" borderId="0" xfId="635" applyNumberFormat="1" applyFont="1" applyFill="1"/>
    <xf numFmtId="173" fontId="50" fillId="0" borderId="0" xfId="467" applyNumberFormat="1" applyFont="1" applyFill="1"/>
    <xf numFmtId="0" fontId="50" fillId="0" borderId="0" xfId="467" applyFont="1" applyFill="1" applyAlignment="1">
      <alignment horizontal="center" wrapText="1"/>
    </xf>
    <xf numFmtId="0" fontId="153" fillId="0" borderId="0" xfId="467" applyFont="1" applyFill="1"/>
    <xf numFmtId="164" fontId="50" fillId="0" borderId="0" xfId="467" applyNumberFormat="1" applyFont="1" applyFill="1" applyAlignment="1">
      <alignment horizontal="center"/>
    </xf>
    <xf numFmtId="43" fontId="50" fillId="0" borderId="0" xfId="391" applyNumberFormat="1" applyFont="1" applyFill="1"/>
    <xf numFmtId="164" fontId="50" fillId="0" borderId="0" xfId="467" applyNumberFormat="1" applyFont="1" applyFill="1" applyAlignment="1">
      <alignment horizontal="center" wrapText="1"/>
    </xf>
    <xf numFmtId="164" fontId="50" fillId="0" borderId="0" xfId="467" applyNumberFormat="1" applyFont="1"/>
    <xf numFmtId="0" fontId="153" fillId="0" borderId="0" xfId="467" applyFont="1" applyFill="1" applyAlignment="1">
      <alignment horizontal="center"/>
    </xf>
    <xf numFmtId="0" fontId="154" fillId="0" borderId="0" xfId="467" applyFont="1" applyFill="1"/>
    <xf numFmtId="0" fontId="49" fillId="0" borderId="0" xfId="898" applyFont="1" applyFill="1" applyAlignment="1"/>
    <xf numFmtId="164" fontId="18" fillId="0" borderId="10" xfId="381" applyNumberFormat="1" applyFont="1" applyFill="1" applyBorder="1" applyAlignment="1">
      <alignment horizontal="center"/>
    </xf>
    <xf numFmtId="43" fontId="10" fillId="0" borderId="10" xfId="381" applyNumberFormat="1" applyFont="1" applyBorder="1"/>
    <xf numFmtId="185" fontId="0" fillId="0" borderId="0" xfId="0" applyNumberFormat="1"/>
    <xf numFmtId="164" fontId="156" fillId="0" borderId="0" xfId="381" applyNumberFormat="1" applyFont="1"/>
    <xf numFmtId="9" fontId="8" fillId="0" borderId="0" xfId="633" applyFont="1" applyFill="1" applyBorder="1" applyAlignment="1">
      <alignment horizontal="center" wrapText="1"/>
    </xf>
    <xf numFmtId="0" fontId="157" fillId="0" borderId="0" xfId="0" applyFont="1" applyFill="1"/>
    <xf numFmtId="164" fontId="157" fillId="0" borderId="0" xfId="381" applyNumberFormat="1" applyFont="1" applyFill="1"/>
    <xf numFmtId="0" fontId="8" fillId="0" borderId="0" xfId="0" applyFont="1" applyAlignment="1">
      <alignment horizontal="center"/>
    </xf>
    <xf numFmtId="37" fontId="8" fillId="0" borderId="0" xfId="0" applyNumberFormat="1" applyFont="1"/>
    <xf numFmtId="37" fontId="8" fillId="0" borderId="14" xfId="0" applyNumberFormat="1" applyFont="1" applyBorder="1"/>
    <xf numFmtId="37" fontId="8" fillId="0" borderId="0" xfId="0" applyNumberFormat="1" applyFont="1" applyBorder="1"/>
    <xf numFmtId="164" fontId="150" fillId="0" borderId="0" xfId="381" applyNumberFormat="1" applyFont="1" applyFill="1" applyBorder="1" applyAlignment="1">
      <alignment horizontal="right" vertical="center" wrapText="1"/>
    </xf>
    <xf numFmtId="164" fontId="9" fillId="0" borderId="0" xfId="381" applyNumberFormat="1" applyFont="1" applyFill="1"/>
    <xf numFmtId="0" fontId="12" fillId="0" borderId="0" xfId="0" applyFont="1" applyAlignment="1">
      <alignment horizontal="center"/>
    </xf>
    <xf numFmtId="0" fontId="158" fillId="0" borderId="0" xfId="467" applyFont="1" applyFill="1"/>
    <xf numFmtId="164" fontId="159" fillId="0" borderId="12" xfId="467" applyNumberFormat="1" applyFont="1" applyFill="1" applyBorder="1"/>
    <xf numFmtId="0" fontId="159" fillId="0" borderId="0" xfId="467" applyFont="1" applyAlignment="1">
      <alignment horizontal="left"/>
    </xf>
    <xf numFmtId="0" fontId="83" fillId="0" borderId="0" xfId="467" applyFont="1"/>
    <xf numFmtId="0" fontId="159" fillId="0" borderId="0" xfId="467" applyFont="1" applyFill="1" applyAlignment="1">
      <alignment horizontal="center"/>
    </xf>
    <xf numFmtId="0" fontId="159" fillId="0" borderId="0" xfId="467" applyFont="1" applyFill="1" applyBorder="1" applyAlignment="1">
      <alignment wrapText="1"/>
    </xf>
    <xf numFmtId="0" fontId="159" fillId="0" borderId="0" xfId="467" applyFont="1" applyFill="1" applyBorder="1"/>
    <xf numFmtId="164" fontId="159" fillId="0" borderId="0" xfId="467" quotePrefix="1" applyNumberFormat="1" applyFont="1" applyFill="1" applyAlignment="1">
      <alignment horizontal="center"/>
    </xf>
    <xf numFmtId="0" fontId="50" fillId="0" borderId="0" xfId="467" quotePrefix="1" applyFont="1" applyFill="1"/>
    <xf numFmtId="0" fontId="8" fillId="0" borderId="0" xfId="467" applyFill="1" applyAlignment="1">
      <alignment horizontal="right"/>
    </xf>
    <xf numFmtId="0" fontId="8" fillId="69" borderId="0" xfId="467" applyFill="1" applyAlignment="1">
      <alignment horizontal="center"/>
    </xf>
    <xf numFmtId="0" fontId="8" fillId="69" borderId="0" xfId="467" applyFill="1" applyAlignment="1">
      <alignment horizontal="centerContinuous"/>
    </xf>
    <xf numFmtId="164" fontId="159" fillId="0" borderId="0" xfId="467" applyNumberFormat="1" applyFont="1" applyFill="1"/>
    <xf numFmtId="0" fontId="160" fillId="0" borderId="0" xfId="467" applyFont="1" applyFill="1" applyAlignment="1">
      <alignment horizontal="left"/>
    </xf>
    <xf numFmtId="0" fontId="160" fillId="0" borderId="0" xfId="467" applyFont="1" applyAlignment="1">
      <alignment horizontal="center"/>
    </xf>
    <xf numFmtId="0" fontId="160" fillId="0" borderId="0" xfId="467" applyFont="1"/>
    <xf numFmtId="0" fontId="160" fillId="0" borderId="0" xfId="467" applyFont="1" applyBorder="1"/>
    <xf numFmtId="167" fontId="161" fillId="0" borderId="0" xfId="422" applyNumberFormat="1" applyFont="1" applyFill="1" applyAlignment="1">
      <alignment horizontal="left"/>
    </xf>
    <xf numFmtId="0" fontId="148" fillId="0" borderId="0" xfId="467" applyFont="1" applyAlignment="1"/>
    <xf numFmtId="0" fontId="148" fillId="0" borderId="0" xfId="467" applyFont="1" applyFill="1" applyAlignment="1"/>
    <xf numFmtId="0" fontId="148" fillId="0" borderId="0" xfId="467" applyFont="1"/>
    <xf numFmtId="164" fontId="8" fillId="0" borderId="0" xfId="467" applyNumberFormat="1"/>
    <xf numFmtId="0" fontId="159" fillId="0" borderId="0" xfId="467" applyFont="1" applyFill="1" applyAlignment="1">
      <alignment horizontal="left"/>
    </xf>
    <xf numFmtId="0" fontId="162" fillId="0" borderId="0" xfId="467" applyFont="1" applyFill="1" applyAlignment="1">
      <alignment horizontal="left"/>
    </xf>
    <xf numFmtId="43" fontId="50" fillId="70" borderId="0" xfId="381" applyFont="1" applyFill="1"/>
    <xf numFmtId="0" fontId="159" fillId="0" borderId="0" xfId="467" applyFont="1"/>
    <xf numFmtId="0" fontId="8" fillId="0" borderId="17" xfId="381" applyNumberFormat="1" applyFont="1" applyFill="1" applyBorder="1"/>
    <xf numFmtId="0" fontId="8" fillId="0" borderId="0" xfId="0" applyFont="1" applyAlignment="1">
      <alignment horizontal="center"/>
    </xf>
    <xf numFmtId="49" fontId="8" fillId="34" borderId="0" xfId="0" applyNumberFormat="1" applyFont="1" applyFill="1" applyBorder="1" applyAlignment="1">
      <alignment horizontal="left"/>
    </xf>
    <xf numFmtId="43" fontId="51" fillId="0" borderId="0" xfId="381" applyFont="1" applyFill="1"/>
    <xf numFmtId="43" fontId="51" fillId="0" borderId="0" xfId="0" applyNumberFormat="1" applyFont="1" applyFill="1"/>
    <xf numFmtId="37" fontId="49" fillId="0" borderId="0" xfId="898" applyNumberFormat="1" applyFont="1" applyFill="1" applyBorder="1" applyAlignment="1">
      <alignment horizontal="right"/>
    </xf>
    <xf numFmtId="10" fontId="50" fillId="0" borderId="0" xfId="633" applyNumberFormat="1" applyFont="1"/>
    <xf numFmtId="164" fontId="12" fillId="0" borderId="0" xfId="0" applyNumberFormat="1" applyFont="1"/>
    <xf numFmtId="3" fontId="12" fillId="0" borderId="0" xfId="0" applyNumberFormat="1" applyFont="1"/>
    <xf numFmtId="43" fontId="12" fillId="0" borderId="0" xfId="381" applyFont="1"/>
    <xf numFmtId="43" fontId="12" fillId="0" borderId="0" xfId="381" applyFont="1" applyFill="1"/>
    <xf numFmtId="0" fontId="8" fillId="0" borderId="0" xfId="0" applyFont="1" applyBorder="1" applyAlignment="1">
      <alignment horizontal="right"/>
    </xf>
    <xf numFmtId="0" fontId="8" fillId="0" borderId="0" xfId="0" applyFont="1" applyBorder="1"/>
    <xf numFmtId="164" fontId="10" fillId="0" borderId="0" xfId="0" applyNumberFormat="1" applyFont="1" applyBorder="1"/>
    <xf numFmtId="0" fontId="8" fillId="0" borderId="0" xfId="0" applyFont="1" applyAlignment="1">
      <alignment horizontal="center"/>
    </xf>
    <xf numFmtId="37" fontId="0" fillId="0" borderId="14" xfId="0" applyNumberFormat="1" applyBorder="1"/>
    <xf numFmtId="164" fontId="9" fillId="0" borderId="0" xfId="0" applyNumberFormat="1" applyFont="1" applyFill="1" applyBorder="1" applyAlignment="1">
      <alignment horizontal="center"/>
    </xf>
    <xf numFmtId="164" fontId="9" fillId="0" borderId="0" xfId="381" applyNumberFormat="1" applyFont="1" applyFill="1" applyBorder="1" applyAlignment="1">
      <alignment horizontal="center"/>
    </xf>
    <xf numFmtId="0" fontId="49" fillId="0" borderId="0" xfId="477" applyFont="1" applyFill="1" applyBorder="1"/>
    <xf numFmtId="41" fontId="0" fillId="0" borderId="0" xfId="0" applyNumberFormat="1" applyBorder="1"/>
    <xf numFmtId="164" fontId="29" fillId="0" borderId="28" xfId="381" applyNumberFormat="1" applyFont="1" applyBorder="1"/>
    <xf numFmtId="167" fontId="29" fillId="0" borderId="28" xfId="420" applyNumberFormat="1" applyFont="1" applyFill="1" applyBorder="1"/>
    <xf numFmtId="164" fontId="29" fillId="0" borderId="49" xfId="381" applyNumberFormat="1" applyFont="1" applyFill="1" applyBorder="1"/>
    <xf numFmtId="0" fontId="8" fillId="34" borderId="0" xfId="467" applyNumberFormat="1" applyFont="1" applyFill="1" applyBorder="1"/>
    <xf numFmtId="0" fontId="9" fillId="0" borderId="0" xfId="0" applyFont="1"/>
    <xf numFmtId="164" fontId="0" fillId="0" borderId="0" xfId="381" applyNumberFormat="1" applyFont="1" applyFill="1"/>
    <xf numFmtId="0" fontId="155" fillId="0" borderId="0" xfId="0" applyFont="1" applyFill="1" applyAlignment="1"/>
    <xf numFmtId="164" fontId="157" fillId="0" borderId="21" xfId="381" applyNumberFormat="1" applyFont="1" applyFill="1" applyBorder="1"/>
    <xf numFmtId="164" fontId="0" fillId="0" borderId="0" xfId="381" applyNumberFormat="1" applyFont="1" applyBorder="1"/>
    <xf numFmtId="164" fontId="9" fillId="0" borderId="26" xfId="0" applyNumberFormat="1" applyFont="1" applyFill="1" applyBorder="1"/>
    <xf numFmtId="164" fontId="0" fillId="0" borderId="0" xfId="381" applyNumberFormat="1" applyFont="1" applyFill="1" applyBorder="1"/>
    <xf numFmtId="0" fontId="9" fillId="0" borderId="26" xfId="0" applyFont="1" applyBorder="1"/>
    <xf numFmtId="164" fontId="9" fillId="0" borderId="26" xfId="381" applyNumberFormat="1" applyFont="1" applyFill="1" applyBorder="1"/>
    <xf numFmtId="164" fontId="9" fillId="0" borderId="26" xfId="0" applyNumberFormat="1" applyFont="1" applyBorder="1"/>
    <xf numFmtId="186" fontId="9" fillId="0" borderId="0" xfId="0" applyNumberFormat="1" applyFont="1" applyFill="1" applyBorder="1"/>
    <xf numFmtId="186" fontId="0" fillId="0" borderId="0" xfId="0" applyNumberFormat="1" applyFill="1" applyBorder="1"/>
    <xf numFmtId="186" fontId="0" fillId="0" borderId="0" xfId="0" applyNumberFormat="1" applyBorder="1"/>
    <xf numFmtId="186" fontId="9" fillId="0" borderId="0" xfId="0" applyNumberFormat="1" applyFont="1" applyBorder="1"/>
    <xf numFmtId="3" fontId="0" fillId="0" borderId="0" xfId="381" applyNumberFormat="1" applyFont="1" applyBorder="1"/>
    <xf numFmtId="3" fontId="9" fillId="0" borderId="0" xfId="0" applyNumberFormat="1" applyFont="1" applyFill="1" applyBorder="1"/>
    <xf numFmtId="3" fontId="0" fillId="0" borderId="0" xfId="0" applyNumberFormat="1" applyFill="1" applyBorder="1"/>
    <xf numFmtId="3" fontId="0" fillId="0" borderId="0" xfId="0" applyNumberFormat="1" applyBorder="1"/>
    <xf numFmtId="0" fontId="8" fillId="0" borderId="18" xfId="0" applyFont="1" applyFill="1" applyBorder="1"/>
    <xf numFmtId="37" fontId="8" fillId="0" borderId="26" xfId="0" applyNumberFormat="1" applyFont="1" applyFill="1" applyBorder="1"/>
    <xf numFmtId="37" fontId="8" fillId="0" borderId="14" xfId="0" applyNumberFormat="1" applyFont="1" applyFill="1" applyBorder="1"/>
    <xf numFmtId="164" fontId="0" fillId="0" borderId="0" xfId="0" applyNumberFormat="1" applyBorder="1" applyAlignment="1">
      <alignment horizontal="centerContinuous"/>
    </xf>
    <xf numFmtId="164" fontId="9" fillId="0" borderId="0" xfId="381" applyNumberFormat="1" applyFont="1" applyBorder="1" applyAlignment="1">
      <alignment horizontal="center"/>
    </xf>
    <xf numFmtId="164" fontId="10" fillId="0" borderId="0" xfId="0" applyNumberFormat="1" applyFont="1" applyFill="1" applyBorder="1"/>
    <xf numFmtId="43" fontId="9" fillId="0" borderId="26" xfId="381" applyFont="1" applyBorder="1" applyAlignment="1">
      <alignment horizontal="left"/>
    </xf>
    <xf numFmtId="1" fontId="51" fillId="0" borderId="21" xfId="381" applyNumberFormat="1" applyFont="1" applyFill="1" applyBorder="1"/>
    <xf numFmtId="37" fontId="39" fillId="0" borderId="0" xfId="0" applyNumberFormat="1" applyFont="1" applyFill="1" applyBorder="1"/>
    <xf numFmtId="164" fontId="148" fillId="0" borderId="0" xfId="381" applyNumberFormat="1" applyFont="1" applyBorder="1"/>
    <xf numFmtId="164" fontId="52" fillId="0" borderId="0" xfId="381" applyNumberFormat="1" applyFont="1"/>
    <xf numFmtId="164" fontId="35" fillId="0" borderId="0" xfId="381" applyNumberFormat="1" applyFont="1" applyFill="1" applyBorder="1" applyAlignment="1">
      <alignment horizontal="left" wrapText="1"/>
    </xf>
    <xf numFmtId="164" fontId="52" fillId="0" borderId="0" xfId="465" applyNumberFormat="1" applyFont="1"/>
    <xf numFmtId="41" fontId="0" fillId="0" borderId="0" xfId="0" applyNumberFormat="1" applyFill="1" applyBorder="1" applyAlignment="1">
      <alignment horizontal="left"/>
    </xf>
    <xf numFmtId="3" fontId="50" fillId="34" borderId="0" xfId="474" applyNumberFormat="1" applyFont="1" applyFill="1" applyBorder="1"/>
    <xf numFmtId="164" fontId="10" fillId="0" borderId="0" xfId="381" applyNumberFormat="1" applyFont="1"/>
    <xf numFmtId="37" fontId="8" fillId="0" borderId="0" xfId="0" applyNumberFormat="1" applyFont="1" applyFill="1"/>
    <xf numFmtId="164" fontId="18" fillId="34" borderId="0" xfId="381" applyNumberFormat="1" applyFont="1" applyFill="1" applyBorder="1"/>
    <xf numFmtId="164" fontId="9" fillId="34" borderId="26" xfId="465" applyNumberFormat="1" applyFont="1" applyFill="1" applyBorder="1" applyAlignment="1">
      <alignment horizontal="center"/>
    </xf>
    <xf numFmtId="0" fontId="0" fillId="0" borderId="0" xfId="0" applyAlignment="1">
      <alignment horizontal="left"/>
    </xf>
    <xf numFmtId="164" fontId="18" fillId="33" borderId="34" xfId="390" applyNumberFormat="1" applyFont="1" applyFill="1" applyBorder="1" applyAlignment="1">
      <alignment horizontal="right"/>
    </xf>
    <xf numFmtId="164" fontId="18" fillId="33" borderId="28" xfId="390" applyNumberFormat="1" applyFont="1" applyFill="1" applyBorder="1" applyAlignment="1">
      <alignment horizontal="right"/>
    </xf>
    <xf numFmtId="164" fontId="18" fillId="33" borderId="0" xfId="390" applyNumberFormat="1" applyFont="1" applyFill="1" applyBorder="1" applyAlignment="1">
      <alignment horizontal="right"/>
    </xf>
    <xf numFmtId="10" fontId="18" fillId="33" borderId="35" xfId="633" applyNumberFormat="1" applyFont="1" applyFill="1" applyBorder="1" applyAlignment="1">
      <alignment horizontal="right"/>
    </xf>
    <xf numFmtId="43" fontId="10" fillId="0" borderId="81" xfId="381" applyFont="1" applyBorder="1"/>
    <xf numFmtId="164" fontId="9" fillId="33" borderId="0" xfId="381" applyNumberFormat="1" applyFont="1" applyFill="1" applyBorder="1"/>
    <xf numFmtId="43" fontId="0" fillId="0" borderId="0" xfId="0" applyNumberFormat="1"/>
    <xf numFmtId="10" fontId="12" fillId="0" borderId="0" xfId="633" applyNumberFormat="1" applyFont="1"/>
    <xf numFmtId="10" fontId="12" fillId="0" borderId="0" xfId="0" applyNumberFormat="1" applyFont="1"/>
    <xf numFmtId="3" fontId="10" fillId="0" borderId="58" xfId="0" applyNumberFormat="1" applyFont="1" applyFill="1" applyBorder="1" applyAlignment="1">
      <alignment horizontal="right"/>
    </xf>
    <xf numFmtId="3" fontId="10" fillId="0" borderId="0" xfId="0" applyNumberFormat="1" applyFont="1" applyFill="1" applyBorder="1" applyAlignment="1">
      <alignment horizontal="right"/>
    </xf>
    <xf numFmtId="39" fontId="10" fillId="0" borderId="0" xfId="0" applyNumberFormat="1" applyFont="1" applyFill="1" applyBorder="1" applyAlignment="1">
      <alignment horizontal="right"/>
    </xf>
    <xf numFmtId="39" fontId="10" fillId="0" borderId="27" xfId="0" applyNumberFormat="1" applyFont="1" applyFill="1" applyBorder="1" applyAlignment="1">
      <alignment horizontal="right"/>
    </xf>
    <xf numFmtId="43" fontId="10" fillId="0" borderId="52" xfId="381" applyNumberFormat="1" applyFont="1" applyBorder="1" applyAlignment="1"/>
    <xf numFmtId="43" fontId="10" fillId="0" borderId="65" xfId="381" applyNumberFormat="1" applyFont="1" applyBorder="1" applyAlignment="1"/>
    <xf numFmtId="164" fontId="52" fillId="0" borderId="0" xfId="381" applyNumberFormat="1" applyFont="1" applyFill="1" applyBorder="1" applyAlignment="1">
      <alignment horizontal="center"/>
    </xf>
    <xf numFmtId="164" fontId="52" fillId="0" borderId="0" xfId="381" applyNumberFormat="1" applyFont="1" applyFill="1" applyBorder="1" applyAlignment="1"/>
    <xf numFmtId="0" fontId="163" fillId="0" borderId="0" xfId="0" applyFont="1" applyFill="1"/>
    <xf numFmtId="0" fontId="35" fillId="0" borderId="10" xfId="0" applyFont="1" applyBorder="1"/>
    <xf numFmtId="10" fontId="8" fillId="0" borderId="0" xfId="467" applyNumberFormat="1" applyFont="1"/>
    <xf numFmtId="0" fontId="44" fillId="0" borderId="10" xfId="467" applyFont="1" applyFill="1" applyBorder="1" applyAlignment="1">
      <alignment horizontal="left"/>
    </xf>
    <xf numFmtId="0" fontId="44" fillId="0" borderId="0" xfId="467" applyFont="1"/>
    <xf numFmtId="168" fontId="8" fillId="0" borderId="0" xfId="633" applyNumberFormat="1" applyFont="1"/>
    <xf numFmtId="168" fontId="8" fillId="0" borderId="0" xfId="467" applyNumberFormat="1" applyFont="1"/>
    <xf numFmtId="3" fontId="10" fillId="0" borderId="28" xfId="0" applyNumberFormat="1" applyFont="1" applyBorder="1" applyAlignment="1">
      <alignment horizontal="right"/>
    </xf>
    <xf numFmtId="0" fontId="8" fillId="34" borderId="0" xfId="465" applyFont="1" applyFill="1"/>
    <xf numFmtId="0" fontId="18" fillId="0" borderId="39" xfId="465" applyFont="1" applyFill="1" applyBorder="1" applyAlignment="1">
      <alignment horizontal="left" wrapText="1"/>
    </xf>
    <xf numFmtId="0" fontId="18" fillId="0" borderId="40" xfId="465" applyFont="1" applyFill="1" applyBorder="1" applyAlignment="1">
      <alignment horizontal="left" wrapText="1"/>
    </xf>
    <xf numFmtId="0" fontId="18" fillId="0" borderId="41" xfId="465" applyFont="1" applyFill="1" applyBorder="1" applyAlignment="1">
      <alignment horizontal="left" wrapText="1"/>
    </xf>
    <xf numFmtId="0" fontId="83" fillId="0" borderId="0" xfId="467" applyFont="1" applyFill="1"/>
    <xf numFmtId="14" fontId="8" fillId="0" borderId="14" xfId="0" applyNumberFormat="1" applyFont="1" applyFill="1" applyBorder="1" applyAlignment="1">
      <alignment horizontal="center" wrapText="1"/>
    </xf>
    <xf numFmtId="43" fontId="8" fillId="0" borderId="20" xfId="381" applyFont="1" applyFill="1" applyBorder="1"/>
    <xf numFmtId="164" fontId="8" fillId="33" borderId="20" xfId="381" applyNumberFormat="1" applyFont="1" applyFill="1" applyBorder="1"/>
    <xf numFmtId="0" fontId="38" fillId="0" borderId="0" xfId="465" applyNumberFormat="1" applyFont="1" applyFill="1" applyBorder="1" applyAlignment="1">
      <alignment horizontal="left"/>
    </xf>
    <xf numFmtId="3" fontId="24" fillId="0" borderId="0" xfId="465" applyNumberFormat="1" applyFont="1" applyFill="1" applyBorder="1" applyAlignment="1">
      <alignment horizontal="right"/>
    </xf>
    <xf numFmtId="0" fontId="119" fillId="0" borderId="20" xfId="0" applyNumberFormat="1" applyFont="1" applyBorder="1" applyAlignment="1">
      <alignment horizontal="center"/>
    </xf>
    <xf numFmtId="0" fontId="58" fillId="0" borderId="0" xfId="0" applyNumberFormat="1" applyFont="1" applyBorder="1" applyAlignment="1">
      <alignment horizontal="left"/>
    </xf>
    <xf numFmtId="3" fontId="24" fillId="0" borderId="0" xfId="467" applyNumberFormat="1" applyFont="1" applyFill="1" applyBorder="1" applyAlignment="1">
      <alignment horizontal="right"/>
    </xf>
    <xf numFmtId="0" fontId="12" fillId="0" borderId="0" xfId="467" applyNumberFormat="1" applyFont="1" applyFill="1" applyAlignment="1">
      <alignment horizontal="center"/>
    </xf>
    <xf numFmtId="0" fontId="12" fillId="0" borderId="0" xfId="467" applyFont="1" applyFill="1"/>
    <xf numFmtId="0" fontId="10" fillId="0" borderId="0" xfId="467" applyNumberFormat="1" applyFont="1" applyFill="1" applyBorder="1" applyAlignment="1">
      <alignment horizontal="left"/>
    </xf>
    <xf numFmtId="0" fontId="38" fillId="0" borderId="0" xfId="467" applyNumberFormat="1" applyFont="1" applyFill="1" applyBorder="1" applyAlignment="1">
      <alignment horizontal="left"/>
    </xf>
    <xf numFmtId="3" fontId="22" fillId="0" borderId="0" xfId="467" applyNumberFormat="1" applyFont="1" applyFill="1" applyBorder="1" applyAlignment="1">
      <alignment horizontal="right"/>
    </xf>
    <xf numFmtId="164" fontId="12" fillId="0" borderId="0" xfId="467" applyNumberFormat="1" applyFont="1" applyFill="1"/>
    <xf numFmtId="164" fontId="10" fillId="0" borderId="0" xfId="381" applyNumberFormat="1" applyFont="1" applyBorder="1" applyAlignment="1">
      <alignment horizontal="right"/>
    </xf>
    <xf numFmtId="3" fontId="10" fillId="0" borderId="13" xfId="467" applyNumberFormat="1" applyFont="1" applyFill="1" applyBorder="1" applyAlignment="1"/>
    <xf numFmtId="10" fontId="0" fillId="0" borderId="0" xfId="0" applyNumberFormat="1"/>
    <xf numFmtId="8" fontId="0" fillId="0" borderId="0" xfId="0" applyNumberFormat="1"/>
    <xf numFmtId="164" fontId="18" fillId="0" borderId="19" xfId="381" applyNumberFormat="1" applyFont="1" applyFill="1" applyBorder="1"/>
    <xf numFmtId="0" fontId="155" fillId="0" borderId="0" xfId="0" applyFont="1" applyFill="1"/>
    <xf numFmtId="187" fontId="0" fillId="0" borderId="0" xfId="0" applyNumberFormat="1"/>
    <xf numFmtId="164" fontId="50" fillId="0" borderId="0" xfId="381" applyNumberFormat="1" applyFont="1" applyAlignment="1">
      <alignment horizontal="center"/>
    </xf>
    <xf numFmtId="43" fontId="51" fillId="0" borderId="0" xfId="0" applyNumberFormat="1" applyFont="1" applyFill="1" applyBorder="1"/>
    <xf numFmtId="9" fontId="51" fillId="0" borderId="0" xfId="633" applyFont="1" applyFill="1" applyBorder="1"/>
    <xf numFmtId="164" fontId="51" fillId="0" borderId="0" xfId="0" applyNumberFormat="1" applyFont="1" applyFill="1" applyBorder="1"/>
    <xf numFmtId="0" fontId="167" fillId="0" borderId="0" xfId="0" applyFont="1" applyBorder="1" applyAlignment="1">
      <alignment wrapText="1"/>
    </xf>
    <xf numFmtId="164" fontId="157" fillId="0" borderId="0" xfId="381" applyNumberFormat="1" applyFont="1" applyFill="1" applyBorder="1"/>
    <xf numFmtId="189" fontId="167" fillId="0" borderId="0" xfId="0" applyNumberFormat="1" applyFont="1" applyBorder="1" applyAlignment="1">
      <alignment wrapText="1"/>
    </xf>
    <xf numFmtId="0" fontId="157" fillId="0" borderId="0" xfId="0" applyFont="1" applyFill="1" applyBorder="1"/>
    <xf numFmtId="0" fontId="168" fillId="0" borderId="0" xfId="0" applyFont="1" applyFill="1" applyBorder="1"/>
    <xf numFmtId="0" fontId="166" fillId="0" borderId="0" xfId="0" applyFont="1" applyFill="1"/>
    <xf numFmtId="0" fontId="166" fillId="0" borderId="0" xfId="0" applyFont="1"/>
    <xf numFmtId="0" fontId="169" fillId="0" borderId="0" xfId="0" applyFont="1" applyFill="1" applyBorder="1"/>
    <xf numFmtId="0" fontId="166" fillId="0" borderId="0" xfId="0" applyFont="1" applyFill="1" applyAlignment="1">
      <alignment horizontal="left" vertical="top" wrapText="1"/>
    </xf>
    <xf numFmtId="0" fontId="166" fillId="0" borderId="0" xfId="0" applyFont="1" applyAlignment="1">
      <alignment horizontal="left" vertical="top" wrapText="1"/>
    </xf>
    <xf numFmtId="0" fontId="170" fillId="0" borderId="0" xfId="0" applyFont="1" applyFill="1" applyAlignment="1">
      <alignment horizontal="left" vertical="top"/>
    </xf>
    <xf numFmtId="0" fontId="166" fillId="0" borderId="0" xfId="0" applyFont="1" applyFill="1" applyAlignment="1">
      <alignment horizontal="center" vertical="top" wrapText="1"/>
    </xf>
    <xf numFmtId="14" fontId="171" fillId="0" borderId="0" xfId="0" applyNumberFormat="1" applyFont="1" applyFill="1" applyBorder="1" applyAlignment="1">
      <alignment horizontal="center" wrapText="1"/>
    </xf>
    <xf numFmtId="0" fontId="166" fillId="0" borderId="0" xfId="0" applyFont="1" applyFill="1" applyAlignment="1">
      <alignment horizontal="center" wrapText="1"/>
    </xf>
    <xf numFmtId="0" fontId="166" fillId="0" borderId="14" xfId="0" applyFont="1" applyFill="1" applyBorder="1" applyAlignment="1">
      <alignment wrapText="1"/>
    </xf>
    <xf numFmtId="0" fontId="166" fillId="0" borderId="14" xfId="0" applyFont="1" applyFill="1" applyBorder="1" applyAlignment="1">
      <alignment horizontal="center" wrapText="1"/>
    </xf>
    <xf numFmtId="14" fontId="166" fillId="0" borderId="14" xfId="0" applyNumberFormat="1" applyFont="1" applyFill="1" applyBorder="1" applyAlignment="1">
      <alignment horizontal="center" wrapText="1"/>
    </xf>
    <xf numFmtId="0" fontId="166" fillId="0" borderId="0" xfId="0" applyFont="1" applyFill="1" applyAlignment="1">
      <alignment horizontal="center"/>
    </xf>
    <xf numFmtId="164" fontId="166" fillId="0" borderId="0" xfId="381" applyNumberFormat="1" applyFont="1" applyFill="1"/>
    <xf numFmtId="0" fontId="166" fillId="0" borderId="0" xfId="0" applyFont="1" applyFill="1" applyBorder="1" applyAlignment="1">
      <alignment horizontal="center"/>
    </xf>
    <xf numFmtId="43" fontId="166" fillId="0" borderId="0" xfId="381" applyFont="1" applyFill="1" applyAlignment="1">
      <alignment horizontal="center"/>
    </xf>
    <xf numFmtId="164" fontId="166" fillId="0" borderId="0" xfId="381" applyNumberFormat="1" applyFont="1" applyFill="1" applyAlignment="1">
      <alignment horizontal="center"/>
    </xf>
    <xf numFmtId="41" fontId="166" fillId="0" borderId="0" xfId="1158" applyFont="1" applyFill="1" applyBorder="1"/>
    <xf numFmtId="164" fontId="0" fillId="0" borderId="0" xfId="1157" applyNumberFormat="1" applyFont="1" applyFill="1"/>
    <xf numFmtId="43" fontId="166" fillId="0" borderId="0" xfId="381" applyFont="1" applyFill="1" applyBorder="1" applyAlignment="1">
      <alignment horizontal="center"/>
    </xf>
    <xf numFmtId="164" fontId="166" fillId="0" borderId="0" xfId="381" applyNumberFormat="1" applyFont="1" applyFill="1" applyBorder="1" applyAlignment="1">
      <alignment horizontal="center"/>
    </xf>
    <xf numFmtId="0" fontId="166" fillId="0" borderId="12" xfId="0" applyFont="1" applyFill="1" applyBorder="1"/>
    <xf numFmtId="41" fontId="166" fillId="0" borderId="13" xfId="1158" applyFont="1" applyFill="1" applyBorder="1"/>
    <xf numFmtId="0" fontId="166" fillId="0" borderId="0" xfId="0" applyFont="1" applyFill="1" applyBorder="1"/>
    <xf numFmtId="43" fontId="166" fillId="0" borderId="0" xfId="0" applyNumberFormat="1" applyFont="1" applyFill="1" applyBorder="1"/>
    <xf numFmtId="41" fontId="166" fillId="0" borderId="0" xfId="0" applyNumberFormat="1" applyFont="1"/>
    <xf numFmtId="0" fontId="166" fillId="0" borderId="0" xfId="0" applyFont="1" applyAlignment="1">
      <alignment horizontal="left" wrapText="1"/>
    </xf>
    <xf numFmtId="0" fontId="166" fillId="0" borderId="0" xfId="0" applyFont="1" applyFill="1" applyAlignment="1">
      <alignment horizontal="center" vertical="top"/>
    </xf>
    <xf numFmtId="0" fontId="166" fillId="0" borderId="0" xfId="0" applyFont="1" applyAlignment="1">
      <alignment vertical="top"/>
    </xf>
    <xf numFmtId="0" fontId="171" fillId="0" borderId="0" xfId="0" applyFont="1" applyAlignment="1">
      <alignment vertical="top"/>
    </xf>
    <xf numFmtId="0" fontId="171" fillId="0" borderId="0" xfId="0" applyFont="1" applyFill="1" applyAlignment="1">
      <alignment horizontal="center" vertical="top"/>
    </xf>
    <xf numFmtId="0" fontId="171" fillId="0" borderId="0" xfId="0" applyFont="1" applyAlignment="1">
      <alignment horizontal="left" vertical="top"/>
    </xf>
    <xf numFmtId="0" fontId="12" fillId="0" borderId="28" xfId="0" applyNumberFormat="1" applyFont="1" applyFill="1" applyBorder="1"/>
    <xf numFmtId="164" fontId="49" fillId="0" borderId="0" xfId="381" applyNumberFormat="1" applyFont="1" applyFill="1" applyBorder="1" applyAlignment="1"/>
    <xf numFmtId="167" fontId="29" fillId="33" borderId="0" xfId="422" applyNumberFormat="1" applyFont="1" applyFill="1" applyAlignment="1">
      <alignment horizontal="left"/>
    </xf>
    <xf numFmtId="0" fontId="12" fillId="0" borderId="0" xfId="467" applyFont="1"/>
    <xf numFmtId="167" fontId="29" fillId="0" borderId="0" xfId="422" applyNumberFormat="1" applyFont="1" applyFill="1" applyAlignment="1">
      <alignment horizontal="left"/>
    </xf>
    <xf numFmtId="0" fontId="0" fillId="0" borderId="0" xfId="0" applyAlignment="1">
      <alignment horizontal="left"/>
    </xf>
    <xf numFmtId="43" fontId="18" fillId="0" borderId="0" xfId="381" applyFont="1" applyFill="1" applyBorder="1" applyAlignment="1"/>
    <xf numFmtId="43" fontId="18" fillId="0" borderId="0" xfId="381" applyFont="1" applyFill="1" applyBorder="1" applyAlignment="1">
      <alignment horizontal="right"/>
    </xf>
    <xf numFmtId="43" fontId="18" fillId="0" borderId="0" xfId="381" applyFont="1" applyFill="1" applyBorder="1" applyAlignment="1">
      <alignment horizontal="left"/>
    </xf>
    <xf numFmtId="3" fontId="35" fillId="33" borderId="20" xfId="465" applyNumberFormat="1" applyFont="1" applyFill="1" applyBorder="1" applyAlignment="1">
      <alignment horizontal="right"/>
    </xf>
    <xf numFmtId="3" fontId="35" fillId="33" borderId="0" xfId="465" applyNumberFormat="1" applyFont="1" applyFill="1" applyBorder="1" applyAlignment="1">
      <alignment horizontal="right"/>
    </xf>
    <xf numFmtId="0" fontId="167" fillId="0" borderId="84" xfId="0" applyFont="1" applyFill="1" applyBorder="1" applyAlignment="1">
      <alignment wrapText="1"/>
    </xf>
    <xf numFmtId="189" fontId="167" fillId="0" borderId="84" xfId="0" applyNumberFormat="1" applyFont="1" applyFill="1" applyBorder="1" applyAlignment="1">
      <alignment wrapText="1"/>
    </xf>
    <xf numFmtId="37" fontId="8" fillId="0" borderId="0" xfId="445" applyNumberFormat="1" applyFill="1"/>
    <xf numFmtId="0" fontId="49" fillId="72" borderId="20" xfId="0" applyFont="1" applyFill="1" applyBorder="1"/>
    <xf numFmtId="37" fontId="0" fillId="34" borderId="19" xfId="0" applyNumberFormat="1" applyFill="1" applyBorder="1"/>
    <xf numFmtId="10" fontId="12" fillId="33" borderId="35" xfId="633" applyNumberFormat="1" applyFont="1" applyFill="1" applyBorder="1"/>
    <xf numFmtId="10" fontId="12" fillId="33" borderId="35" xfId="633" applyNumberFormat="1" applyFont="1" applyFill="1" applyBorder="1" applyAlignment="1">
      <alignment horizontal="right"/>
    </xf>
    <xf numFmtId="0" fontId="79" fillId="0" borderId="0" xfId="0" applyFont="1"/>
    <xf numFmtId="0" fontId="8" fillId="0" borderId="0" xfId="0" applyFont="1" applyAlignment="1">
      <alignment horizontal="center"/>
    </xf>
    <xf numFmtId="0" fontId="0" fillId="0" borderId="0" xfId="0" applyAlignment="1">
      <alignment horizontal="center"/>
    </xf>
    <xf numFmtId="165" fontId="8" fillId="31" borderId="0" xfId="498" applyNumberFormat="1" applyFont="1" applyFill="1" applyAlignment="1">
      <alignment horizontal="center"/>
    </xf>
    <xf numFmtId="0" fontId="78" fillId="0" borderId="0" xfId="0" applyFont="1"/>
    <xf numFmtId="170" fontId="90" fillId="0" borderId="0" xfId="550" applyFont="1" applyFill="1" applyAlignment="1" applyProtection="1">
      <alignment horizontal="left" wrapText="1"/>
      <protection locked="0"/>
    </xf>
    <xf numFmtId="0" fontId="90" fillId="0" borderId="0" xfId="0" applyFont="1" applyFill="1" applyAlignment="1">
      <alignment horizontal="left" wrapText="1"/>
    </xf>
    <xf numFmtId="0" fontId="90" fillId="0" borderId="0" xfId="0" applyFont="1" applyFill="1" applyBorder="1" applyAlignment="1">
      <alignment horizontal="left" wrapText="1"/>
    </xf>
    <xf numFmtId="0" fontId="90" fillId="0" borderId="0" xfId="0" applyNumberFormat="1" applyFont="1" applyFill="1" applyAlignment="1">
      <alignment horizontal="left" wrapText="1"/>
    </xf>
    <xf numFmtId="0" fontId="90" fillId="0" borderId="0" xfId="0" applyFont="1" applyFill="1" applyBorder="1" applyAlignment="1">
      <alignment horizontal="left"/>
    </xf>
    <xf numFmtId="0" fontId="34" fillId="0" borderId="27" xfId="0" applyFont="1" applyFill="1" applyBorder="1" applyAlignment="1">
      <alignment horizontal="left" wrapText="1"/>
    </xf>
    <xf numFmtId="0" fontId="34" fillId="0" borderId="0" xfId="0" applyFont="1" applyFill="1" applyBorder="1" applyAlignment="1">
      <alignment horizontal="left" wrapText="1"/>
    </xf>
    <xf numFmtId="0" fontId="34" fillId="0" borderId="58" xfId="0" applyFont="1" applyFill="1" applyBorder="1" applyAlignment="1">
      <alignment horizontal="left" wrapText="1"/>
    </xf>
    <xf numFmtId="0" fontId="34" fillId="0" borderId="27" xfId="0" applyFont="1" applyBorder="1" applyAlignment="1">
      <alignment horizontal="left" wrapText="1"/>
    </xf>
    <xf numFmtId="0" fontId="34" fillId="0" borderId="0" xfId="0" applyFont="1" applyBorder="1" applyAlignment="1">
      <alignment horizontal="left" wrapText="1"/>
    </xf>
    <xf numFmtId="0" fontId="34" fillId="0" borderId="58" xfId="0" applyFont="1" applyBorder="1" applyAlignment="1">
      <alignment horizontal="left" wrapText="1"/>
    </xf>
    <xf numFmtId="0" fontId="21" fillId="0" borderId="0" xfId="0" applyFont="1" applyAlignment="1">
      <alignment horizontal="center"/>
    </xf>
    <xf numFmtId="0" fontId="41" fillId="0" borderId="0" xfId="0" applyFont="1" applyAlignment="1"/>
    <xf numFmtId="0" fontId="0" fillId="0" borderId="0" xfId="0" applyAlignment="1"/>
    <xf numFmtId="164" fontId="0" fillId="0" borderId="0" xfId="381" applyNumberFormat="1" applyFont="1" applyBorder="1" applyAlignment="1">
      <alignment horizontal="center"/>
    </xf>
    <xf numFmtId="0" fontId="10" fillId="0" borderId="0" xfId="0" applyFont="1" applyAlignment="1">
      <alignment horizontal="center"/>
    </xf>
    <xf numFmtId="0" fontId="12" fillId="0" borderId="0" xfId="0" applyFont="1" applyAlignment="1">
      <alignment horizontal="center"/>
    </xf>
    <xf numFmtId="0" fontId="18" fillId="0" borderId="0" xfId="0" applyFont="1" applyAlignment="1"/>
    <xf numFmtId="0" fontId="55" fillId="0" borderId="0" xfId="0" applyFont="1" applyAlignment="1">
      <alignment horizontal="center" wrapText="1"/>
    </xf>
    <xf numFmtId="0" fontId="0" fillId="0" borderId="0" xfId="0" applyBorder="1" applyAlignment="1">
      <alignment horizontal="left" wrapText="1"/>
    </xf>
    <xf numFmtId="0" fontId="78" fillId="0" borderId="0" xfId="0" applyFont="1" applyAlignment="1">
      <alignment horizontal="left" wrapText="1"/>
    </xf>
    <xf numFmtId="0" fontId="9" fillId="0" borderId="0" xfId="465" applyFont="1" applyFill="1" applyBorder="1" applyAlignment="1">
      <alignment horizontal="center" wrapText="1"/>
    </xf>
    <xf numFmtId="0" fontId="18" fillId="0" borderId="0" xfId="465" applyFont="1" applyFill="1" applyBorder="1" applyAlignment="1">
      <alignment horizontal="center" wrapText="1"/>
    </xf>
    <xf numFmtId="0" fontId="18" fillId="0" borderId="21" xfId="465" applyFont="1" applyFill="1" applyBorder="1" applyAlignment="1">
      <alignment horizontal="center" wrapText="1"/>
    </xf>
    <xf numFmtId="0" fontId="9" fillId="0" borderId="25" xfId="465" applyFont="1" applyFill="1" applyBorder="1" applyAlignment="1">
      <alignment horizontal="center"/>
    </xf>
    <xf numFmtId="0" fontId="9" fillId="0" borderId="24" xfId="465" applyFont="1" applyFill="1" applyBorder="1" applyAlignment="1">
      <alignment horizontal="center"/>
    </xf>
    <xf numFmtId="0" fontId="9" fillId="0" borderId="24" xfId="465" applyFont="1" applyFill="1" applyBorder="1" applyAlignment="1">
      <alignment horizontal="center" wrapText="1"/>
    </xf>
    <xf numFmtId="0" fontId="18" fillId="0" borderId="24" xfId="465" applyFont="1" applyFill="1" applyBorder="1" applyAlignment="1">
      <alignment horizontal="center" wrapText="1"/>
    </xf>
    <xf numFmtId="0" fontId="18" fillId="0" borderId="29" xfId="465" applyFont="1" applyFill="1" applyBorder="1" applyAlignment="1">
      <alignment horizontal="center" wrapText="1"/>
    </xf>
    <xf numFmtId="0" fontId="88" fillId="0" borderId="25" xfId="465" applyFont="1" applyFill="1" applyBorder="1" applyAlignment="1">
      <alignment horizontal="center"/>
    </xf>
    <xf numFmtId="0" fontId="88" fillId="0" borderId="24" xfId="465" applyFont="1" applyFill="1" applyBorder="1" applyAlignment="1">
      <alignment horizontal="center"/>
    </xf>
    <xf numFmtId="0" fontId="88" fillId="0" borderId="29" xfId="465" applyFont="1" applyFill="1" applyBorder="1" applyAlignment="1">
      <alignment horizontal="center"/>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9" fillId="0" borderId="29" xfId="465" applyFont="1" applyFill="1" applyBorder="1" applyAlignment="1">
      <alignment horizontal="center"/>
    </xf>
    <xf numFmtId="0" fontId="104" fillId="0" borderId="0" xfId="465" applyFont="1" applyFill="1" applyBorder="1" applyAlignment="1">
      <alignment horizontal="center"/>
    </xf>
    <xf numFmtId="0" fontId="9" fillId="0" borderId="16" xfId="465" applyFont="1" applyFill="1" applyBorder="1" applyAlignment="1">
      <alignment horizontal="center"/>
    </xf>
    <xf numFmtId="0" fontId="9" fillId="0" borderId="15" xfId="465" applyFont="1" applyFill="1" applyBorder="1" applyAlignment="1">
      <alignment horizontal="center"/>
    </xf>
    <xf numFmtId="0" fontId="9" fillId="0" borderId="71" xfId="465" applyFont="1" applyFill="1" applyBorder="1" applyAlignment="1">
      <alignment horizontal="center"/>
    </xf>
    <xf numFmtId="0" fontId="9" fillId="0" borderId="15" xfId="465" applyFont="1" applyFill="1" applyBorder="1" applyAlignment="1">
      <alignment horizontal="center" wrapText="1"/>
    </xf>
    <xf numFmtId="0" fontId="8" fillId="0" borderId="15" xfId="465" applyFont="1" applyFill="1" applyBorder="1" applyAlignment="1">
      <alignment horizontal="center" wrapText="1"/>
    </xf>
    <xf numFmtId="0" fontId="8" fillId="0" borderId="71" xfId="465" applyFont="1" applyFill="1" applyBorder="1" applyAlignment="1">
      <alignment horizontal="center" wrapText="1"/>
    </xf>
    <xf numFmtId="0" fontId="9" fillId="0" borderId="29" xfId="465" applyFont="1" applyFill="1" applyBorder="1" applyAlignment="1">
      <alignment horizontal="center" wrapText="1"/>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0" xfId="465" applyFont="1" applyFill="1" applyBorder="1" applyAlignment="1">
      <alignment horizontal="center" wrapText="1"/>
    </xf>
    <xf numFmtId="0" fontId="8" fillId="0" borderId="21" xfId="465" applyFont="1" applyFill="1" applyBorder="1" applyAlignment="1">
      <alignment horizontal="center" wrapText="1"/>
    </xf>
    <xf numFmtId="0" fontId="50" fillId="0" borderId="0" xfId="467" applyNumberFormat="1" applyFont="1" applyAlignment="1">
      <alignment horizontal="left"/>
    </xf>
    <xf numFmtId="0" fontId="153" fillId="0" borderId="0" xfId="467" applyFont="1" applyAlignment="1">
      <alignment horizontal="center" wrapText="1"/>
    </xf>
    <xf numFmtId="43" fontId="50" fillId="34" borderId="0" xfId="381" applyFont="1" applyFill="1" applyAlignment="1">
      <alignment horizontal="left" wrapText="1"/>
    </xf>
    <xf numFmtId="0" fontId="21" fillId="0" borderId="0" xfId="467" applyFont="1" applyAlignment="1">
      <alignment horizontal="center"/>
    </xf>
    <xf numFmtId="0" fontId="0" fillId="0" borderId="0" xfId="0" applyAlignment="1">
      <alignment horizontal="left"/>
    </xf>
    <xf numFmtId="0" fontId="10" fillId="0" borderId="0" xfId="467" applyFont="1" applyAlignment="1">
      <alignment horizontal="center"/>
    </xf>
    <xf numFmtId="0" fontId="120" fillId="0" borderId="0" xfId="0" applyFont="1" applyAlignment="1">
      <alignment horizontal="left" wrapText="1"/>
    </xf>
    <xf numFmtId="0" fontId="120" fillId="0" borderId="0" xfId="0" applyFont="1" applyFill="1" applyAlignment="1">
      <alignment horizontal="left" wrapText="1"/>
    </xf>
    <xf numFmtId="0" fontId="39" fillId="0" borderId="20" xfId="467" applyFont="1" applyFill="1" applyBorder="1" applyAlignment="1">
      <alignment horizontal="center"/>
    </xf>
    <xf numFmtId="0" fontId="8" fillId="0" borderId="0" xfId="467" applyFont="1" applyFill="1" applyBorder="1" applyAlignment="1">
      <alignment horizontal="center"/>
    </xf>
    <xf numFmtId="0" fontId="8" fillId="0" borderId="21" xfId="467" applyFont="1" applyFill="1" applyBorder="1" applyAlignment="1">
      <alignment horizontal="center"/>
    </xf>
    <xf numFmtId="0" fontId="39" fillId="0" borderId="25" xfId="467" applyFont="1" applyFill="1" applyBorder="1" applyAlignment="1">
      <alignment horizontal="center"/>
    </xf>
    <xf numFmtId="0" fontId="8" fillId="0" borderId="24" xfId="467" applyFont="1" applyFill="1" applyBorder="1" applyAlignment="1">
      <alignment horizontal="center"/>
    </xf>
    <xf numFmtId="0" fontId="8" fillId="0" borderId="29" xfId="467" applyFont="1" applyFill="1" applyBorder="1" applyAlignment="1">
      <alignment horizontal="center"/>
    </xf>
    <xf numFmtId="0" fontId="0" fillId="0" borderId="0" xfId="0" applyAlignment="1">
      <alignment horizontal="left" wrapText="1"/>
    </xf>
    <xf numFmtId="0" fontId="166" fillId="0" borderId="0" xfId="0" applyFont="1" applyAlignment="1">
      <alignment horizontal="left" vertical="top" wrapText="1"/>
    </xf>
    <xf numFmtId="0" fontId="166" fillId="0" borderId="0" xfId="0" applyFont="1" applyFill="1" applyAlignment="1">
      <alignment horizontal="left" vertical="top" wrapText="1"/>
    </xf>
  </cellXfs>
  <cellStyles count="1159">
    <cellStyle name=" 1" xfId="1"/>
    <cellStyle name=" 1 2" xfId="2"/>
    <cellStyle name=" 1 2 2" xfId="3"/>
    <cellStyle name=" 1 3" xfId="4"/>
    <cellStyle name="20% - Accent1" xfId="722" builtinId="30" customBuiltin="1"/>
    <cellStyle name="20% - Accent1 10" xfId="5"/>
    <cellStyle name="20% - Accent1 11" xfId="6"/>
    <cellStyle name="20% - Accent1 12" xfId="7"/>
    <cellStyle name="20% - Accent1 13" xfId="8"/>
    <cellStyle name="20% - Accent1 14" xfId="788"/>
    <cellStyle name="20% - Accent1 14 2" xfId="940"/>
    <cellStyle name="20% - Accent1 14 3" xfId="1068"/>
    <cellStyle name="20% - Accent1 15" xfId="901"/>
    <cellStyle name="20% - Accent1 16" xfId="1029"/>
    <cellStyle name="20% - Accent1 2" xfId="9"/>
    <cellStyle name="20% - Accent1 2 2" xfId="10"/>
    <cellStyle name="20% - Accent1 2 3" xfId="11"/>
    <cellStyle name="20% - Accent1 2_10-15-10-Stmt AU - Period I - Working 1 0" xfId="12"/>
    <cellStyle name="20% - Accent1 3" xfId="13"/>
    <cellStyle name="20% - Accent1 3 2" xfId="14"/>
    <cellStyle name="20% - Accent1 3 3" xfId="15"/>
    <cellStyle name="20% - Accent1 3_10-15-10-Stmt AU - Period I - Working 1 0" xfId="16"/>
    <cellStyle name="20% - Accent1 4" xfId="17"/>
    <cellStyle name="20% - Accent1 4 2" xfId="18"/>
    <cellStyle name="20% - Accent1 4 3" xfId="19"/>
    <cellStyle name="20% - Accent1 4_10-15-10-Stmt AU - Period I - Working 1 0" xfId="20"/>
    <cellStyle name="20% - Accent1 5" xfId="21"/>
    <cellStyle name="20% - Accent1 5 2" xfId="22"/>
    <cellStyle name="20% - Accent1 5 3" xfId="23"/>
    <cellStyle name="20% - Accent1 5_10-15-10-Stmt AU - Period I - Working 1 0" xfId="24"/>
    <cellStyle name="20% - Accent1 6" xfId="25"/>
    <cellStyle name="20% - Accent1 6 2" xfId="26"/>
    <cellStyle name="20% - Accent1 6 3" xfId="27"/>
    <cellStyle name="20% - Accent1 6_10-15-10-Stmt AU - Period I - Working 1 0" xfId="28"/>
    <cellStyle name="20% - Accent1 7" xfId="29"/>
    <cellStyle name="20% - Accent1 7 2" xfId="30"/>
    <cellStyle name="20% - Accent1 7 3" xfId="31"/>
    <cellStyle name="20% - Accent1 7_10-15-10-Stmt AU - Period I - Working 1 0" xfId="32"/>
    <cellStyle name="20% - Accent1 8" xfId="33"/>
    <cellStyle name="20% - Accent1 9" xfId="34"/>
    <cellStyle name="20% - Accent2" xfId="726" builtinId="34" customBuiltin="1"/>
    <cellStyle name="20% - Accent2 10" xfId="35"/>
    <cellStyle name="20% - Accent2 11" xfId="36"/>
    <cellStyle name="20% - Accent2 12" xfId="37"/>
    <cellStyle name="20% - Accent2 13" xfId="38"/>
    <cellStyle name="20% - Accent2 14" xfId="789"/>
    <cellStyle name="20% - Accent2 14 2" xfId="941"/>
    <cellStyle name="20% - Accent2 14 3" xfId="1069"/>
    <cellStyle name="20% - Accent2 15" xfId="903"/>
    <cellStyle name="20% - Accent2 16" xfId="1031"/>
    <cellStyle name="20% - Accent2 2" xfId="39"/>
    <cellStyle name="20% - Accent2 2 2" xfId="40"/>
    <cellStyle name="20% - Accent2 2 3" xfId="41"/>
    <cellStyle name="20% - Accent2 2_10-15-10-Stmt AU - Period I - Working 1 0" xfId="42"/>
    <cellStyle name="20% - Accent2 3" xfId="43"/>
    <cellStyle name="20% - Accent2 3 2" xfId="44"/>
    <cellStyle name="20% - Accent2 3 3" xfId="45"/>
    <cellStyle name="20% - Accent2 3_10-15-10-Stmt AU - Period I - Working 1 0" xfId="46"/>
    <cellStyle name="20% - Accent2 4" xfId="47"/>
    <cellStyle name="20% - Accent2 4 2" xfId="48"/>
    <cellStyle name="20% - Accent2 4 3" xfId="49"/>
    <cellStyle name="20% - Accent2 4_10-15-10-Stmt AU - Period I - Working 1 0" xfId="50"/>
    <cellStyle name="20% - Accent2 5" xfId="51"/>
    <cellStyle name="20% - Accent2 5 2" xfId="52"/>
    <cellStyle name="20% - Accent2 5 3" xfId="53"/>
    <cellStyle name="20% - Accent2 5_10-15-10-Stmt AU - Period I - Working 1 0" xfId="54"/>
    <cellStyle name="20% - Accent2 6" xfId="55"/>
    <cellStyle name="20% - Accent2 6 2" xfId="56"/>
    <cellStyle name="20% - Accent2 6 3" xfId="57"/>
    <cellStyle name="20% - Accent2 6_10-15-10-Stmt AU - Period I - Working 1 0" xfId="58"/>
    <cellStyle name="20% - Accent2 7" xfId="59"/>
    <cellStyle name="20% - Accent2 7 2" xfId="60"/>
    <cellStyle name="20% - Accent2 7 3" xfId="61"/>
    <cellStyle name="20% - Accent2 7_10-15-10-Stmt AU - Period I - Working 1 0" xfId="62"/>
    <cellStyle name="20% - Accent2 8" xfId="63"/>
    <cellStyle name="20% - Accent2 9" xfId="64"/>
    <cellStyle name="20% - Accent3" xfId="730" builtinId="38" customBuiltin="1"/>
    <cellStyle name="20% - Accent3 10" xfId="65"/>
    <cellStyle name="20% - Accent3 11" xfId="66"/>
    <cellStyle name="20% - Accent3 12" xfId="67"/>
    <cellStyle name="20% - Accent3 13" xfId="68"/>
    <cellStyle name="20% - Accent3 14" xfId="790"/>
    <cellStyle name="20% - Accent3 14 2" xfId="942"/>
    <cellStyle name="20% - Accent3 14 3" xfId="1070"/>
    <cellStyle name="20% - Accent3 15" xfId="905"/>
    <cellStyle name="20% - Accent3 16" xfId="1033"/>
    <cellStyle name="20% - Accent3 2" xfId="69"/>
    <cellStyle name="20% - Accent3 2 2" xfId="70"/>
    <cellStyle name="20% - Accent3 2 3" xfId="71"/>
    <cellStyle name="20% - Accent3 2_10-15-10-Stmt AU - Period I - Working 1 0" xfId="72"/>
    <cellStyle name="20% - Accent3 3" xfId="73"/>
    <cellStyle name="20% - Accent3 3 2" xfId="74"/>
    <cellStyle name="20% - Accent3 3 3" xfId="75"/>
    <cellStyle name="20% - Accent3 3_10-15-10-Stmt AU - Period I - Working 1 0" xfId="76"/>
    <cellStyle name="20% - Accent3 4" xfId="77"/>
    <cellStyle name="20% - Accent3 4 2" xfId="78"/>
    <cellStyle name="20% - Accent3 4 3" xfId="79"/>
    <cellStyle name="20% - Accent3 4_10-15-10-Stmt AU - Period I - Working 1 0" xfId="80"/>
    <cellStyle name="20% - Accent3 5" xfId="81"/>
    <cellStyle name="20% - Accent3 5 2" xfId="82"/>
    <cellStyle name="20% - Accent3 5 3" xfId="83"/>
    <cellStyle name="20% - Accent3 5_10-15-10-Stmt AU - Period I - Working 1 0" xfId="84"/>
    <cellStyle name="20% - Accent3 6" xfId="85"/>
    <cellStyle name="20% - Accent3 6 2" xfId="86"/>
    <cellStyle name="20% - Accent3 6 3" xfId="87"/>
    <cellStyle name="20% - Accent3 6_10-15-10-Stmt AU - Period I - Working 1 0" xfId="88"/>
    <cellStyle name="20% - Accent3 7" xfId="89"/>
    <cellStyle name="20% - Accent3 7 2" xfId="90"/>
    <cellStyle name="20% - Accent3 7 3" xfId="91"/>
    <cellStyle name="20% - Accent3 7_10-15-10-Stmt AU - Period I - Working 1 0" xfId="92"/>
    <cellStyle name="20% - Accent3 8" xfId="93"/>
    <cellStyle name="20% - Accent3 9" xfId="94"/>
    <cellStyle name="20% - Accent4" xfId="734" builtinId="42" customBuiltin="1"/>
    <cellStyle name="20% - Accent4 10" xfId="95"/>
    <cellStyle name="20% - Accent4 11" xfId="96"/>
    <cellStyle name="20% - Accent4 12" xfId="97"/>
    <cellStyle name="20% - Accent4 13" xfId="98"/>
    <cellStyle name="20% - Accent4 14" xfId="791"/>
    <cellStyle name="20% - Accent4 14 2" xfId="943"/>
    <cellStyle name="20% - Accent4 14 3" xfId="1071"/>
    <cellStyle name="20% - Accent4 15" xfId="907"/>
    <cellStyle name="20% - Accent4 16" xfId="1035"/>
    <cellStyle name="20% - Accent4 2" xfId="99"/>
    <cellStyle name="20% - Accent4 2 2" xfId="100"/>
    <cellStyle name="20% - Accent4 2 3" xfId="101"/>
    <cellStyle name="20% - Accent4 2_10-15-10-Stmt AU - Period I - Working 1 0" xfId="102"/>
    <cellStyle name="20% - Accent4 3" xfId="103"/>
    <cellStyle name="20% - Accent4 3 2" xfId="104"/>
    <cellStyle name="20% - Accent4 3 3" xfId="105"/>
    <cellStyle name="20% - Accent4 3_10-15-10-Stmt AU - Period I - Working 1 0" xfId="106"/>
    <cellStyle name="20% - Accent4 4" xfId="107"/>
    <cellStyle name="20% - Accent4 4 2" xfId="108"/>
    <cellStyle name="20% - Accent4 4 3" xfId="109"/>
    <cellStyle name="20% - Accent4 4_10-15-10-Stmt AU - Period I - Working 1 0" xfId="110"/>
    <cellStyle name="20% - Accent4 5" xfId="111"/>
    <cellStyle name="20% - Accent4 5 2" xfId="112"/>
    <cellStyle name="20% - Accent4 5 3" xfId="113"/>
    <cellStyle name="20% - Accent4 5_10-15-10-Stmt AU - Period I - Working 1 0" xfId="114"/>
    <cellStyle name="20% - Accent4 6" xfId="115"/>
    <cellStyle name="20% - Accent4 6 2" xfId="116"/>
    <cellStyle name="20% - Accent4 6 3" xfId="117"/>
    <cellStyle name="20% - Accent4 6_10-15-10-Stmt AU - Period I - Working 1 0" xfId="118"/>
    <cellStyle name="20% - Accent4 7" xfId="119"/>
    <cellStyle name="20% - Accent4 7 2" xfId="120"/>
    <cellStyle name="20% - Accent4 7 3" xfId="121"/>
    <cellStyle name="20% - Accent4 7_10-15-10-Stmt AU - Period I - Working 1 0" xfId="122"/>
    <cellStyle name="20% - Accent4 8" xfId="123"/>
    <cellStyle name="20% - Accent4 9" xfId="124"/>
    <cellStyle name="20% - Accent5" xfId="738" builtinId="46" customBuiltin="1"/>
    <cellStyle name="20% - Accent5 10" xfId="125"/>
    <cellStyle name="20% - Accent5 11" xfId="126"/>
    <cellStyle name="20% - Accent5 12" xfId="127"/>
    <cellStyle name="20% - Accent5 13" xfId="128"/>
    <cellStyle name="20% - Accent5 14" xfId="792"/>
    <cellStyle name="20% - Accent5 14 2" xfId="944"/>
    <cellStyle name="20% - Accent5 14 3" xfId="1072"/>
    <cellStyle name="20% - Accent5 15" xfId="909"/>
    <cellStyle name="20% - Accent5 16" xfId="1037"/>
    <cellStyle name="20% - Accent5 2" xfId="129"/>
    <cellStyle name="20% - Accent5 2 2" xfId="130"/>
    <cellStyle name="20% - Accent5 2 3" xfId="131"/>
    <cellStyle name="20% - Accent5 2_10-15-10-Stmt AU - Period I - Working 1 0" xfId="132"/>
    <cellStyle name="20% - Accent5 3" xfId="133"/>
    <cellStyle name="20% - Accent5 3 2" xfId="134"/>
    <cellStyle name="20% - Accent5 3 3" xfId="135"/>
    <cellStyle name="20% - Accent5 3_10-15-10-Stmt AU - Period I - Working 1 0" xfId="136"/>
    <cellStyle name="20% - Accent5 4" xfId="137"/>
    <cellStyle name="20% - Accent5 4 2" xfId="138"/>
    <cellStyle name="20% - Accent5 4 3" xfId="139"/>
    <cellStyle name="20% - Accent5 4_10-15-10-Stmt AU - Period I - Working 1 0" xfId="140"/>
    <cellStyle name="20% - Accent5 5" xfId="141"/>
    <cellStyle name="20% - Accent5 5 2" xfId="142"/>
    <cellStyle name="20% - Accent5 5 3" xfId="143"/>
    <cellStyle name="20% - Accent5 5_10-15-10-Stmt AU - Period I - Working 1 0" xfId="144"/>
    <cellStyle name="20% - Accent5 6" xfId="145"/>
    <cellStyle name="20% - Accent5 6 2" xfId="146"/>
    <cellStyle name="20% - Accent5 6 3" xfId="147"/>
    <cellStyle name="20% - Accent5 6_10-15-10-Stmt AU - Period I - Working 1 0" xfId="148"/>
    <cellStyle name="20% - Accent5 7" xfId="149"/>
    <cellStyle name="20% - Accent5 7 2" xfId="150"/>
    <cellStyle name="20% - Accent5 7 3" xfId="151"/>
    <cellStyle name="20% - Accent5 7_10-15-10-Stmt AU - Period I - Working 1 0" xfId="152"/>
    <cellStyle name="20% - Accent5 8" xfId="153"/>
    <cellStyle name="20% - Accent5 9" xfId="154"/>
    <cellStyle name="20% - Accent6" xfId="742" builtinId="50" customBuiltin="1"/>
    <cellStyle name="20% - Accent6 10" xfId="155"/>
    <cellStyle name="20% - Accent6 11" xfId="156"/>
    <cellStyle name="20% - Accent6 12" xfId="157"/>
    <cellStyle name="20% - Accent6 13" xfId="158"/>
    <cellStyle name="20% - Accent6 14" xfId="793"/>
    <cellStyle name="20% - Accent6 14 2" xfId="945"/>
    <cellStyle name="20% - Accent6 14 3" xfId="1073"/>
    <cellStyle name="20% - Accent6 15" xfId="911"/>
    <cellStyle name="20% - Accent6 16" xfId="1039"/>
    <cellStyle name="20% - Accent6 2" xfId="159"/>
    <cellStyle name="20% - Accent6 2 2" xfId="160"/>
    <cellStyle name="20% - Accent6 2 3" xfId="161"/>
    <cellStyle name="20% - Accent6 2_10-15-10-Stmt AU - Period I - Working 1 0" xfId="162"/>
    <cellStyle name="20% - Accent6 3" xfId="163"/>
    <cellStyle name="20% - Accent6 3 2" xfId="164"/>
    <cellStyle name="20% - Accent6 3 3" xfId="165"/>
    <cellStyle name="20% - Accent6 3_10-15-10-Stmt AU - Period I - Working 1 0" xfId="166"/>
    <cellStyle name="20% - Accent6 4" xfId="167"/>
    <cellStyle name="20% - Accent6 4 2" xfId="168"/>
    <cellStyle name="20% - Accent6 4 3" xfId="169"/>
    <cellStyle name="20% - Accent6 4_10-15-10-Stmt AU - Period I - Working 1 0" xfId="170"/>
    <cellStyle name="20% - Accent6 5" xfId="171"/>
    <cellStyle name="20% - Accent6 5 2" xfId="172"/>
    <cellStyle name="20% - Accent6 5 3" xfId="173"/>
    <cellStyle name="20% - Accent6 5_10-15-10-Stmt AU - Period I - Working 1 0" xfId="174"/>
    <cellStyle name="20% - Accent6 6" xfId="175"/>
    <cellStyle name="20% - Accent6 6 2" xfId="176"/>
    <cellStyle name="20% - Accent6 6 3" xfId="177"/>
    <cellStyle name="20% - Accent6 6_10-15-10-Stmt AU - Period I - Working 1 0" xfId="178"/>
    <cellStyle name="20% - Accent6 7" xfId="179"/>
    <cellStyle name="20% - Accent6 7 2" xfId="180"/>
    <cellStyle name="20% - Accent6 7 3" xfId="181"/>
    <cellStyle name="20% - Accent6 7_10-15-10-Stmt AU - Period I - Working 1 0" xfId="182"/>
    <cellStyle name="20% - Accent6 8" xfId="183"/>
    <cellStyle name="20% - Accent6 9" xfId="184"/>
    <cellStyle name="40% - Accent1" xfId="723" builtinId="31" customBuiltin="1"/>
    <cellStyle name="40% - Accent1 10" xfId="185"/>
    <cellStyle name="40% - Accent1 11" xfId="186"/>
    <cellStyle name="40% - Accent1 12" xfId="187"/>
    <cellStyle name="40% - Accent1 13" xfId="188"/>
    <cellStyle name="40% - Accent1 14" xfId="794"/>
    <cellStyle name="40% - Accent1 14 2" xfId="946"/>
    <cellStyle name="40% - Accent1 14 3" xfId="1074"/>
    <cellStyle name="40% - Accent1 15" xfId="902"/>
    <cellStyle name="40% - Accent1 16" xfId="1030"/>
    <cellStyle name="40% - Accent1 2" xfId="189"/>
    <cellStyle name="40% - Accent1 2 2" xfId="190"/>
    <cellStyle name="40% - Accent1 2 3" xfId="191"/>
    <cellStyle name="40% - Accent1 2_10-15-10-Stmt AU - Period I - Working 1 0" xfId="192"/>
    <cellStyle name="40% - Accent1 3" xfId="193"/>
    <cellStyle name="40% - Accent1 3 2" xfId="194"/>
    <cellStyle name="40% - Accent1 3 3" xfId="195"/>
    <cellStyle name="40% - Accent1 3_10-15-10-Stmt AU - Period I - Working 1 0" xfId="196"/>
    <cellStyle name="40% - Accent1 4" xfId="197"/>
    <cellStyle name="40% - Accent1 4 2" xfId="198"/>
    <cellStyle name="40% - Accent1 4 3" xfId="199"/>
    <cellStyle name="40% - Accent1 4_10-15-10-Stmt AU - Period I - Working 1 0" xfId="200"/>
    <cellStyle name="40% - Accent1 5" xfId="201"/>
    <cellStyle name="40% - Accent1 5 2" xfId="202"/>
    <cellStyle name="40% - Accent1 5 3" xfId="203"/>
    <cellStyle name="40% - Accent1 5_10-15-10-Stmt AU - Period I - Working 1 0" xfId="204"/>
    <cellStyle name="40% - Accent1 6" xfId="205"/>
    <cellStyle name="40% - Accent1 6 2" xfId="206"/>
    <cellStyle name="40% - Accent1 6 3" xfId="207"/>
    <cellStyle name="40% - Accent1 6_10-15-10-Stmt AU - Period I - Working 1 0" xfId="208"/>
    <cellStyle name="40% - Accent1 7" xfId="209"/>
    <cellStyle name="40% - Accent1 7 2" xfId="210"/>
    <cellStyle name="40% - Accent1 7 3" xfId="211"/>
    <cellStyle name="40% - Accent1 7_10-15-10-Stmt AU - Period I - Working 1 0" xfId="212"/>
    <cellStyle name="40% - Accent1 8" xfId="213"/>
    <cellStyle name="40% - Accent1 9" xfId="214"/>
    <cellStyle name="40% - Accent2" xfId="727" builtinId="35" customBuiltin="1"/>
    <cellStyle name="40% - Accent2 10" xfId="215"/>
    <cellStyle name="40% - Accent2 11" xfId="216"/>
    <cellStyle name="40% - Accent2 12" xfId="217"/>
    <cellStyle name="40% - Accent2 13" xfId="218"/>
    <cellStyle name="40% - Accent2 14" xfId="795"/>
    <cellStyle name="40% - Accent2 14 2" xfId="947"/>
    <cellStyle name="40% - Accent2 14 3" xfId="1075"/>
    <cellStyle name="40% - Accent2 15" xfId="904"/>
    <cellStyle name="40% - Accent2 16" xfId="1032"/>
    <cellStyle name="40% - Accent2 2" xfId="219"/>
    <cellStyle name="40% - Accent2 2 2" xfId="220"/>
    <cellStyle name="40% - Accent2 2 3" xfId="221"/>
    <cellStyle name="40% - Accent2 2_10-15-10-Stmt AU - Period I - Working 1 0" xfId="222"/>
    <cellStyle name="40% - Accent2 3" xfId="223"/>
    <cellStyle name="40% - Accent2 3 2" xfId="224"/>
    <cellStyle name="40% - Accent2 3 3" xfId="225"/>
    <cellStyle name="40% - Accent2 3_10-15-10-Stmt AU - Period I - Working 1 0" xfId="226"/>
    <cellStyle name="40% - Accent2 4" xfId="227"/>
    <cellStyle name="40% - Accent2 4 2" xfId="228"/>
    <cellStyle name="40% - Accent2 4 3" xfId="229"/>
    <cellStyle name="40% - Accent2 4_10-15-10-Stmt AU - Period I - Working 1 0" xfId="230"/>
    <cellStyle name="40% - Accent2 5" xfId="231"/>
    <cellStyle name="40% - Accent2 5 2" xfId="232"/>
    <cellStyle name="40% - Accent2 5 3" xfId="233"/>
    <cellStyle name="40% - Accent2 5_10-15-10-Stmt AU - Period I - Working 1 0" xfId="234"/>
    <cellStyle name="40% - Accent2 6" xfId="235"/>
    <cellStyle name="40% - Accent2 6 2" xfId="236"/>
    <cellStyle name="40% - Accent2 6 3" xfId="237"/>
    <cellStyle name="40% - Accent2 6_10-15-10-Stmt AU - Period I - Working 1 0" xfId="238"/>
    <cellStyle name="40% - Accent2 7" xfId="239"/>
    <cellStyle name="40% - Accent2 7 2" xfId="240"/>
    <cellStyle name="40% - Accent2 7 3" xfId="241"/>
    <cellStyle name="40% - Accent2 7_10-15-10-Stmt AU - Period I - Working 1 0" xfId="242"/>
    <cellStyle name="40% - Accent2 8" xfId="243"/>
    <cellStyle name="40% - Accent2 9" xfId="244"/>
    <cellStyle name="40% - Accent3" xfId="731" builtinId="39" customBuiltin="1"/>
    <cellStyle name="40% - Accent3 10" xfId="245"/>
    <cellStyle name="40% - Accent3 11" xfId="246"/>
    <cellStyle name="40% - Accent3 12" xfId="247"/>
    <cellStyle name="40% - Accent3 13" xfId="248"/>
    <cellStyle name="40% - Accent3 14" xfId="796"/>
    <cellStyle name="40% - Accent3 14 2" xfId="948"/>
    <cellStyle name="40% - Accent3 14 3" xfId="1076"/>
    <cellStyle name="40% - Accent3 15" xfId="906"/>
    <cellStyle name="40% - Accent3 16" xfId="1034"/>
    <cellStyle name="40% - Accent3 2" xfId="249"/>
    <cellStyle name="40% - Accent3 2 2" xfId="250"/>
    <cellStyle name="40% - Accent3 2 3" xfId="251"/>
    <cellStyle name="40% - Accent3 2_10-15-10-Stmt AU - Period I - Working 1 0" xfId="252"/>
    <cellStyle name="40% - Accent3 3" xfId="253"/>
    <cellStyle name="40% - Accent3 3 2" xfId="254"/>
    <cellStyle name="40% - Accent3 3 3" xfId="255"/>
    <cellStyle name="40% - Accent3 3_10-15-10-Stmt AU - Period I - Working 1 0" xfId="256"/>
    <cellStyle name="40% - Accent3 4" xfId="257"/>
    <cellStyle name="40% - Accent3 4 2" xfId="258"/>
    <cellStyle name="40% - Accent3 4 3" xfId="259"/>
    <cellStyle name="40% - Accent3 4_10-15-10-Stmt AU - Period I - Working 1 0" xfId="260"/>
    <cellStyle name="40% - Accent3 5" xfId="261"/>
    <cellStyle name="40% - Accent3 5 2" xfId="262"/>
    <cellStyle name="40% - Accent3 5 3" xfId="263"/>
    <cellStyle name="40% - Accent3 5_10-15-10-Stmt AU - Period I - Working 1 0" xfId="264"/>
    <cellStyle name="40% - Accent3 6" xfId="265"/>
    <cellStyle name="40% - Accent3 6 2" xfId="266"/>
    <cellStyle name="40% - Accent3 6 3" xfId="267"/>
    <cellStyle name="40% - Accent3 6_10-15-10-Stmt AU - Period I - Working 1 0" xfId="268"/>
    <cellStyle name="40% - Accent3 7" xfId="269"/>
    <cellStyle name="40% - Accent3 7 2" xfId="270"/>
    <cellStyle name="40% - Accent3 7 3" xfId="271"/>
    <cellStyle name="40% - Accent3 7_10-15-10-Stmt AU - Period I - Working 1 0" xfId="272"/>
    <cellStyle name="40% - Accent3 8" xfId="273"/>
    <cellStyle name="40% - Accent3 9" xfId="274"/>
    <cellStyle name="40% - Accent4" xfId="735" builtinId="43" customBuiltin="1"/>
    <cellStyle name="40% - Accent4 10" xfId="275"/>
    <cellStyle name="40% - Accent4 11" xfId="276"/>
    <cellStyle name="40% - Accent4 12" xfId="277"/>
    <cellStyle name="40% - Accent4 13" xfId="278"/>
    <cellStyle name="40% - Accent4 14" xfId="797"/>
    <cellStyle name="40% - Accent4 14 2" xfId="949"/>
    <cellStyle name="40% - Accent4 14 3" xfId="1077"/>
    <cellStyle name="40% - Accent4 15" xfId="908"/>
    <cellStyle name="40% - Accent4 16" xfId="1036"/>
    <cellStyle name="40% - Accent4 2" xfId="279"/>
    <cellStyle name="40% - Accent4 2 2" xfId="280"/>
    <cellStyle name="40% - Accent4 2 3" xfId="281"/>
    <cellStyle name="40% - Accent4 2_10-15-10-Stmt AU - Period I - Working 1 0" xfId="282"/>
    <cellStyle name="40% - Accent4 3" xfId="283"/>
    <cellStyle name="40% - Accent4 3 2" xfId="284"/>
    <cellStyle name="40% - Accent4 3 3" xfId="285"/>
    <cellStyle name="40% - Accent4 3_10-15-10-Stmt AU - Period I - Working 1 0" xfId="286"/>
    <cellStyle name="40% - Accent4 4" xfId="287"/>
    <cellStyle name="40% - Accent4 4 2" xfId="288"/>
    <cellStyle name="40% - Accent4 4 3" xfId="289"/>
    <cellStyle name="40% - Accent4 4_10-15-10-Stmt AU - Period I - Working 1 0" xfId="290"/>
    <cellStyle name="40% - Accent4 5" xfId="291"/>
    <cellStyle name="40% - Accent4 5 2" xfId="292"/>
    <cellStyle name="40% - Accent4 5 3" xfId="293"/>
    <cellStyle name="40% - Accent4 5_10-15-10-Stmt AU - Period I - Working 1 0" xfId="294"/>
    <cellStyle name="40% - Accent4 6" xfId="295"/>
    <cellStyle name="40% - Accent4 6 2" xfId="296"/>
    <cellStyle name="40% - Accent4 6 3" xfId="297"/>
    <cellStyle name="40% - Accent4 6_10-15-10-Stmt AU - Period I - Working 1 0" xfId="298"/>
    <cellStyle name="40% - Accent4 7" xfId="299"/>
    <cellStyle name="40% - Accent4 7 2" xfId="300"/>
    <cellStyle name="40% - Accent4 7 3" xfId="301"/>
    <cellStyle name="40% - Accent4 7_10-15-10-Stmt AU - Period I - Working 1 0" xfId="302"/>
    <cellStyle name="40% - Accent4 8" xfId="303"/>
    <cellStyle name="40% - Accent4 9" xfId="304"/>
    <cellStyle name="40% - Accent5" xfId="739" builtinId="47" customBuiltin="1"/>
    <cellStyle name="40% - Accent5 10" xfId="305"/>
    <cellStyle name="40% - Accent5 11" xfId="306"/>
    <cellStyle name="40% - Accent5 12" xfId="307"/>
    <cellStyle name="40% - Accent5 13" xfId="308"/>
    <cellStyle name="40% - Accent5 14" xfId="798"/>
    <cellStyle name="40% - Accent5 14 2" xfId="950"/>
    <cellStyle name="40% - Accent5 14 3" xfId="1078"/>
    <cellStyle name="40% - Accent5 15" xfId="910"/>
    <cellStyle name="40% - Accent5 16" xfId="1038"/>
    <cellStyle name="40% - Accent5 2" xfId="309"/>
    <cellStyle name="40% - Accent5 2 2" xfId="310"/>
    <cellStyle name="40% - Accent5 2 3" xfId="311"/>
    <cellStyle name="40% - Accent5 2_10-15-10-Stmt AU - Period I - Working 1 0" xfId="312"/>
    <cellStyle name="40% - Accent5 3" xfId="313"/>
    <cellStyle name="40% - Accent5 3 2" xfId="314"/>
    <cellStyle name="40% - Accent5 3 3" xfId="315"/>
    <cellStyle name="40% - Accent5 3_10-15-10-Stmt AU - Period I - Working 1 0" xfId="316"/>
    <cellStyle name="40% - Accent5 4" xfId="317"/>
    <cellStyle name="40% - Accent5 4 2" xfId="318"/>
    <cellStyle name="40% - Accent5 4 3" xfId="319"/>
    <cellStyle name="40% - Accent5 4_10-15-10-Stmt AU - Period I - Working 1 0" xfId="320"/>
    <cellStyle name="40% - Accent5 5" xfId="321"/>
    <cellStyle name="40% - Accent5 5 2" xfId="322"/>
    <cellStyle name="40% - Accent5 5 3" xfId="323"/>
    <cellStyle name="40% - Accent5 5_10-15-10-Stmt AU - Period I - Working 1 0" xfId="324"/>
    <cellStyle name="40% - Accent5 6" xfId="325"/>
    <cellStyle name="40% - Accent5 6 2" xfId="326"/>
    <cellStyle name="40% - Accent5 6 3" xfId="327"/>
    <cellStyle name="40% - Accent5 6_10-15-10-Stmt AU - Period I - Working 1 0" xfId="328"/>
    <cellStyle name="40% - Accent5 7" xfId="329"/>
    <cellStyle name="40% - Accent5 7 2" xfId="330"/>
    <cellStyle name="40% - Accent5 7 3" xfId="331"/>
    <cellStyle name="40% - Accent5 7_10-15-10-Stmt AU - Period I - Working 1 0" xfId="332"/>
    <cellStyle name="40% - Accent5 8" xfId="333"/>
    <cellStyle name="40% - Accent5 9" xfId="334"/>
    <cellStyle name="40% - Accent6" xfId="743" builtinId="51" customBuiltin="1"/>
    <cellStyle name="40% - Accent6 10" xfId="335"/>
    <cellStyle name="40% - Accent6 11" xfId="336"/>
    <cellStyle name="40% - Accent6 12" xfId="337"/>
    <cellStyle name="40% - Accent6 13" xfId="338"/>
    <cellStyle name="40% - Accent6 14" xfId="799"/>
    <cellStyle name="40% - Accent6 14 2" xfId="951"/>
    <cellStyle name="40% - Accent6 14 3" xfId="1079"/>
    <cellStyle name="40% - Accent6 15" xfId="912"/>
    <cellStyle name="40% - Accent6 16" xfId="1040"/>
    <cellStyle name="40% - Accent6 2" xfId="339"/>
    <cellStyle name="40% - Accent6 2 2" xfId="340"/>
    <cellStyle name="40% - Accent6 2 3" xfId="341"/>
    <cellStyle name="40% - Accent6 2_10-15-10-Stmt AU - Period I - Working 1 0" xfId="342"/>
    <cellStyle name="40% - Accent6 3" xfId="343"/>
    <cellStyle name="40% - Accent6 3 2" xfId="344"/>
    <cellStyle name="40% - Accent6 3 3" xfId="345"/>
    <cellStyle name="40% - Accent6 3_10-15-10-Stmt AU - Period I - Working 1 0" xfId="346"/>
    <cellStyle name="40% - Accent6 4" xfId="347"/>
    <cellStyle name="40% - Accent6 4 2" xfId="348"/>
    <cellStyle name="40% - Accent6 4 3" xfId="349"/>
    <cellStyle name="40% - Accent6 4_10-15-10-Stmt AU - Period I - Working 1 0" xfId="350"/>
    <cellStyle name="40% - Accent6 5" xfId="351"/>
    <cellStyle name="40% - Accent6 5 2" xfId="352"/>
    <cellStyle name="40% - Accent6 5 3" xfId="353"/>
    <cellStyle name="40% - Accent6 5_10-15-10-Stmt AU - Period I - Working 1 0" xfId="354"/>
    <cellStyle name="40% - Accent6 6" xfId="355"/>
    <cellStyle name="40% - Accent6 6 2" xfId="356"/>
    <cellStyle name="40% - Accent6 6 3" xfId="357"/>
    <cellStyle name="40% - Accent6 6_10-15-10-Stmt AU - Period I - Working 1 0" xfId="358"/>
    <cellStyle name="40% - Accent6 7" xfId="359"/>
    <cellStyle name="40% - Accent6 7 2" xfId="360"/>
    <cellStyle name="40% - Accent6 7 3" xfId="361"/>
    <cellStyle name="40% - Accent6 7_10-15-10-Stmt AU - Period I - Working 1 0" xfId="362"/>
    <cellStyle name="40% - Accent6 8" xfId="363"/>
    <cellStyle name="40% - Accent6 9" xfId="364"/>
    <cellStyle name="60% - Accent1" xfId="724" builtinId="32" customBuiltin="1"/>
    <cellStyle name="60% - Accent1 2" xfId="365"/>
    <cellStyle name="60% - Accent2" xfId="728" builtinId="36" customBuiltin="1"/>
    <cellStyle name="60% - Accent2 2" xfId="366"/>
    <cellStyle name="60% - Accent3" xfId="732" builtinId="40" customBuiltin="1"/>
    <cellStyle name="60% - Accent3 2" xfId="367"/>
    <cellStyle name="60% - Accent4" xfId="736" builtinId="44" customBuiltin="1"/>
    <cellStyle name="60% - Accent4 2" xfId="368"/>
    <cellStyle name="60% - Accent5" xfId="740" builtinId="48" customBuiltin="1"/>
    <cellStyle name="60% - Accent5 2" xfId="369"/>
    <cellStyle name="60% - Accent6" xfId="744" builtinId="52" customBuiltin="1"/>
    <cellStyle name="60% - Accent6 2" xfId="370"/>
    <cellStyle name="Accent1" xfId="721" builtinId="29" customBuiltin="1"/>
    <cellStyle name="Accent1 2" xfId="371"/>
    <cellStyle name="Accent2" xfId="725" builtinId="33" customBuiltin="1"/>
    <cellStyle name="Accent2 2" xfId="372"/>
    <cellStyle name="Accent3" xfId="729" builtinId="37" customBuiltin="1"/>
    <cellStyle name="Accent3 2" xfId="373"/>
    <cellStyle name="Accent4" xfId="733" builtinId="41" customBuiltin="1"/>
    <cellStyle name="Accent4 2" xfId="374"/>
    <cellStyle name="Accent5" xfId="737" builtinId="45" customBuiltin="1"/>
    <cellStyle name="Accent5 2" xfId="375"/>
    <cellStyle name="Accent6" xfId="741" builtinId="49" customBuiltin="1"/>
    <cellStyle name="Accent6 2" xfId="376"/>
    <cellStyle name="Bad" xfId="711" builtinId="27" customBuiltin="1"/>
    <cellStyle name="Bad 2" xfId="377"/>
    <cellStyle name="Calculation" xfId="715" builtinId="22" customBuiltin="1"/>
    <cellStyle name="Calculation 2" xfId="378"/>
    <cellStyle name="Check Cell" xfId="717" builtinId="23" customBuiltin="1"/>
    <cellStyle name="Check Cell 2" xfId="379"/>
    <cellStyle name="Column.Head" xfId="380"/>
    <cellStyle name="Comma" xfId="381" builtinId="3"/>
    <cellStyle name="Comma [0] 2" xfId="1158"/>
    <cellStyle name="Comma 10" xfId="382"/>
    <cellStyle name="Comma 10 2" xfId="383"/>
    <cellStyle name="Comma 109" xfId="1157"/>
    <cellStyle name="Comma 11" xfId="384"/>
    <cellStyle name="Comma 11 2" xfId="385"/>
    <cellStyle name="Comma 12" xfId="386"/>
    <cellStyle name="Comma 12 2" xfId="387"/>
    <cellStyle name="Comma 13" xfId="388"/>
    <cellStyle name="Comma 13 2" xfId="389"/>
    <cellStyle name="Comma 14" xfId="747"/>
    <cellStyle name="Comma 15" xfId="746"/>
    <cellStyle name="Comma 15 2" xfId="868"/>
    <cellStyle name="Comma 15 2 2" xfId="997"/>
    <cellStyle name="Comma 15 2 3" xfId="1125"/>
    <cellStyle name="Comma 15 3" xfId="914"/>
    <cellStyle name="Comma 15 4" xfId="1042"/>
    <cellStyle name="Comma 16" xfId="802"/>
    <cellStyle name="Comma 16 2" xfId="954"/>
    <cellStyle name="Comma 16 3" xfId="1082"/>
    <cellStyle name="Comma 17" xfId="845"/>
    <cellStyle name="Comma 18" xfId="857"/>
    <cellStyle name="Comma 19" xfId="840"/>
    <cellStyle name="Comma 2" xfId="390"/>
    <cellStyle name="Comma 2 2" xfId="391"/>
    <cellStyle name="Comma 2 2 2" xfId="392"/>
    <cellStyle name="Comma 2 3" xfId="393"/>
    <cellStyle name="Comma 2 4" xfId="394"/>
    <cellStyle name="Comma 3" xfId="395"/>
    <cellStyle name="Comma 3 2" xfId="396"/>
    <cellStyle name="Comma 3 3" xfId="397"/>
    <cellStyle name="Comma 3 4" xfId="398"/>
    <cellStyle name="Comma 3 5" xfId="774"/>
    <cellStyle name="Comma 3 5 2" xfId="881"/>
    <cellStyle name="Comma 3 5 2 2" xfId="1010"/>
    <cellStyle name="Comma 3 5 2 3" xfId="1138"/>
    <cellStyle name="Comma 3 5 3" xfId="926"/>
    <cellStyle name="Comma 3 5 4" xfId="1054"/>
    <cellStyle name="Comma 3 6" xfId="803"/>
    <cellStyle name="Comma 3 6 2" xfId="955"/>
    <cellStyle name="Comma 3 6 3" xfId="1083"/>
    <cellStyle name="Comma 4" xfId="399"/>
    <cellStyle name="Comma 4 2" xfId="400"/>
    <cellStyle name="Comma 4 2 2" xfId="401"/>
    <cellStyle name="Comma 4 3" xfId="402"/>
    <cellStyle name="Comma 5" xfId="403"/>
    <cellStyle name="Comma 5 2" xfId="404"/>
    <cellStyle name="Comma 5 2 2" xfId="405"/>
    <cellStyle name="Comma 5 3" xfId="406"/>
    <cellStyle name="Comma 6" xfId="407"/>
    <cellStyle name="Comma 6 2" xfId="408"/>
    <cellStyle name="Comma 6 2 2" xfId="409"/>
    <cellStyle name="Comma 6 3" xfId="410"/>
    <cellStyle name="Comma 7" xfId="411"/>
    <cellStyle name="Comma 7 2" xfId="412"/>
    <cellStyle name="Comma 7 3" xfId="748"/>
    <cellStyle name="Comma 8" xfId="413"/>
    <cellStyle name="Comma 8 2" xfId="414"/>
    <cellStyle name="Comma 8 3" xfId="749"/>
    <cellStyle name="Comma 9" xfId="415"/>
    <cellStyle name="Comma 9 2" xfId="416"/>
    <cellStyle name="Comma0" xfId="417"/>
    <cellStyle name="Config Data" xfId="418"/>
    <cellStyle name="cost_per_kw" xfId="419"/>
    <cellStyle name="Currency" xfId="420" builtinId="4"/>
    <cellStyle name="Currency 2" xfId="421"/>
    <cellStyle name="Currency 2 2" xfId="422"/>
    <cellStyle name="Currency 3" xfId="423"/>
    <cellStyle name="Currency 3 2" xfId="424"/>
    <cellStyle name="Currency 3 3" xfId="772"/>
    <cellStyle name="Currency 3 3 2" xfId="879"/>
    <cellStyle name="Currency 3 3 2 2" xfId="1008"/>
    <cellStyle name="Currency 3 3 2 3" xfId="1136"/>
    <cellStyle name="Currency 3 3 3" xfId="924"/>
    <cellStyle name="Currency 3 3 4" xfId="1052"/>
    <cellStyle name="Currency 3 4" xfId="805"/>
    <cellStyle name="Currency 3 4 2" xfId="957"/>
    <cellStyle name="Currency 3 4 3" xfId="1085"/>
    <cellStyle name="Currency 4" xfId="425"/>
    <cellStyle name="Currency 4 2" xfId="751"/>
    <cellStyle name="Currency 5" xfId="750"/>
    <cellStyle name="Currency 6" xfId="773"/>
    <cellStyle name="Currency 6 2" xfId="880"/>
    <cellStyle name="Currency 6 2 2" xfId="1009"/>
    <cellStyle name="Currency 6 2 3" xfId="1137"/>
    <cellStyle name="Currency 6 3" xfId="925"/>
    <cellStyle name="Currency 6 4" xfId="1053"/>
    <cellStyle name="Currency 7" xfId="804"/>
    <cellStyle name="Currency 7 2" xfId="956"/>
    <cellStyle name="Currency 7 3" xfId="1084"/>
    <cellStyle name="Currency 8" xfId="846"/>
    <cellStyle name="Currency 9" xfId="843"/>
    <cellStyle name="Currency0" xfId="426"/>
    <cellStyle name="Date" xfId="427"/>
    <cellStyle name="Explanatory Text" xfId="719" builtinId="53" customBuiltin="1"/>
    <cellStyle name="Explanatory Text 2" xfId="428"/>
    <cellStyle name="Fixed" xfId="429"/>
    <cellStyle name="Good" xfId="710" builtinId="26" customBuiltin="1"/>
    <cellStyle name="Good 2" xfId="430"/>
    <cellStyle name="Heading 1" xfId="706" builtinId="16" customBuiltin="1"/>
    <cellStyle name="Heading 1 2" xfId="431"/>
    <cellStyle name="Heading 2" xfId="707" builtinId="17" customBuiltin="1"/>
    <cellStyle name="Heading 2 2" xfId="432"/>
    <cellStyle name="Heading 3" xfId="708" builtinId="18" customBuiltin="1"/>
    <cellStyle name="Heading 3 2" xfId="433"/>
    <cellStyle name="Heading 4" xfId="709" builtinId="19" customBuiltin="1"/>
    <cellStyle name="Heading 4 2" xfId="434"/>
    <cellStyle name="Hyperlink 2" xfId="435"/>
    <cellStyle name="Hyperlink 3" xfId="436"/>
    <cellStyle name="Hyperlink 4" xfId="437"/>
    <cellStyle name="Hyperlink 5" xfId="438"/>
    <cellStyle name="Hyperlink 6" xfId="439"/>
    <cellStyle name="Input" xfId="713" builtinId="20" customBuiltin="1"/>
    <cellStyle name="Input 2" xfId="440"/>
    <cellStyle name="kwh_centered" xfId="441"/>
    <cellStyle name="Linked Cell" xfId="716" builtinId="24" customBuiltin="1"/>
    <cellStyle name="Linked Cell 2" xfId="442"/>
    <cellStyle name="Neutral" xfId="712" builtinId="28" customBuiltin="1"/>
    <cellStyle name="Neutral 2" xfId="443"/>
    <cellStyle name="Normal" xfId="0" builtinId="0"/>
    <cellStyle name="Normal 10" xfId="444"/>
    <cellStyle name="Normal 10 2" xfId="445"/>
    <cellStyle name="Normal 10 2 2" xfId="446"/>
    <cellStyle name="Normal 10 3" xfId="447"/>
    <cellStyle name="Normal 10 4" xfId="752"/>
    <cellStyle name="Normal 10_10-15-10-Stmt AU - Period I - Working 1 0" xfId="448"/>
    <cellStyle name="Normal 11" xfId="449"/>
    <cellStyle name="Normal 11 2" xfId="450"/>
    <cellStyle name="Normal 11 3" xfId="753"/>
    <cellStyle name="Normal 11_3 - Revenue Credits" xfId="451"/>
    <cellStyle name="Normal 12" xfId="452"/>
    <cellStyle name="Normal 12 2" xfId="453"/>
    <cellStyle name="Normal 12 2 2" xfId="454"/>
    <cellStyle name="Normal 12 3" xfId="455"/>
    <cellStyle name="Normal 12_3 - Revenue Credits" xfId="456"/>
    <cellStyle name="Normal 13" xfId="457"/>
    <cellStyle name="Normal 13 2" xfId="458"/>
    <cellStyle name="Normal 13 2 2" xfId="459"/>
    <cellStyle name="Normal 13 2 3" xfId="755"/>
    <cellStyle name="Normal 13 2_3 - Revenue Credits" xfId="460"/>
    <cellStyle name="Normal 13 3" xfId="461"/>
    <cellStyle name="Normal 13 4" xfId="754"/>
    <cellStyle name="Normal 13_3 - Revenue Credits" xfId="462"/>
    <cellStyle name="Normal 14" xfId="463"/>
    <cellStyle name="Normal 15" xfId="464"/>
    <cellStyle name="Normal 16" xfId="745"/>
    <cellStyle name="Normal 16 2" xfId="867"/>
    <cellStyle name="Normal 16 2 2" xfId="996"/>
    <cellStyle name="Normal 16 2 3" xfId="1124"/>
    <cellStyle name="Normal 16 3" xfId="913"/>
    <cellStyle name="Normal 16 4" xfId="1041"/>
    <cellStyle name="Normal 17" xfId="777"/>
    <cellStyle name="Normal 17 2" xfId="884"/>
    <cellStyle name="Normal 17 2 2" xfId="1013"/>
    <cellStyle name="Normal 17 2 3" xfId="1141"/>
    <cellStyle name="Normal 17 3" xfId="929"/>
    <cellStyle name="Normal 17 4" xfId="1057"/>
    <cellStyle name="Normal 18" xfId="778"/>
    <cellStyle name="Normal 18 2" xfId="885"/>
    <cellStyle name="Normal 18 2 2" xfId="1014"/>
    <cellStyle name="Normal 18 2 3" xfId="1142"/>
    <cellStyle name="Normal 18 3" xfId="930"/>
    <cellStyle name="Normal 18 4" xfId="1058"/>
    <cellStyle name="Normal 19" xfId="779"/>
    <cellStyle name="Normal 19 2" xfId="886"/>
    <cellStyle name="Normal 19 2 2" xfId="1015"/>
    <cellStyle name="Normal 19 2 3" xfId="1143"/>
    <cellStyle name="Normal 19 3" xfId="931"/>
    <cellStyle name="Normal 19 4" xfId="1059"/>
    <cellStyle name="Normal 2" xfId="465"/>
    <cellStyle name="Normal 2 2" xfId="466"/>
    <cellStyle name="Normal 2 2 2" xfId="467"/>
    <cellStyle name="Normal 2 2_1 - ADIT" xfId="468"/>
    <cellStyle name="Normal 2 3" xfId="469"/>
    <cellStyle name="Normal 2 3 2" xfId="470"/>
    <cellStyle name="Normal 2 4" xfId="471"/>
    <cellStyle name="Normal 2_1 - ADIT" xfId="472"/>
    <cellStyle name="Normal 2_5 - Cost Support" xfId="473"/>
    <cellStyle name="Normal 2_6 - Est and True up" xfId="474"/>
    <cellStyle name="Normal 2_6A-Colstrip" xfId="475"/>
    <cellStyle name="Normal 2_6B-So Intertie" xfId="476"/>
    <cellStyle name="Normal 2_WKSHT5 - Prepaid" xfId="477"/>
    <cellStyle name="Normal 20" xfId="780"/>
    <cellStyle name="Normal 20 2" xfId="887"/>
    <cellStyle name="Normal 20 2 2" xfId="1016"/>
    <cellStyle name="Normal 20 2 3" xfId="1144"/>
    <cellStyle name="Normal 20 3" xfId="932"/>
    <cellStyle name="Normal 20 4" xfId="1060"/>
    <cellStyle name="Normal 21" xfId="781"/>
    <cellStyle name="Normal 21 2" xfId="888"/>
    <cellStyle name="Normal 21 2 2" xfId="1017"/>
    <cellStyle name="Normal 21 2 3" xfId="1145"/>
    <cellStyle name="Normal 21 3" xfId="933"/>
    <cellStyle name="Normal 21 4" xfId="1061"/>
    <cellStyle name="Normal 22" xfId="782"/>
    <cellStyle name="Normal 22 2" xfId="889"/>
    <cellStyle name="Normal 22 2 2" xfId="1018"/>
    <cellStyle name="Normal 22 2 3" xfId="1146"/>
    <cellStyle name="Normal 22 3" xfId="934"/>
    <cellStyle name="Normal 22 4" xfId="1062"/>
    <cellStyle name="Normal 23" xfId="783"/>
    <cellStyle name="Normal 23 2" xfId="890"/>
    <cellStyle name="Normal 23 2 2" xfId="1019"/>
    <cellStyle name="Normal 23 2 3" xfId="1147"/>
    <cellStyle name="Normal 23 3" xfId="935"/>
    <cellStyle name="Normal 23 4" xfId="1063"/>
    <cellStyle name="Normal 24" xfId="784"/>
    <cellStyle name="Normal 24 2" xfId="891"/>
    <cellStyle name="Normal 24 2 2" xfId="1020"/>
    <cellStyle name="Normal 24 2 3" xfId="1148"/>
    <cellStyle name="Normal 24 3" xfId="936"/>
    <cellStyle name="Normal 24 4" xfId="1064"/>
    <cellStyle name="Normal 25" xfId="785"/>
    <cellStyle name="Normal 25 2" xfId="892"/>
    <cellStyle name="Normal 25 2 2" xfId="1021"/>
    <cellStyle name="Normal 25 2 3" xfId="1149"/>
    <cellStyle name="Normal 25 3" xfId="937"/>
    <cellStyle name="Normal 25 4" xfId="1065"/>
    <cellStyle name="Normal 26" xfId="786"/>
    <cellStyle name="Normal 26 2" xfId="893"/>
    <cellStyle name="Normal 26 2 2" xfId="1022"/>
    <cellStyle name="Normal 26 2 3" xfId="1150"/>
    <cellStyle name="Normal 26 3" xfId="938"/>
    <cellStyle name="Normal 26 4" xfId="1066"/>
    <cellStyle name="Normal 27" xfId="776"/>
    <cellStyle name="Normal 27 2" xfId="883"/>
    <cellStyle name="Normal 27 2 2" xfId="1012"/>
    <cellStyle name="Normal 27 2 3" xfId="1140"/>
    <cellStyle name="Normal 27 3" xfId="928"/>
    <cellStyle name="Normal 27 4" xfId="1056"/>
    <cellStyle name="Normal 28" xfId="764"/>
    <cellStyle name="Normal 28 2" xfId="872"/>
    <cellStyle name="Normal 28 2 2" xfId="1001"/>
    <cellStyle name="Normal 28 2 3" xfId="1129"/>
    <cellStyle name="Normal 28 3" xfId="918"/>
    <cellStyle name="Normal 28 4" xfId="1046"/>
    <cellStyle name="Normal 29" xfId="787"/>
    <cellStyle name="Normal 29 2" xfId="939"/>
    <cellStyle name="Normal 29 3" xfId="1067"/>
    <cellStyle name="Normal 3" xfId="478"/>
    <cellStyle name="Normal 3 10" xfId="815"/>
    <cellStyle name="Normal 3 10 2" xfId="966"/>
    <cellStyle name="Normal 3 10 3" xfId="1094"/>
    <cellStyle name="Normal 3 2" xfId="479"/>
    <cellStyle name="Normal 3 2 2" xfId="480"/>
    <cellStyle name="Normal 3 2 2 2" xfId="481"/>
    <cellStyle name="Normal 3 2 3" xfId="482"/>
    <cellStyle name="Normal 3 2_5 - Cost Support" xfId="483"/>
    <cellStyle name="Normal 3 3" xfId="484"/>
    <cellStyle name="Normal 3 3 2" xfId="485"/>
    <cellStyle name="Normal 3 3 2 2" xfId="486"/>
    <cellStyle name="Normal 3 3 3" xfId="487"/>
    <cellStyle name="Normal 3 4" xfId="488"/>
    <cellStyle name="Normal 3 4 2" xfId="489"/>
    <cellStyle name="Normal 3 5" xfId="490"/>
    <cellStyle name="Normal 3 6" xfId="491"/>
    <cellStyle name="Normal 3 7" xfId="771"/>
    <cellStyle name="Normal 3 7 2" xfId="878"/>
    <cellStyle name="Normal 3 7 2 2" xfId="1007"/>
    <cellStyle name="Normal 3 7 2 3" xfId="1135"/>
    <cellStyle name="Normal 3 7 3" xfId="923"/>
    <cellStyle name="Normal 3 7 4" xfId="1051"/>
    <cellStyle name="Normal 3 8" xfId="775"/>
    <cellStyle name="Normal 3 8 2" xfId="882"/>
    <cellStyle name="Normal 3 8 2 2" xfId="1011"/>
    <cellStyle name="Normal 3 8 2 3" xfId="1139"/>
    <cellStyle name="Normal 3 8 3" xfId="927"/>
    <cellStyle name="Normal 3 8 4" xfId="1055"/>
    <cellStyle name="Normal 3 9" xfId="807"/>
    <cellStyle name="Normal 3 9 2" xfId="959"/>
    <cellStyle name="Normal 3 9 3" xfId="1087"/>
    <cellStyle name="Normal 3_10-15-10-Stmt AU - Period I - Working 1 0" xfId="492"/>
    <cellStyle name="Normal 30" xfId="812"/>
    <cellStyle name="Normal 30 2" xfId="964"/>
    <cellStyle name="Normal 30 3" xfId="1092"/>
    <cellStyle name="Normal 31" xfId="817"/>
    <cellStyle name="Normal 32" xfId="814"/>
    <cellStyle name="Normal 32 2" xfId="965"/>
    <cellStyle name="Normal 32 3" xfId="1093"/>
    <cellStyle name="Normal 33" xfId="866"/>
    <cellStyle name="Normal 33 2" xfId="995"/>
    <cellStyle name="Normal 33 3" xfId="1123"/>
    <cellStyle name="Normal 34" xfId="820"/>
    <cellStyle name="Normal 34 2" xfId="970"/>
    <cellStyle name="Normal 34 3" xfId="1098"/>
    <cellStyle name="Normal 35" xfId="859"/>
    <cellStyle name="Normal 35 2" xfId="991"/>
    <cellStyle name="Normal 35 3" xfId="1119"/>
    <cellStyle name="Normal 36" xfId="829"/>
    <cellStyle name="Normal 36 2" xfId="974"/>
    <cellStyle name="Normal 36 3" xfId="1102"/>
    <cellStyle name="Normal 37" xfId="851"/>
    <cellStyle name="Normal 37 2" xfId="984"/>
    <cellStyle name="Normal 37 3" xfId="1112"/>
    <cellStyle name="Normal 38" xfId="836"/>
    <cellStyle name="Normal 38 2" xfId="979"/>
    <cellStyle name="Normal 38 3" xfId="1107"/>
    <cellStyle name="Normal 39" xfId="897"/>
    <cellStyle name="Normal 39 2" xfId="1026"/>
    <cellStyle name="Normal 39 3" xfId="1154"/>
    <cellStyle name="Normal 4" xfId="493"/>
    <cellStyle name="Normal 4 2" xfId="494"/>
    <cellStyle name="Normal 4 2 2" xfId="495"/>
    <cellStyle name="Normal 4 3" xfId="496"/>
    <cellStyle name="Normal 4 4" xfId="756"/>
    <cellStyle name="Normal 4 4 2" xfId="869"/>
    <cellStyle name="Normal 4 4 2 2" xfId="998"/>
    <cellStyle name="Normal 4 4 2 3" xfId="1126"/>
    <cellStyle name="Normal 4 4 3" xfId="915"/>
    <cellStyle name="Normal 4 4 4" xfId="1043"/>
    <cellStyle name="Normal 4 5" xfId="853"/>
    <cellStyle name="Normal 4 5 2" xfId="986"/>
    <cellStyle name="Normal 4 5 3" xfId="1114"/>
    <cellStyle name="Normal 4 6" xfId="899"/>
    <cellStyle name="Normal 4 7" xfId="1027"/>
    <cellStyle name="Normal 4_3 - Revenue Credits" xfId="497"/>
    <cellStyle name="Normal 40" xfId="833"/>
    <cellStyle name="Normal 40 2" xfId="977"/>
    <cellStyle name="Normal 40 3" xfId="1105"/>
    <cellStyle name="Normal 41" xfId="850"/>
    <cellStyle name="Normal 41 2" xfId="983"/>
    <cellStyle name="Normal 41 3" xfId="1111"/>
    <cellStyle name="Normal 42" xfId="895"/>
    <cellStyle name="Normal 42 2" xfId="1024"/>
    <cellStyle name="Normal 42 3" xfId="1152"/>
    <cellStyle name="Normal 43" xfId="860"/>
    <cellStyle name="Normal 43 2" xfId="992"/>
    <cellStyle name="Normal 43 3" xfId="1120"/>
    <cellStyle name="Normal 44" xfId="801"/>
    <cellStyle name="Normal 44 2" xfId="953"/>
    <cellStyle name="Normal 44 3" xfId="1081"/>
    <cellStyle name="Normal 45" xfId="855"/>
    <cellStyle name="Normal 45 2" xfId="988"/>
    <cellStyle name="Normal 45 3" xfId="1116"/>
    <cellStyle name="Normal 46" xfId="852"/>
    <cellStyle name="Normal 46 2" xfId="985"/>
    <cellStyle name="Normal 46 3" xfId="1113"/>
    <cellStyle name="Normal 47" xfId="842"/>
    <cellStyle name="Normal 47 2" xfId="981"/>
    <cellStyle name="Normal 47 3" xfId="1109"/>
    <cellStyle name="Normal 48" xfId="825"/>
    <cellStyle name="Normal 48 2" xfId="973"/>
    <cellStyle name="Normal 48 3" xfId="1101"/>
    <cellStyle name="Normal 49" xfId="841"/>
    <cellStyle name="Normal 5" xfId="498"/>
    <cellStyle name="Normal 5 2" xfId="499"/>
    <cellStyle name="Normal 5 2 2" xfId="500"/>
    <cellStyle name="Normal 5 2 2 2" xfId="501"/>
    <cellStyle name="Normal 5 2 3" xfId="502"/>
    <cellStyle name="Normal 5 3" xfId="503"/>
    <cellStyle name="Normal 5 3 2" xfId="504"/>
    <cellStyle name="Normal 5 3 2 2" xfId="505"/>
    <cellStyle name="Normal 5 3 3" xfId="506"/>
    <cellStyle name="Normal 5 4" xfId="507"/>
    <cellStyle name="Normal 5 4 2" xfId="508"/>
    <cellStyle name="Normal 5 5" xfId="509"/>
    <cellStyle name="Normal 5 6" xfId="757"/>
    <cellStyle name="Normal 5 6 2" xfId="870"/>
    <cellStyle name="Normal 5 6 2 2" xfId="999"/>
    <cellStyle name="Normal 5 6 2 3" xfId="1127"/>
    <cellStyle name="Normal 5 6 3" xfId="916"/>
    <cellStyle name="Normal 5 6 4" xfId="1044"/>
    <cellStyle name="Normal 5 7" xfId="854"/>
    <cellStyle name="Normal 5 7 2" xfId="987"/>
    <cellStyle name="Normal 5 7 3" xfId="1115"/>
    <cellStyle name="Normal 5 8" xfId="900"/>
    <cellStyle name="Normal 5 9" xfId="1028"/>
    <cellStyle name="Normal 5_10-15-10-Stmt AU - Period I - Working 1 0" xfId="510"/>
    <cellStyle name="Normal 50" xfId="898"/>
    <cellStyle name="Normal 51" xfId="830"/>
    <cellStyle name="Normal 51 2" xfId="975"/>
    <cellStyle name="Normal 51 3" xfId="1103"/>
    <cellStyle name="Normal 6" xfId="511"/>
    <cellStyle name="Normal 6 2" xfId="512"/>
    <cellStyle name="Normal 6 2 2" xfId="513"/>
    <cellStyle name="Normal 6 2 2 2" xfId="514"/>
    <cellStyle name="Normal 6 2 3" xfId="515"/>
    <cellStyle name="Normal 6 3" xfId="516"/>
    <cellStyle name="Normal 6 3 2" xfId="517"/>
    <cellStyle name="Normal 6 3 2 2" xfId="518"/>
    <cellStyle name="Normal 6 3 3" xfId="519"/>
    <cellStyle name="Normal 6 4" xfId="520"/>
    <cellStyle name="Normal 6 4 2" xfId="521"/>
    <cellStyle name="Normal 6 5" xfId="522"/>
    <cellStyle name="Normal 6_10-15-10-Stmt AU - Period I - Working 1 0" xfId="523"/>
    <cellStyle name="Normal 7" xfId="524"/>
    <cellStyle name="Normal 7 2" xfId="525"/>
    <cellStyle name="Normal 7 2 2" xfId="526"/>
    <cellStyle name="Normal 7 2 2 2" xfId="527"/>
    <cellStyle name="Normal 7 2 3" xfId="528"/>
    <cellStyle name="Normal 7 3" xfId="529"/>
    <cellStyle name="Normal 7 3 2" xfId="530"/>
    <cellStyle name="Normal 7 3 2 2" xfId="531"/>
    <cellStyle name="Normal 7 3 3" xfId="532"/>
    <cellStyle name="Normal 7 4" xfId="533"/>
    <cellStyle name="Normal 7 4 2" xfId="534"/>
    <cellStyle name="Normal 7 5" xfId="535"/>
    <cellStyle name="Normal 7 6" xfId="758"/>
    <cellStyle name="Normal 7_10-15-10-Stmt AU - Period I - Working 1 0" xfId="536"/>
    <cellStyle name="Normal 8" xfId="537"/>
    <cellStyle name="Normal 8 2" xfId="538"/>
    <cellStyle name="Normal 8 2 2" xfId="539"/>
    <cellStyle name="Normal 8 2 3" xfId="760"/>
    <cellStyle name="Normal 8 2_3 - Revenue Credits" xfId="540"/>
    <cellStyle name="Normal 8 3" xfId="541"/>
    <cellStyle name="Normal 8 4" xfId="759"/>
    <cellStyle name="Normal 8_10-15-10-Stmt AU - Period I - Working 1 0" xfId="542"/>
    <cellStyle name="Normal 9" xfId="543"/>
    <cellStyle name="Normal 9 2" xfId="544"/>
    <cellStyle name="Normal 9 2 2" xfId="545"/>
    <cellStyle name="Normal 9 2 3" xfId="762"/>
    <cellStyle name="Normal 9 2_3 - Revenue Credits" xfId="546"/>
    <cellStyle name="Normal 9 3" xfId="547"/>
    <cellStyle name="Normal 9 4" xfId="761"/>
    <cellStyle name="Normal 9_10-15-10-Stmt AU - Period I - Working 1 0" xfId="548"/>
    <cellStyle name="Normal_Ferc pg 328-330 Transmission for Others for import_WKSHT1 - Rev Credits" xfId="549"/>
    <cellStyle name="Normal_FN1 Ratebase Draft SPP template (6-11-04) v2" xfId="550"/>
    <cellStyle name="Normal_Sheet4_WKSHT1 - Rev Credits" xfId="551"/>
    <cellStyle name="Normal_TrAILCo attach 6 &amp; 7 and Appendix A" xfId="552"/>
    <cellStyle name="Note 10" xfId="553"/>
    <cellStyle name="Note 10 2" xfId="554"/>
    <cellStyle name="Note 10 2 2" xfId="555"/>
    <cellStyle name="Note 10 2_6 - Est and True up" xfId="556"/>
    <cellStyle name="Note 10 3" xfId="557"/>
    <cellStyle name="Note 10 3 2" xfId="558"/>
    <cellStyle name="Note 10 3_6 - Est and True up" xfId="559"/>
    <cellStyle name="Note 10 4" xfId="560"/>
    <cellStyle name="Note 10_6 - Est and True up" xfId="561"/>
    <cellStyle name="Note 11" xfId="562"/>
    <cellStyle name="Note 11 2" xfId="563"/>
    <cellStyle name="Note 11_6 - Est and True up" xfId="564"/>
    <cellStyle name="Note 12" xfId="565"/>
    <cellStyle name="Note 12 2" xfId="566"/>
    <cellStyle name="Note 12_6 - Est and True up" xfId="567"/>
    <cellStyle name="Note 13" xfId="568"/>
    <cellStyle name="Note 13 2" xfId="569"/>
    <cellStyle name="Note 13_6 - Est and True up" xfId="570"/>
    <cellStyle name="Note 14" xfId="571"/>
    <cellStyle name="Note 14 2" xfId="572"/>
    <cellStyle name="Note 14_6 - Est and True up" xfId="573"/>
    <cellStyle name="Note 15" xfId="574"/>
    <cellStyle name="Note 15 2" xfId="575"/>
    <cellStyle name="Note 15_6 - Est and True up" xfId="576"/>
    <cellStyle name="Note 16" xfId="577"/>
    <cellStyle name="Note 17" xfId="770"/>
    <cellStyle name="Note 17 2" xfId="877"/>
    <cellStyle name="Note 17 2 2" xfId="1006"/>
    <cellStyle name="Note 17 2 3" xfId="1134"/>
    <cellStyle name="Note 17 3" xfId="922"/>
    <cellStyle name="Note 17 4" xfId="1050"/>
    <cellStyle name="Note 18" xfId="763"/>
    <cellStyle name="Note 18 2" xfId="871"/>
    <cellStyle name="Note 18 2 2" xfId="1000"/>
    <cellStyle name="Note 18 2 3" xfId="1128"/>
    <cellStyle name="Note 18 3" xfId="917"/>
    <cellStyle name="Note 18 4" xfId="1045"/>
    <cellStyle name="Note 19" xfId="808"/>
    <cellStyle name="Note 19 2" xfId="960"/>
    <cellStyle name="Note 19 3" xfId="1088"/>
    <cellStyle name="Note 2" xfId="578"/>
    <cellStyle name="Note 2 2" xfId="579"/>
    <cellStyle name="Note 2 3" xfId="769"/>
    <cellStyle name="Note 2 3 2" xfId="876"/>
    <cellStyle name="Note 2 3 2 2" xfId="1005"/>
    <cellStyle name="Note 2 3 2 3" xfId="1133"/>
    <cellStyle name="Note 2 3 3" xfId="921"/>
    <cellStyle name="Note 2 3 4" xfId="1049"/>
    <cellStyle name="Note 2 4" xfId="809"/>
    <cellStyle name="Note 2 4 2" xfId="961"/>
    <cellStyle name="Note 2 4 3" xfId="1089"/>
    <cellStyle name="Note 2_6 - Est and True up" xfId="580"/>
    <cellStyle name="Note 20" xfId="816"/>
    <cellStyle name="Note 20 2" xfId="967"/>
    <cellStyle name="Note 20 3" xfId="1095"/>
    <cellStyle name="Note 21" xfId="800"/>
    <cellStyle name="Note 21 2" xfId="952"/>
    <cellStyle name="Note 21 3" xfId="1080"/>
    <cellStyle name="Note 22" xfId="865"/>
    <cellStyle name="Note 22 2" xfId="994"/>
    <cellStyle name="Note 22 3" xfId="1122"/>
    <cellStyle name="Note 23" xfId="822"/>
    <cellStyle name="Note 23 2" xfId="971"/>
    <cellStyle name="Note 23 3" xfId="1099"/>
    <cellStyle name="Note 24" xfId="858"/>
    <cellStyle name="Note 24 2" xfId="990"/>
    <cellStyle name="Note 24 3" xfId="1118"/>
    <cellStyle name="Note 25" xfId="818"/>
    <cellStyle name="Note 25 2" xfId="968"/>
    <cellStyle name="Note 25 3" xfId="1096"/>
    <cellStyle name="Note 26" xfId="873"/>
    <cellStyle name="Note 26 2" xfId="1002"/>
    <cellStyle name="Note 26 3" xfId="1130"/>
    <cellStyle name="Note 27" xfId="838"/>
    <cellStyle name="Note 27 2" xfId="980"/>
    <cellStyle name="Note 27 3" xfId="1108"/>
    <cellStyle name="Note 28" xfId="856"/>
    <cellStyle name="Note 28 2" xfId="989"/>
    <cellStyle name="Note 28 3" xfId="1117"/>
    <cellStyle name="Note 29" xfId="819"/>
    <cellStyle name="Note 29 2" xfId="969"/>
    <cellStyle name="Note 29 3" xfId="1097"/>
    <cellStyle name="Note 3" xfId="581"/>
    <cellStyle name="Note 3 2" xfId="582"/>
    <cellStyle name="Note 3_6 - Est and True up" xfId="583"/>
    <cellStyle name="Note 30" xfId="848"/>
    <cellStyle name="Note 30 2" xfId="982"/>
    <cellStyle name="Note 30 3" xfId="1110"/>
    <cellStyle name="Note 31" xfId="894"/>
    <cellStyle name="Note 31 2" xfId="1023"/>
    <cellStyle name="Note 31 3" xfId="1151"/>
    <cellStyle name="Note 32" xfId="864"/>
    <cellStyle name="Note 32 2" xfId="993"/>
    <cellStyle name="Note 32 3" xfId="1121"/>
    <cellStyle name="Note 33" xfId="824"/>
    <cellStyle name="Note 33 2" xfId="972"/>
    <cellStyle name="Note 33 3" xfId="1100"/>
    <cellStyle name="Note 34" xfId="834"/>
    <cellStyle name="Note 34 2" xfId="978"/>
    <cellStyle name="Note 34 3" xfId="1106"/>
    <cellStyle name="Note 35" xfId="896"/>
    <cellStyle name="Note 35 2" xfId="1025"/>
    <cellStyle name="Note 35 3" xfId="1153"/>
    <cellStyle name="Note 36" xfId="806"/>
    <cellStyle name="Note 36 2" xfId="958"/>
    <cellStyle name="Note 36 3" xfId="1086"/>
    <cellStyle name="Note 37" xfId="831"/>
    <cellStyle name="Note 37 2" xfId="976"/>
    <cellStyle name="Note 37 3" xfId="1104"/>
    <cellStyle name="Note 38" xfId="835"/>
    <cellStyle name="Note 39" xfId="849"/>
    <cellStyle name="Note 4" xfId="584"/>
    <cellStyle name="Note 4 2" xfId="585"/>
    <cellStyle name="Note 4_6 - Est and True up" xfId="586"/>
    <cellStyle name="Note 40" xfId="827"/>
    <cellStyle name="Note 41" xfId="839"/>
    <cellStyle name="Note 42" xfId="861"/>
    <cellStyle name="Note 43" xfId="863"/>
    <cellStyle name="Note 44" xfId="847"/>
    <cellStyle name="Note 45" xfId="821"/>
    <cellStyle name="Note 46" xfId="832"/>
    <cellStyle name="Note 47" xfId="828"/>
    <cellStyle name="Note 48" xfId="826"/>
    <cellStyle name="Note 49" xfId="837"/>
    <cellStyle name="Note 5" xfId="587"/>
    <cellStyle name="Note 5 2" xfId="588"/>
    <cellStyle name="Note 5 2 2" xfId="589"/>
    <cellStyle name="Note 5 2_6 - Est and True up" xfId="590"/>
    <cellStyle name="Note 5 3" xfId="591"/>
    <cellStyle name="Note 5 3 2" xfId="592"/>
    <cellStyle name="Note 5 3_6 - Est and True up" xfId="593"/>
    <cellStyle name="Note 5 4" xfId="594"/>
    <cellStyle name="Note 5_6 - Est and True up" xfId="595"/>
    <cellStyle name="Note 50" xfId="823"/>
    <cellStyle name="Note 51" xfId="844"/>
    <cellStyle name="Note 6" xfId="596"/>
    <cellStyle name="Note 6 2" xfId="597"/>
    <cellStyle name="Note 6 2 2" xfId="598"/>
    <cellStyle name="Note 6 2_6 - Est and True up" xfId="599"/>
    <cellStyle name="Note 6 3" xfId="600"/>
    <cellStyle name="Note 6 3 2" xfId="601"/>
    <cellStyle name="Note 6 3_6 - Est and True up" xfId="602"/>
    <cellStyle name="Note 6 4" xfId="603"/>
    <cellStyle name="Note 6_6 - Est and True up" xfId="604"/>
    <cellStyle name="Note 7" xfId="605"/>
    <cellStyle name="Note 7 2" xfId="606"/>
    <cellStyle name="Note 7 2 2" xfId="607"/>
    <cellStyle name="Note 7 2_6 - Est and True up" xfId="608"/>
    <cellStyle name="Note 7 3" xfId="609"/>
    <cellStyle name="Note 7 3 2" xfId="610"/>
    <cellStyle name="Note 7 3_6 - Est and True up" xfId="611"/>
    <cellStyle name="Note 7 4" xfId="612"/>
    <cellStyle name="Note 7_6 - Est and True up" xfId="613"/>
    <cellStyle name="Note 8" xfId="614"/>
    <cellStyle name="Note 8 2" xfId="615"/>
    <cellStyle name="Note 8 2 2" xfId="616"/>
    <cellStyle name="Note 8 2_6 - Est and True up" xfId="617"/>
    <cellStyle name="Note 8 3" xfId="618"/>
    <cellStyle name="Note 8 3 2" xfId="619"/>
    <cellStyle name="Note 8 3_6 - Est and True up" xfId="620"/>
    <cellStyle name="Note 8 4" xfId="621"/>
    <cellStyle name="Note 8_6 - Est and True up" xfId="622"/>
    <cellStyle name="Note 9" xfId="623"/>
    <cellStyle name="Note 9 2" xfId="624"/>
    <cellStyle name="Note 9 2 2" xfId="625"/>
    <cellStyle name="Note 9 2_6 - Est and True up" xfId="626"/>
    <cellStyle name="Note 9 3" xfId="627"/>
    <cellStyle name="Note 9 3 2" xfId="628"/>
    <cellStyle name="Note 9 3_6 - Est and True up" xfId="629"/>
    <cellStyle name="Note 9 4" xfId="630"/>
    <cellStyle name="Note 9_6 - Est and True up" xfId="631"/>
    <cellStyle name="Output" xfId="714" builtinId="21" customBuiltin="1"/>
    <cellStyle name="Output 2" xfId="632"/>
    <cellStyle name="Percent" xfId="633" builtinId="5"/>
    <cellStyle name="Percent 10" xfId="813"/>
    <cellStyle name="Percent 2" xfId="634"/>
    <cellStyle name="Percent 2 2" xfId="635"/>
    <cellStyle name="Percent 2 2 2" xfId="636"/>
    <cellStyle name="Percent 3" xfId="637"/>
    <cellStyle name="Percent 3 2" xfId="638"/>
    <cellStyle name="Percent 3 3" xfId="767"/>
    <cellStyle name="Percent 3 3 2" xfId="874"/>
    <cellStyle name="Percent 3 3 2 2" xfId="1003"/>
    <cellStyle name="Percent 3 3 2 3" xfId="1131"/>
    <cellStyle name="Percent 3 3 3" xfId="919"/>
    <cellStyle name="Percent 3 3 4" xfId="1047"/>
    <cellStyle name="Percent 3 4" xfId="811"/>
    <cellStyle name="Percent 3 4 2" xfId="963"/>
    <cellStyle name="Percent 3 4 3" xfId="1091"/>
    <cellStyle name="Percent 4" xfId="639"/>
    <cellStyle name="Percent 4 2" xfId="640"/>
    <cellStyle name="Percent 4 3" xfId="766"/>
    <cellStyle name="Percent 5" xfId="641"/>
    <cellStyle name="Percent 6" xfId="765"/>
    <cellStyle name="Percent 7" xfId="768"/>
    <cellStyle name="Percent 7 2" xfId="875"/>
    <cellStyle name="Percent 7 2 2" xfId="1004"/>
    <cellStyle name="Percent 7 2 3" xfId="1132"/>
    <cellStyle name="Percent 7 3" xfId="920"/>
    <cellStyle name="Percent 7 4" xfId="1048"/>
    <cellStyle name="Percent 8" xfId="810"/>
    <cellStyle name="Percent 8 2" xfId="962"/>
    <cellStyle name="Percent 8 3" xfId="1090"/>
    <cellStyle name="Percent 9" xfId="862"/>
    <cellStyle name="PSChar" xfId="642"/>
    <cellStyle name="PSDate" xfId="643"/>
    <cellStyle name="PSDec" xfId="644"/>
    <cellStyle name="PSHeading" xfId="645"/>
    <cellStyle name="PSInt" xfId="646"/>
    <cellStyle name="PSSpacer" xfId="647"/>
    <cellStyle name="SAPBEXchaText" xfId="648"/>
    <cellStyle name="SAPBEXstdData" xfId="649"/>
    <cellStyle name="SAPBEXstdItem" xfId="650"/>
    <cellStyle name="SAPBEXstdItemX" xfId="651"/>
    <cellStyle name="SAPDataCell" xfId="1156"/>
    <cellStyle name="SAPHierarchyCell0" xfId="1155"/>
    <cellStyle name="SECTION" xfId="652"/>
    <cellStyle name="Style 1" xfId="653"/>
    <cellStyle name="Style 1 10" xfId="654"/>
    <cellStyle name="Style 1 10 2" xfId="655"/>
    <cellStyle name="Style 1 10 2 2" xfId="656"/>
    <cellStyle name="Style 1 10 3" xfId="657"/>
    <cellStyle name="Style 1 11" xfId="658"/>
    <cellStyle name="Style 1 11 2" xfId="659"/>
    <cellStyle name="Style 1 11 2 2" xfId="660"/>
    <cellStyle name="Style 1 11 3" xfId="661"/>
    <cellStyle name="Style 1 12" xfId="662"/>
    <cellStyle name="Style 1 12 2" xfId="663"/>
    <cellStyle name="Style 1 12 2 2" xfId="664"/>
    <cellStyle name="Style 1 12 3" xfId="665"/>
    <cellStyle name="Style 1 13" xfId="666"/>
    <cellStyle name="Style 1 13 2" xfId="667"/>
    <cellStyle name="Style 1 2" xfId="668"/>
    <cellStyle name="Style 1 2 2" xfId="669"/>
    <cellStyle name="Style 1 2 2 2" xfId="670"/>
    <cellStyle name="Style 1 2 3" xfId="671"/>
    <cellStyle name="Style 1 3" xfId="672"/>
    <cellStyle name="Style 1 3 2" xfId="673"/>
    <cellStyle name="Style 1 3 2 2" xfId="674"/>
    <cellStyle name="Style 1 3 3" xfId="675"/>
    <cellStyle name="Style 1 4" xfId="676"/>
    <cellStyle name="Style 1 4 2" xfId="677"/>
    <cellStyle name="Style 1 4 2 2" xfId="678"/>
    <cellStyle name="Style 1 4 3" xfId="679"/>
    <cellStyle name="Style 1 5" xfId="680"/>
    <cellStyle name="Style 1 5 2" xfId="681"/>
    <cellStyle name="Style 1 5 2 2" xfId="682"/>
    <cellStyle name="Style 1 5 3" xfId="683"/>
    <cellStyle name="Style 1 6" xfId="684"/>
    <cellStyle name="Style 1 6 2" xfId="685"/>
    <cellStyle name="Style 1 6 2 2" xfId="686"/>
    <cellStyle name="Style 1 6 3" xfId="687"/>
    <cellStyle name="Style 1 7" xfId="688"/>
    <cellStyle name="Style 1 7 2" xfId="689"/>
    <cellStyle name="Style 1 7 2 2" xfId="690"/>
    <cellStyle name="Style 1 7 3" xfId="691"/>
    <cellStyle name="Style 1 8" xfId="692"/>
    <cellStyle name="Style 1 8 2" xfId="693"/>
    <cellStyle name="Style 1 8 2 2" xfId="694"/>
    <cellStyle name="Style 1 8 3" xfId="695"/>
    <cellStyle name="Style 1 9" xfId="696"/>
    <cellStyle name="Style 1 9 2" xfId="697"/>
    <cellStyle name="Style 1 9 2 2" xfId="698"/>
    <cellStyle name="Style 1 9 3" xfId="699"/>
    <cellStyle name="Style 1_FERC General Taxes" xfId="700"/>
    <cellStyle name="System Defined" xfId="701"/>
    <cellStyle name="Title" xfId="705" builtinId="15" customBuiltin="1"/>
    <cellStyle name="Title 2" xfId="702"/>
    <cellStyle name="Total" xfId="720" builtinId="25" customBuiltin="1"/>
    <cellStyle name="Total 2" xfId="703"/>
    <cellStyle name="Warning Text" xfId="718" builtinId="11" customBuiltin="1"/>
    <cellStyle name="Warning Text 2" xfId="70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808000"/>
      <rgbColor rgb="00FF00FF"/>
      <rgbColor rgb="0000FFFF"/>
      <rgbColor rgb="00800000"/>
      <rgbColor rgb="00008000"/>
      <rgbColor rgb="00000080"/>
      <rgbColor rgb="00FFFF86"/>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2590800</xdr:colOff>
      <xdr:row>162</xdr:row>
      <xdr:rowOff>152400</xdr:rowOff>
    </xdr:from>
    <xdr:to>
      <xdr:col>1</xdr:col>
      <xdr:colOff>165100</xdr:colOff>
      <xdr:row>164</xdr:row>
      <xdr:rowOff>0</xdr:rowOff>
    </xdr:to>
    <xdr:cxnSp macro="">
      <xdr:nvCxnSpPr>
        <xdr:cNvPr id="2" name="Straight Arrow Connector 1"/>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2590800</xdr:colOff>
      <xdr:row>162</xdr:row>
      <xdr:rowOff>152400</xdr:rowOff>
    </xdr:from>
    <xdr:to>
      <xdr:col>1</xdr:col>
      <xdr:colOff>165100</xdr:colOff>
      <xdr:row>164</xdr:row>
      <xdr:rowOff>0</xdr:rowOff>
    </xdr:to>
    <xdr:cxnSp macro="">
      <xdr:nvCxnSpPr>
        <xdr:cNvPr id="3" name="Straight Arrow Connector 2"/>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647700</xdr:colOff>
      <xdr:row>163</xdr:row>
      <xdr:rowOff>38100</xdr:rowOff>
    </xdr:from>
    <xdr:to>
      <xdr:col>13</xdr:col>
      <xdr:colOff>939800</xdr:colOff>
      <xdr:row>164</xdr:row>
      <xdr:rowOff>76200</xdr:rowOff>
    </xdr:to>
    <xdr:cxnSp macro="">
      <xdr:nvCxnSpPr>
        <xdr:cNvPr id="4" name="Straight Arrow Connector 3"/>
        <xdr:cNvCxnSpPr/>
      </xdr:nvCxnSpPr>
      <xdr:spPr>
        <a:xfrm flipH="1" flipV="1">
          <a:off x="14697075" y="27632025"/>
          <a:ext cx="292100"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322</xdr:row>
      <xdr:rowOff>50800</xdr:rowOff>
    </xdr:from>
    <xdr:to>
      <xdr:col>13</xdr:col>
      <xdr:colOff>381000</xdr:colOff>
      <xdr:row>325</xdr:row>
      <xdr:rowOff>101600</xdr:rowOff>
    </xdr:to>
    <xdr:cxnSp macro="">
      <xdr:nvCxnSpPr>
        <xdr:cNvPr id="60" name="Straight Arrow Connector 59"/>
        <xdr:cNvCxnSpPr/>
      </xdr:nvCxnSpPr>
      <xdr:spPr>
        <a:xfrm flipV="1">
          <a:off x="14201775" y="55200550"/>
          <a:ext cx="228600" cy="536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jbailey/Local%20Settings/Temporary%20Internet%20Files/OLKA/JE%20130111%20August%20200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eathas6-xp\cos0699%20case%203137\EXCEL\TGSgas\WP%20A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atioasis.com/TEMP/FERCFA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lecRate/Info%20from%20Previous%20Cases/COS/W&amp;S%20Adj.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ederal%20&amp;%20Regional%20Policy/PSE%20Transmission%20Rates/Formula%20Rate%20FERC%20Filings/EDIT%20filing/Copy%20of%20Attachment%20A%20-%20PSE%20Formula%20rate%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Data"/>
      <sheetName val="Data Entry"/>
      <sheetName val="Temp Data"/>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 8"/>
      <sheetName val="RR 8 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FACT"/>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W&amp;S Adj"/>
      <sheetName val="W&amp;S Nonsj"/>
      <sheetName val="W&amp;S sj"/>
      <sheetName val="W&amp;S by group"/>
      <sheetName val="RengO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1"/>
      <sheetName val="ATT H-1 "/>
      <sheetName val="1 - ADIT"/>
      <sheetName val="2 - Other Tax"/>
      <sheetName val="3 - Revenue Credits"/>
      <sheetName val="4 - 100 Basis Pt ROE"/>
      <sheetName val="5 - Cost Support"/>
      <sheetName val="6 - Est and True up"/>
      <sheetName val="6A-Colstrip"/>
      <sheetName val="6B-So Intertie"/>
      <sheetName val="7 - Cap Add WS"/>
      <sheetName val="8 - Depreciation Rates"/>
      <sheetName val="WKSHT1 - Rev Credits"/>
      <sheetName val="WKSHT2 - Prepaid"/>
      <sheetName val="WKSHT3 - All GIFs"/>
      <sheetName val="WKSHT4 - Monthly Tx System Peak"/>
      <sheetName val="WKSHT5 - Plant in Service 13mo "/>
      <sheetName val="WKSHT6 - Cost of Capital"/>
      <sheetName val="WKSHT7 - Excess &amp; Defic. ADIT"/>
    </sheetNames>
    <sheetDataSet>
      <sheetData sheetId="0"/>
      <sheetData sheetId="1">
        <row r="235">
          <cell r="A235" t="str">
            <v>145a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10" Type="http://schemas.openxmlformats.org/officeDocument/2006/relationships/printerSettings" Target="../printerSettings/printerSettings12.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3"/>
  <sheetViews>
    <sheetView zoomScaleNormal="100" zoomScaleSheetLayoutView="75" workbookViewId="0">
      <selection activeCell="E18" sqref="E18"/>
    </sheetView>
  </sheetViews>
  <sheetFormatPr defaultRowHeight="12.75"/>
  <cols>
    <col min="2" max="2" width="56.7109375" bestFit="1" customWidth="1"/>
    <col min="4" max="4" width="33.85546875" bestFit="1" customWidth="1"/>
    <col min="5" max="5" width="17.140625" customWidth="1"/>
  </cols>
  <sheetData>
    <row r="2" spans="1:5">
      <c r="A2" s="1961" t="s">
        <v>407</v>
      </c>
      <c r="B2" s="1962"/>
      <c r="C2" s="1962"/>
      <c r="D2" s="1962"/>
      <c r="E2" s="1962"/>
    </row>
    <row r="3" spans="1:5">
      <c r="A3" s="1963" t="s">
        <v>370</v>
      </c>
      <c r="B3" s="1963"/>
      <c r="C3" s="1963"/>
      <c r="D3" s="1963"/>
      <c r="E3" s="1963"/>
    </row>
    <row r="4" spans="1:5">
      <c r="A4" s="1963" t="s">
        <v>371</v>
      </c>
      <c r="B4" s="1963"/>
      <c r="C4" s="1963"/>
      <c r="D4" s="1963"/>
      <c r="E4" s="1963"/>
    </row>
    <row r="5" spans="1:5">
      <c r="A5" s="545"/>
      <c r="B5" s="545"/>
      <c r="C5" s="545"/>
      <c r="D5" s="545"/>
      <c r="E5" s="545"/>
    </row>
    <row r="6" spans="1:5" ht="13.5" thickBot="1">
      <c r="A6" s="546" t="s">
        <v>372</v>
      </c>
      <c r="B6" s="546" t="s">
        <v>845</v>
      </c>
      <c r="C6" s="547"/>
      <c r="D6" s="546" t="s">
        <v>373</v>
      </c>
      <c r="E6" s="546" t="s">
        <v>136</v>
      </c>
    </row>
    <row r="7" spans="1:5">
      <c r="A7" s="548">
        <v>1</v>
      </c>
      <c r="B7" s="549" t="s">
        <v>374</v>
      </c>
      <c r="C7" s="550"/>
      <c r="D7" s="551" t="s">
        <v>375</v>
      </c>
      <c r="E7" s="1440">
        <v>0</v>
      </c>
    </row>
    <row r="8" spans="1:5">
      <c r="A8" s="548">
        <v>2</v>
      </c>
      <c r="B8" s="549" t="s">
        <v>376</v>
      </c>
      <c r="C8" s="550"/>
      <c r="D8" s="553" t="s">
        <v>377</v>
      </c>
      <c r="E8" s="1440">
        <v>43541</v>
      </c>
    </row>
    <row r="9" spans="1:5">
      <c r="A9" s="548">
        <v>3</v>
      </c>
      <c r="B9" s="549" t="s">
        <v>378</v>
      </c>
      <c r="C9" s="550"/>
      <c r="D9" s="553" t="s">
        <v>379</v>
      </c>
      <c r="E9" s="1440">
        <v>2084722</v>
      </c>
    </row>
    <row r="10" spans="1:5">
      <c r="A10" s="548">
        <v>4</v>
      </c>
      <c r="B10" s="549" t="s">
        <v>380</v>
      </c>
      <c r="C10" s="550"/>
      <c r="D10" s="553" t="s">
        <v>381</v>
      </c>
      <c r="E10" s="1440">
        <v>941407</v>
      </c>
    </row>
    <row r="11" spans="1:5">
      <c r="A11" s="548">
        <v>5</v>
      </c>
      <c r="B11" s="549" t="s">
        <v>382</v>
      </c>
      <c r="C11" s="550"/>
      <c r="D11" s="553" t="s">
        <v>383</v>
      </c>
      <c r="E11" s="1440">
        <v>0</v>
      </c>
    </row>
    <row r="12" spans="1:5">
      <c r="A12" s="548">
        <v>6</v>
      </c>
      <c r="B12" s="549" t="s">
        <v>384</v>
      </c>
      <c r="C12" s="550"/>
      <c r="D12" s="553" t="s">
        <v>385</v>
      </c>
      <c r="E12" s="1441">
        <v>1835915</v>
      </c>
    </row>
    <row r="13" spans="1:5">
      <c r="A13" s="548">
        <v>7</v>
      </c>
      <c r="B13" s="549" t="s">
        <v>386</v>
      </c>
      <c r="C13" s="550"/>
      <c r="D13" s="553" t="s">
        <v>387</v>
      </c>
      <c r="E13" s="552">
        <f>SUM(E7:E12)</f>
        <v>4905585</v>
      </c>
    </row>
    <row r="14" spans="1:5">
      <c r="A14" s="548"/>
      <c r="B14" s="554"/>
      <c r="C14" s="550"/>
      <c r="D14" s="555"/>
      <c r="E14" s="550"/>
    </row>
    <row r="15" spans="1:5">
      <c r="A15" s="548"/>
      <c r="B15" s="554"/>
      <c r="C15" s="550"/>
      <c r="D15" s="555"/>
      <c r="E15" s="550"/>
    </row>
    <row r="16" spans="1:5">
      <c r="A16" s="548">
        <v>8</v>
      </c>
      <c r="B16" s="549" t="s">
        <v>388</v>
      </c>
      <c r="C16" s="550"/>
      <c r="D16" s="553" t="s">
        <v>389</v>
      </c>
      <c r="E16" s="552">
        <f>E13</f>
        <v>4905585</v>
      </c>
    </row>
    <row r="17" spans="1:7">
      <c r="A17" s="548">
        <v>9</v>
      </c>
      <c r="B17" s="158" t="s">
        <v>156</v>
      </c>
      <c r="C17" s="550"/>
      <c r="D17" s="556" t="s">
        <v>390</v>
      </c>
      <c r="E17" s="1561"/>
      <c r="G17" s="1718"/>
    </row>
    <row r="18" spans="1:7">
      <c r="A18" s="548">
        <v>10</v>
      </c>
      <c r="B18" s="158" t="s">
        <v>388</v>
      </c>
      <c r="C18" s="550"/>
      <c r="D18" s="556" t="s">
        <v>391</v>
      </c>
      <c r="E18" s="557">
        <f>+E16+E17</f>
        <v>4905585</v>
      </c>
    </row>
    <row r="19" spans="1:7">
      <c r="A19" s="548"/>
      <c r="B19" s="554"/>
      <c r="C19" s="550"/>
      <c r="D19" s="555"/>
      <c r="E19" s="554"/>
    </row>
    <row r="20" spans="1:7">
      <c r="A20" s="548"/>
      <c r="B20" s="558" t="s">
        <v>392</v>
      </c>
      <c r="C20" s="550"/>
      <c r="D20" s="558"/>
      <c r="E20" s="549"/>
    </row>
    <row r="21" spans="1:7">
      <c r="A21" s="548"/>
      <c r="B21" s="554"/>
      <c r="C21" s="550"/>
      <c r="D21" s="555"/>
      <c r="E21" s="549"/>
    </row>
    <row r="22" spans="1:7">
      <c r="A22" s="548">
        <v>11</v>
      </c>
      <c r="B22" s="549" t="s">
        <v>393</v>
      </c>
      <c r="C22" s="550"/>
      <c r="D22" s="553" t="s">
        <v>394</v>
      </c>
      <c r="E22" s="552">
        <f>'ATT H-1 '!H293</f>
        <v>4512858.8696851674</v>
      </c>
    </row>
    <row r="23" spans="1:7">
      <c r="A23" s="548"/>
      <c r="B23" s="549"/>
      <c r="C23" s="550"/>
      <c r="D23" s="555"/>
      <c r="E23" s="549"/>
    </row>
    <row r="24" spans="1:7">
      <c r="A24" s="548"/>
      <c r="B24" s="554"/>
      <c r="C24" s="550"/>
      <c r="D24" s="555"/>
      <c r="E24" s="549"/>
    </row>
    <row r="25" spans="1:7">
      <c r="A25" s="548">
        <v>12</v>
      </c>
      <c r="B25" s="549" t="s">
        <v>395</v>
      </c>
      <c r="C25" s="550"/>
      <c r="D25" s="553" t="s">
        <v>465</v>
      </c>
      <c r="E25" s="559">
        <f>E16/E22</f>
        <v>1.0870238005785966</v>
      </c>
    </row>
    <row r="26" spans="1:7">
      <c r="A26" s="548">
        <v>13</v>
      </c>
      <c r="B26" s="549" t="s">
        <v>396</v>
      </c>
      <c r="C26" s="550"/>
      <c r="D26" s="553" t="s">
        <v>466</v>
      </c>
      <c r="E26" s="559">
        <f>($E$16/$E$22)/12</f>
        <v>9.0585316714883055E-2</v>
      </c>
    </row>
    <row r="27" spans="1:7">
      <c r="A27" s="548">
        <v>14</v>
      </c>
      <c r="B27" s="549" t="s">
        <v>397</v>
      </c>
      <c r="C27" s="550"/>
      <c r="D27" s="553" t="s">
        <v>467</v>
      </c>
      <c r="E27" s="559">
        <f>($E$16/$E$22)/52</f>
        <v>2.0904303857280704E-2</v>
      </c>
    </row>
    <row r="28" spans="1:7">
      <c r="A28" s="548"/>
      <c r="B28" s="549"/>
      <c r="C28" s="550"/>
      <c r="D28" s="553"/>
      <c r="E28" s="559"/>
    </row>
    <row r="29" spans="1:7">
      <c r="A29" s="548">
        <v>13</v>
      </c>
      <c r="B29" s="549" t="s">
        <v>398</v>
      </c>
      <c r="C29" s="550"/>
      <c r="D29" s="553" t="s">
        <v>576</v>
      </c>
      <c r="E29" s="559">
        <f>($E$27/6)</f>
        <v>3.4840506428801175E-3</v>
      </c>
    </row>
    <row r="30" spans="1:7">
      <c r="A30" s="548">
        <v>14</v>
      </c>
      <c r="B30" s="549" t="s">
        <v>399</v>
      </c>
      <c r="C30" s="550"/>
      <c r="D30" s="553" t="s">
        <v>400</v>
      </c>
      <c r="E30" s="559">
        <f>($E$27/7)</f>
        <v>2.9863291224686722E-3</v>
      </c>
    </row>
    <row r="31" spans="1:7">
      <c r="A31" s="548"/>
      <c r="B31" s="549"/>
      <c r="C31" s="550"/>
      <c r="D31" s="553"/>
      <c r="E31" s="559"/>
    </row>
    <row r="32" spans="1:7">
      <c r="A32" s="548">
        <v>15</v>
      </c>
      <c r="B32" s="549" t="s">
        <v>401</v>
      </c>
      <c r="C32" s="550"/>
      <c r="D32" s="553" t="s">
        <v>402</v>
      </c>
      <c r="E32" s="559">
        <f>($E$29/16)*1000</f>
        <v>0.21775316518000734</v>
      </c>
    </row>
    <row r="33" spans="1:7">
      <c r="A33" s="548">
        <v>16</v>
      </c>
      <c r="B33" s="549" t="s">
        <v>403</v>
      </c>
      <c r="C33" s="550"/>
      <c r="D33" s="553" t="s">
        <v>404</v>
      </c>
      <c r="E33" s="559">
        <f>($E$30/24)*1000</f>
        <v>0.12443038010286135</v>
      </c>
    </row>
    <row r="34" spans="1:7">
      <c r="A34" s="550"/>
      <c r="B34" s="550"/>
      <c r="C34" s="550"/>
      <c r="D34" s="560"/>
      <c r="E34" s="554"/>
    </row>
    <row r="35" spans="1:7">
      <c r="A35" s="561"/>
      <c r="B35" s="561"/>
      <c r="C35" s="561"/>
      <c r="D35" s="562"/>
      <c r="E35" s="563"/>
    </row>
    <row r="36" spans="1:7">
      <c r="A36" s="561"/>
      <c r="B36" s="561"/>
      <c r="C36" s="561"/>
      <c r="D36" s="562"/>
      <c r="E36" s="176"/>
    </row>
    <row r="37" spans="1:7">
      <c r="A37" s="564"/>
      <c r="B37" s="564"/>
      <c r="C37" s="564"/>
      <c r="D37" s="565"/>
      <c r="E37" s="183"/>
    </row>
    <row r="38" spans="1:7" ht="15">
      <c r="A38" s="566" t="s">
        <v>405</v>
      </c>
      <c r="B38" s="567"/>
      <c r="C38" s="567"/>
      <c r="D38" s="567"/>
      <c r="E38" s="567"/>
    </row>
    <row r="39" spans="1:7" ht="15">
      <c r="A39" s="568">
        <v>1</v>
      </c>
      <c r="B39" s="1964" t="s">
        <v>459</v>
      </c>
      <c r="C39" s="1964"/>
      <c r="D39" s="1964"/>
      <c r="E39" s="1964"/>
    </row>
    <row r="40" spans="1:7" ht="15">
      <c r="A40" s="568">
        <v>2</v>
      </c>
      <c r="B40" s="1960" t="s">
        <v>406</v>
      </c>
      <c r="C40" s="1960"/>
      <c r="D40" s="1960"/>
      <c r="E40" s="567"/>
    </row>
    <row r="45" spans="1:7">
      <c r="F45" s="801"/>
      <c r="G45" s="801"/>
    </row>
    <row r="46" spans="1:7">
      <c r="E46" s="428"/>
    </row>
    <row r="47" spans="1:7">
      <c r="E47" s="802"/>
    </row>
    <row r="48" spans="1:7">
      <c r="E48" s="428"/>
    </row>
    <row r="49" spans="5:6">
      <c r="E49" s="428"/>
    </row>
    <row r="50" spans="5:6">
      <c r="E50" s="428"/>
    </row>
    <row r="51" spans="5:6">
      <c r="E51" s="486"/>
      <c r="F51" s="801"/>
    </row>
    <row r="52" spans="5:6">
      <c r="E52" s="803"/>
    </row>
    <row r="53" spans="5:6">
      <c r="E53" s="802"/>
    </row>
  </sheetData>
  <mergeCells count="5">
    <mergeCell ref="B40:D40"/>
    <mergeCell ref="A2:E2"/>
    <mergeCell ref="A3:E3"/>
    <mergeCell ref="A4:E4"/>
    <mergeCell ref="B39:E39"/>
  </mergeCells>
  <phoneticPr fontId="73" type="noConversion"/>
  <pageMargins left="0.2" right="0.2" top="0.75" bottom="0.75" header="0.3" footer="0.3"/>
  <pageSetup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90"/>
  <sheetViews>
    <sheetView topLeftCell="A73" zoomScale="75" zoomScaleNormal="75" zoomScaleSheetLayoutView="55" workbookViewId="0">
      <selection activeCell="F84" sqref="F84:F90"/>
    </sheetView>
  </sheetViews>
  <sheetFormatPr defaultRowHeight="12.75"/>
  <cols>
    <col min="3" max="3" width="18.140625" customWidth="1"/>
    <col min="4" max="4" width="18.85546875" customWidth="1"/>
    <col min="5" max="5" width="28.85546875" customWidth="1"/>
    <col min="6" max="6" width="16.42578125" customWidth="1"/>
    <col min="7" max="7" width="19.42578125" customWidth="1"/>
    <col min="8" max="8" width="20.5703125" customWidth="1"/>
    <col min="9" max="9" width="11.5703125" customWidth="1"/>
    <col min="10" max="11" width="13.5703125" customWidth="1"/>
    <col min="12" max="12" width="13.140625" customWidth="1"/>
    <col min="13" max="13" width="16" customWidth="1"/>
    <col min="14" max="14" width="15" customWidth="1"/>
  </cols>
  <sheetData>
    <row r="2" spans="1:28" ht="15">
      <c r="A2" s="1981" t="s">
        <v>447</v>
      </c>
      <c r="B2" s="1981"/>
      <c r="C2" s="1981"/>
      <c r="D2" s="1981"/>
      <c r="E2" s="1981"/>
      <c r="F2" s="1981"/>
      <c r="G2" s="1981"/>
      <c r="H2" s="1981"/>
      <c r="I2" s="1981"/>
      <c r="J2" s="1981"/>
      <c r="K2" s="1981"/>
      <c r="L2" s="1981"/>
      <c r="M2" s="1981"/>
      <c r="N2" s="1981"/>
      <c r="O2" s="1981"/>
      <c r="P2" s="1981"/>
      <c r="Q2" s="1981"/>
      <c r="R2" s="1981"/>
    </row>
    <row r="3" spans="1:28" ht="18">
      <c r="A3" s="1431" t="s">
        <v>882</v>
      </c>
      <c r="B3" s="569"/>
      <c r="C3" s="569"/>
      <c r="D3" s="569"/>
      <c r="E3" s="569"/>
      <c r="F3" s="569"/>
      <c r="G3" s="569"/>
      <c r="H3" s="569"/>
      <c r="I3" s="570"/>
      <c r="J3" s="570"/>
      <c r="K3" s="421"/>
      <c r="L3" s="421"/>
      <c r="M3" s="421"/>
      <c r="N3" s="421"/>
      <c r="O3" s="421"/>
      <c r="P3" s="421"/>
      <c r="Q3" s="421"/>
      <c r="R3" s="421"/>
      <c r="X3" s="97"/>
      <c r="Y3" s="97"/>
      <c r="Z3" s="97"/>
      <c r="AA3" s="97"/>
      <c r="AB3" s="97"/>
    </row>
    <row r="4" spans="1:28">
      <c r="A4" s="421"/>
      <c r="B4" s="421"/>
      <c r="C4" s="421"/>
      <c r="D4" s="421"/>
      <c r="E4" s="1771" t="s">
        <v>1106</v>
      </c>
      <c r="F4" s="1772">
        <v>2020</v>
      </c>
      <c r="G4" s="421"/>
      <c r="H4" s="421"/>
      <c r="I4" s="421"/>
      <c r="J4" s="421"/>
      <c r="K4" s="421"/>
      <c r="L4" s="421"/>
      <c r="M4" s="421"/>
      <c r="N4" s="421"/>
      <c r="O4" s="421"/>
      <c r="P4" s="421"/>
      <c r="Q4" s="421"/>
      <c r="R4" s="421"/>
      <c r="X4" s="97"/>
      <c r="Y4" s="97"/>
      <c r="Z4" s="97"/>
      <c r="AA4" s="97"/>
      <c r="AB4" s="97"/>
    </row>
    <row r="5" spans="1:28" ht="16.5">
      <c r="A5" s="420"/>
      <c r="B5" s="420"/>
      <c r="C5" s="420"/>
      <c r="D5" s="419"/>
      <c r="E5" s="1771" t="s">
        <v>1107</v>
      </c>
      <c r="F5" s="1773">
        <v>2021</v>
      </c>
      <c r="G5" s="419"/>
      <c r="H5" s="419"/>
      <c r="I5" s="419"/>
      <c r="J5" s="571"/>
      <c r="K5" s="419"/>
      <c r="L5" s="419"/>
      <c r="M5" s="419"/>
      <c r="N5" s="419"/>
      <c r="O5" s="419"/>
      <c r="P5" s="419"/>
      <c r="Q5" s="419"/>
      <c r="R5" s="419"/>
      <c r="X5" s="97"/>
      <c r="Y5" s="97"/>
      <c r="Z5" s="97"/>
      <c r="AA5" s="97"/>
      <c r="AB5" s="97"/>
    </row>
    <row r="6" spans="1:28" ht="13.5">
      <c r="A6" s="572" t="s">
        <v>621</v>
      </c>
      <c r="B6" s="572" t="s">
        <v>622</v>
      </c>
      <c r="C6" s="572" t="s">
        <v>623</v>
      </c>
      <c r="D6" s="572" t="s">
        <v>624</v>
      </c>
      <c r="E6" s="1771" t="s">
        <v>1108</v>
      </c>
      <c r="F6" s="1773">
        <v>2022</v>
      </c>
      <c r="G6" s="573"/>
      <c r="H6" s="573"/>
      <c r="I6" s="573"/>
      <c r="J6" s="573"/>
      <c r="K6" s="573"/>
      <c r="L6" s="573"/>
      <c r="M6" s="573"/>
      <c r="N6" s="573"/>
      <c r="O6" s="573"/>
      <c r="P6" s="573"/>
      <c r="Q6" s="573"/>
      <c r="R6" s="573"/>
      <c r="X6" s="597"/>
      <c r="Y6" s="597"/>
      <c r="Z6" s="597"/>
      <c r="AA6" s="597"/>
      <c r="AB6" s="97"/>
    </row>
    <row r="7" spans="1:28" ht="13.5">
      <c r="A7" s="420"/>
      <c r="B7" s="572"/>
      <c r="C7" s="572"/>
      <c r="D7" s="573"/>
      <c r="E7" s="573"/>
      <c r="F7" s="573"/>
      <c r="G7" s="573"/>
      <c r="H7" s="573"/>
      <c r="I7" s="573"/>
      <c r="J7" s="573"/>
      <c r="K7" s="573"/>
      <c r="L7" s="573"/>
      <c r="M7" s="573"/>
      <c r="N7" s="573"/>
      <c r="O7" s="573"/>
      <c r="P7" s="573"/>
      <c r="Q7" s="573"/>
      <c r="R7" s="573"/>
      <c r="X7" s="845"/>
      <c r="Y7" s="845"/>
      <c r="Z7" s="845"/>
      <c r="AA7" s="845"/>
      <c r="AB7" s="97"/>
    </row>
    <row r="8" spans="1:28" ht="13.5">
      <c r="A8" s="574" t="s">
        <v>625</v>
      </c>
      <c r="B8" s="572"/>
      <c r="C8" s="572"/>
      <c r="D8" s="573"/>
      <c r="E8" s="573"/>
      <c r="F8" s="573"/>
      <c r="G8" s="573"/>
      <c r="H8" s="573"/>
      <c r="I8" s="573"/>
      <c r="J8" s="573"/>
      <c r="K8" s="573"/>
      <c r="L8" s="573"/>
      <c r="M8" s="573"/>
      <c r="N8" s="573"/>
      <c r="X8" s="845"/>
      <c r="Y8" s="845"/>
      <c r="Z8" s="845"/>
      <c r="AA8" s="845"/>
      <c r="AB8" s="97"/>
    </row>
    <row r="9" spans="1:28" ht="15.75">
      <c r="A9" s="575">
        <v>1</v>
      </c>
      <c r="B9" s="575" t="s">
        <v>626</v>
      </c>
      <c r="C9" s="575" t="s">
        <v>601</v>
      </c>
      <c r="D9" s="1784" t="s">
        <v>1093</v>
      </c>
      <c r="E9" s="577"/>
      <c r="F9" s="577"/>
      <c r="G9" s="577"/>
      <c r="H9" s="577"/>
      <c r="I9" s="577"/>
      <c r="J9" s="577"/>
      <c r="K9" s="577"/>
      <c r="L9" s="577"/>
      <c r="M9" s="577"/>
      <c r="N9" s="577"/>
      <c r="X9" s="845"/>
      <c r="Y9" s="846"/>
      <c r="Z9" s="846"/>
      <c r="AA9" s="847"/>
      <c r="AB9" s="97"/>
    </row>
    <row r="10" spans="1:28" ht="13.5">
      <c r="A10" s="575">
        <v>2</v>
      </c>
      <c r="B10" s="575" t="s">
        <v>626</v>
      </c>
      <c r="C10" s="575" t="s">
        <v>601</v>
      </c>
      <c r="D10" s="576" t="s">
        <v>1094</v>
      </c>
      <c r="E10" s="577"/>
      <c r="F10" s="577"/>
      <c r="G10" s="577"/>
      <c r="H10" s="577"/>
      <c r="I10" s="577"/>
      <c r="J10" s="577"/>
      <c r="K10" s="577"/>
      <c r="L10" s="577"/>
      <c r="M10" s="577"/>
      <c r="N10" s="577"/>
      <c r="X10" s="845"/>
      <c r="Y10" s="846"/>
      <c r="Z10" s="846"/>
      <c r="AA10" s="847"/>
      <c r="AB10" s="97"/>
    </row>
    <row r="11" spans="1:28" ht="13.5">
      <c r="A11" s="575">
        <v>3</v>
      </c>
      <c r="B11" s="575" t="s">
        <v>626</v>
      </c>
      <c r="C11" s="575" t="s">
        <v>601</v>
      </c>
      <c r="D11" s="576" t="s">
        <v>1095</v>
      </c>
      <c r="E11" s="577"/>
      <c r="F11" s="577"/>
      <c r="G11" s="577"/>
      <c r="H11" s="577"/>
      <c r="I11" s="577"/>
      <c r="J11" s="577"/>
      <c r="K11" s="577"/>
      <c r="L11" s="577"/>
      <c r="M11" s="577"/>
      <c r="N11" s="577"/>
      <c r="X11" s="845"/>
      <c r="Y11" s="846"/>
      <c r="Z11" s="846"/>
      <c r="AA11" s="847"/>
      <c r="AB11" s="97"/>
    </row>
    <row r="12" spans="1:28" ht="13.5">
      <c r="A12" s="575">
        <v>4</v>
      </c>
      <c r="B12" s="575" t="s">
        <v>627</v>
      </c>
      <c r="C12" s="575" t="s">
        <v>601</v>
      </c>
      <c r="D12" s="576" t="s">
        <v>962</v>
      </c>
      <c r="E12" s="577"/>
      <c r="F12" s="577"/>
      <c r="G12" s="577"/>
      <c r="H12" s="577"/>
      <c r="I12" s="577"/>
      <c r="J12" s="577"/>
      <c r="K12" s="577"/>
      <c r="L12" s="577"/>
      <c r="M12" s="577"/>
      <c r="N12" s="577"/>
      <c r="X12" s="597"/>
      <c r="Y12" s="848"/>
      <c r="Z12" s="848"/>
      <c r="AA12" s="847"/>
      <c r="AB12" s="97"/>
    </row>
    <row r="13" spans="1:28" ht="13.5">
      <c r="A13" s="575">
        <v>5</v>
      </c>
      <c r="B13" s="578" t="s">
        <v>628</v>
      </c>
      <c r="C13" s="575" t="s">
        <v>601</v>
      </c>
      <c r="D13" s="576" t="s">
        <v>1096</v>
      </c>
      <c r="E13" s="577"/>
      <c r="F13" s="577"/>
      <c r="G13" s="577"/>
      <c r="H13" s="577"/>
      <c r="I13" s="577"/>
      <c r="J13" s="577"/>
      <c r="K13" s="577"/>
      <c r="L13" s="577"/>
      <c r="M13" s="577"/>
      <c r="N13" s="577"/>
      <c r="X13" s="597"/>
      <c r="Y13" s="848"/>
      <c r="Z13" s="848"/>
      <c r="AA13" s="847"/>
      <c r="AB13" s="97"/>
    </row>
    <row r="14" spans="1:28" ht="13.5">
      <c r="A14" s="572">
        <v>6</v>
      </c>
      <c r="B14" s="572" t="s">
        <v>626</v>
      </c>
      <c r="C14" s="575" t="s">
        <v>602</v>
      </c>
      <c r="D14" s="576" t="s">
        <v>1097</v>
      </c>
      <c r="E14" s="573"/>
      <c r="F14" s="573"/>
      <c r="G14" s="573"/>
      <c r="H14" s="573"/>
      <c r="I14" s="573"/>
      <c r="J14" s="573"/>
      <c r="K14" s="573"/>
      <c r="L14" s="573"/>
      <c r="M14" s="573"/>
      <c r="N14" s="573"/>
      <c r="X14" s="597"/>
      <c r="Y14" s="848"/>
      <c r="Z14" s="848"/>
      <c r="AA14" s="847"/>
      <c r="AB14" s="97"/>
    </row>
    <row r="15" spans="1:28" ht="13.5">
      <c r="A15" s="572">
        <v>7</v>
      </c>
      <c r="B15" s="572" t="s">
        <v>626</v>
      </c>
      <c r="C15" s="575" t="s">
        <v>602</v>
      </c>
      <c r="D15" s="576" t="str">
        <f>+D65</f>
        <v>Reconciliation</v>
      </c>
      <c r="E15" s="580"/>
      <c r="F15" s="580"/>
      <c r="G15" s="580"/>
      <c r="H15" s="580"/>
      <c r="I15" s="580"/>
      <c r="J15" s="580"/>
      <c r="K15" s="573"/>
      <c r="L15" s="573"/>
      <c r="M15" s="573"/>
      <c r="N15" s="573"/>
      <c r="X15" s="597"/>
      <c r="Y15" s="848"/>
      <c r="Z15" s="848"/>
      <c r="AA15" s="847"/>
      <c r="AB15" s="97"/>
    </row>
    <row r="16" spans="1:28" ht="13.5">
      <c r="A16" s="572">
        <v>8</v>
      </c>
      <c r="B16" s="572" t="s">
        <v>626</v>
      </c>
      <c r="C16" s="575" t="s">
        <v>602</v>
      </c>
      <c r="D16" s="576" t="s">
        <v>1111</v>
      </c>
      <c r="E16" s="573"/>
      <c r="F16" s="573"/>
      <c r="G16" s="573"/>
      <c r="H16" s="573"/>
      <c r="I16" s="573"/>
      <c r="J16" s="573"/>
      <c r="K16" s="573"/>
      <c r="L16" s="573"/>
      <c r="M16" s="573"/>
      <c r="N16" s="573"/>
      <c r="X16" s="597"/>
      <c r="Y16" s="848"/>
      <c r="Z16" s="848"/>
      <c r="AA16" s="847"/>
      <c r="AB16" s="97"/>
    </row>
    <row r="17" spans="1:28" ht="13.5">
      <c r="A17" s="572">
        <v>9</v>
      </c>
      <c r="B17" s="572" t="s">
        <v>626</v>
      </c>
      <c r="C17" s="575" t="s">
        <v>602</v>
      </c>
      <c r="D17" s="576" t="s">
        <v>1098</v>
      </c>
      <c r="E17" s="573"/>
      <c r="F17" s="573"/>
      <c r="G17" s="573"/>
      <c r="H17" s="573"/>
      <c r="I17" s="573"/>
      <c r="J17" s="573"/>
      <c r="K17" s="573"/>
      <c r="L17" s="573"/>
      <c r="M17" s="573"/>
      <c r="N17" s="573"/>
      <c r="X17" s="597"/>
      <c r="Y17" s="848"/>
      <c r="Z17" s="848"/>
      <c r="AA17" s="847"/>
      <c r="AB17" s="97"/>
    </row>
    <row r="18" spans="1:28" ht="13.5">
      <c r="A18" s="572">
        <v>10</v>
      </c>
      <c r="B18" s="572" t="s">
        <v>627</v>
      </c>
      <c r="C18" s="575" t="s">
        <v>602</v>
      </c>
      <c r="D18" s="576" t="s">
        <v>460</v>
      </c>
      <c r="E18" s="573"/>
      <c r="F18" s="573"/>
      <c r="G18" s="573"/>
      <c r="H18" s="573"/>
      <c r="I18" s="573"/>
      <c r="J18" s="573"/>
      <c r="K18" s="573"/>
      <c r="L18" s="573"/>
      <c r="M18" s="573"/>
      <c r="N18" s="573"/>
      <c r="X18" s="597"/>
      <c r="Y18" s="848"/>
      <c r="Z18" s="848"/>
      <c r="AA18" s="847"/>
      <c r="AB18" s="97"/>
    </row>
    <row r="19" spans="1:28" ht="13.5">
      <c r="A19" s="572">
        <v>11</v>
      </c>
      <c r="B19" s="581" t="s">
        <v>628</v>
      </c>
      <c r="C19" s="575" t="s">
        <v>602</v>
      </c>
      <c r="D19" s="576" t="s">
        <v>1099</v>
      </c>
      <c r="E19" s="573"/>
      <c r="F19" s="573"/>
      <c r="G19" s="573"/>
      <c r="H19" s="573"/>
      <c r="I19" s="573"/>
      <c r="J19" s="573"/>
      <c r="K19" s="573"/>
      <c r="L19" s="573"/>
      <c r="M19" s="573"/>
      <c r="N19" s="573"/>
      <c r="X19" s="597"/>
      <c r="Y19" s="848"/>
      <c r="Z19" s="848"/>
      <c r="AA19" s="848"/>
      <c r="AB19" s="97"/>
    </row>
    <row r="20" spans="1:28" ht="13.5">
      <c r="A20" s="572"/>
      <c r="B20" s="581"/>
      <c r="C20" s="572"/>
      <c r="D20" s="579"/>
      <c r="E20" s="573"/>
      <c r="F20" s="573"/>
      <c r="G20" s="573"/>
      <c r="H20" s="573"/>
      <c r="I20" s="573"/>
      <c r="J20" s="573"/>
      <c r="K20" s="573"/>
      <c r="L20" s="573"/>
      <c r="M20" s="573"/>
      <c r="N20" s="573"/>
      <c r="X20" s="597"/>
      <c r="Y20" s="597"/>
      <c r="Z20" s="597"/>
      <c r="AA20" s="597"/>
      <c r="AB20" s="97"/>
    </row>
    <row r="21" spans="1:28" ht="13.5">
      <c r="A21" s="582"/>
      <c r="B21" s="575"/>
      <c r="C21" s="572"/>
      <c r="D21" s="583"/>
      <c r="E21" s="573"/>
      <c r="F21" s="573"/>
      <c r="G21" s="573"/>
      <c r="H21" s="573"/>
      <c r="I21" s="573"/>
      <c r="J21" s="573"/>
      <c r="K21" s="573"/>
      <c r="L21" s="573"/>
      <c r="M21" s="573"/>
      <c r="N21" s="573"/>
      <c r="X21" s="597"/>
      <c r="Y21" s="597"/>
      <c r="Z21" s="597"/>
      <c r="AA21" s="597"/>
      <c r="AB21" s="97"/>
    </row>
    <row r="22" spans="1:28" ht="13.5">
      <c r="A22" s="572">
        <v>1</v>
      </c>
      <c r="B22" s="572" t="s">
        <v>626</v>
      </c>
      <c r="C22" s="572" t="s">
        <v>601</v>
      </c>
      <c r="D22" s="573" t="s">
        <v>1100</v>
      </c>
      <c r="E22" s="573"/>
      <c r="F22" s="573"/>
      <c r="G22" s="573"/>
      <c r="H22" s="573"/>
      <c r="I22" s="573"/>
      <c r="J22" s="419"/>
      <c r="K22" s="573"/>
      <c r="L22" s="573"/>
      <c r="M22" s="573"/>
      <c r="N22" s="573"/>
    </row>
    <row r="23" spans="1:28" ht="13.5">
      <c r="A23" s="572"/>
      <c r="B23" s="572"/>
      <c r="C23" s="572"/>
      <c r="D23" s="584"/>
      <c r="E23" s="573" t="s">
        <v>366</v>
      </c>
      <c r="F23" s="573"/>
      <c r="G23" s="1785" t="s">
        <v>1090</v>
      </c>
      <c r="H23" s="1506"/>
      <c r="I23" s="1506"/>
      <c r="J23" s="1506"/>
      <c r="K23" s="573"/>
      <c r="L23" s="573"/>
      <c r="M23" s="573"/>
      <c r="N23" s="573"/>
    </row>
    <row r="24" spans="1:28" ht="13.5">
      <c r="A24" s="572"/>
      <c r="B24" s="572"/>
      <c r="C24" s="572"/>
      <c r="D24" s="586"/>
      <c r="E24" s="573"/>
      <c r="F24" s="573"/>
      <c r="G24" s="573"/>
      <c r="H24" s="573"/>
      <c r="I24" s="573"/>
      <c r="J24" s="573"/>
      <c r="K24" s="573"/>
      <c r="L24" s="573"/>
      <c r="M24" s="573"/>
      <c r="N24" s="573"/>
      <c r="O24" s="573"/>
      <c r="P24" s="573"/>
      <c r="Q24" s="573"/>
      <c r="R24" s="573"/>
    </row>
    <row r="25" spans="1:28" ht="13.5">
      <c r="A25" s="572">
        <v>2</v>
      </c>
      <c r="B25" s="572" t="s">
        <v>626</v>
      </c>
      <c r="C25" s="572" t="s">
        <v>601</v>
      </c>
      <c r="D25" s="579" t="s">
        <v>1094</v>
      </c>
      <c r="E25" s="573"/>
      <c r="F25" s="573"/>
      <c r="G25" s="573"/>
      <c r="H25" s="573"/>
      <c r="I25" s="573"/>
      <c r="J25" s="419"/>
      <c r="K25" s="573"/>
      <c r="L25" s="573"/>
      <c r="M25" s="573"/>
      <c r="N25" s="573"/>
      <c r="O25" s="573"/>
      <c r="P25" s="573"/>
      <c r="Q25" s="573"/>
      <c r="R25" s="573"/>
    </row>
    <row r="26" spans="1:28" ht="13.5">
      <c r="A26" s="572"/>
      <c r="C26" s="572"/>
      <c r="D26" s="579"/>
      <c r="E26" s="573"/>
      <c r="F26" s="573"/>
      <c r="G26" s="573"/>
      <c r="H26" s="573"/>
      <c r="I26" s="573"/>
      <c r="J26" s="419"/>
      <c r="K26" s="573"/>
      <c r="L26" s="573"/>
      <c r="M26" s="573"/>
      <c r="N26" s="573"/>
      <c r="O26" s="573"/>
      <c r="P26" s="573"/>
      <c r="Q26" s="573"/>
      <c r="R26" s="573"/>
    </row>
    <row r="27" spans="1:28" ht="13.5">
      <c r="A27" s="572"/>
      <c r="B27" s="419"/>
      <c r="C27" s="479" t="s">
        <v>263</v>
      </c>
      <c r="D27" s="479" t="s">
        <v>264</v>
      </c>
      <c r="E27" s="479" t="s">
        <v>356</v>
      </c>
      <c r="F27" s="479" t="s">
        <v>265</v>
      </c>
      <c r="G27" s="479" t="s">
        <v>266</v>
      </c>
      <c r="H27" s="479" t="s">
        <v>262</v>
      </c>
      <c r="I27" s="479"/>
      <c r="J27" s="479" t="s">
        <v>570</v>
      </c>
      <c r="K27" s="479" t="s">
        <v>571</v>
      </c>
      <c r="L27" s="479" t="s">
        <v>963</v>
      </c>
      <c r="M27" s="575" t="s">
        <v>964</v>
      </c>
      <c r="N27" s="572" t="s">
        <v>965</v>
      </c>
      <c r="O27" s="572" t="s">
        <v>966</v>
      </c>
      <c r="P27" s="572"/>
      <c r="Q27" s="575"/>
      <c r="R27" s="575"/>
    </row>
    <row r="28" spans="1:28" ht="13.5">
      <c r="A28" s="572"/>
      <c r="B28" s="419"/>
      <c r="C28" s="572" t="s">
        <v>219</v>
      </c>
      <c r="D28" s="572" t="s">
        <v>219</v>
      </c>
      <c r="E28" s="572" t="s">
        <v>219</v>
      </c>
      <c r="F28" s="572" t="s">
        <v>219</v>
      </c>
      <c r="G28" s="572" t="s">
        <v>219</v>
      </c>
      <c r="H28" s="572" t="s">
        <v>219</v>
      </c>
      <c r="I28" s="572"/>
      <c r="J28" s="572" t="s">
        <v>72</v>
      </c>
      <c r="K28" s="572" t="s">
        <v>72</v>
      </c>
      <c r="L28" s="572" t="s">
        <v>72</v>
      </c>
      <c r="M28" s="572" t="s">
        <v>72</v>
      </c>
      <c r="N28" s="572" t="s">
        <v>72</v>
      </c>
      <c r="O28" s="572" t="s">
        <v>72</v>
      </c>
      <c r="P28" s="572"/>
      <c r="Q28" s="575"/>
      <c r="R28" s="2"/>
    </row>
    <row r="29" spans="1:28" ht="13.5">
      <c r="A29" s="572"/>
      <c r="B29" s="573"/>
      <c r="C29" s="572" t="s">
        <v>68</v>
      </c>
      <c r="D29" s="572" t="s">
        <v>68</v>
      </c>
      <c r="E29" s="572" t="s">
        <v>68</v>
      </c>
      <c r="F29" s="572" t="s">
        <v>68</v>
      </c>
      <c r="G29" s="623"/>
      <c r="H29" s="623"/>
      <c r="I29" s="572"/>
      <c r="J29" s="572" t="s">
        <v>73</v>
      </c>
      <c r="K29" s="572" t="s">
        <v>74</v>
      </c>
      <c r="L29" s="572" t="s">
        <v>75</v>
      </c>
      <c r="M29" s="572" t="s">
        <v>76</v>
      </c>
      <c r="N29" s="572" t="s">
        <v>77</v>
      </c>
      <c r="O29" s="572" t="s">
        <v>78</v>
      </c>
      <c r="P29" s="572"/>
      <c r="Q29" s="577"/>
      <c r="R29" s="2"/>
    </row>
    <row r="30" spans="1:28" ht="13.5">
      <c r="A30" s="572"/>
      <c r="B30" s="573"/>
      <c r="C30" s="572"/>
      <c r="D30" s="572"/>
      <c r="E30" s="572"/>
      <c r="F30" s="572"/>
      <c r="G30" s="572" t="s">
        <v>69</v>
      </c>
      <c r="H30" s="572" t="s">
        <v>70</v>
      </c>
      <c r="I30" s="572"/>
      <c r="J30" s="572"/>
      <c r="K30" s="572"/>
      <c r="L30" s="572"/>
      <c r="M30" s="572"/>
      <c r="N30" s="572"/>
      <c r="O30" s="572"/>
      <c r="Q30" s="577"/>
      <c r="R30" s="2"/>
    </row>
    <row r="31" spans="1:28" ht="13.5">
      <c r="A31" s="572"/>
      <c r="B31" s="573"/>
      <c r="C31" s="572"/>
      <c r="D31" s="587"/>
      <c r="E31" s="587"/>
      <c r="F31" s="587"/>
      <c r="G31" s="572"/>
      <c r="H31" s="572"/>
      <c r="I31" s="622"/>
      <c r="J31" s="572"/>
      <c r="K31" s="572"/>
      <c r="L31" s="588"/>
      <c r="M31" s="572"/>
      <c r="N31" s="572"/>
      <c r="O31" s="583"/>
      <c r="Q31" s="577"/>
      <c r="R31" s="2"/>
    </row>
    <row r="32" spans="1:28" ht="13.5">
      <c r="A32" s="572"/>
      <c r="B32" s="573" t="s">
        <v>629</v>
      </c>
      <c r="C32" s="849"/>
      <c r="D32" s="589"/>
      <c r="E32" s="589"/>
      <c r="F32" s="589"/>
      <c r="G32" s="589"/>
      <c r="H32" s="589"/>
      <c r="I32" s="622"/>
      <c r="J32" s="588">
        <f t="shared" ref="J32:O32" si="0">C32</f>
        <v>0</v>
      </c>
      <c r="K32" s="588">
        <f t="shared" si="0"/>
        <v>0</v>
      </c>
      <c r="L32" s="588">
        <f t="shared" si="0"/>
        <v>0</v>
      </c>
      <c r="M32" s="588">
        <f t="shared" si="0"/>
        <v>0</v>
      </c>
      <c r="N32" s="588">
        <f t="shared" si="0"/>
        <v>0</v>
      </c>
      <c r="O32" s="588">
        <f t="shared" si="0"/>
        <v>0</v>
      </c>
      <c r="P32" s="588"/>
      <c r="Q32" s="577"/>
      <c r="R32" s="2"/>
    </row>
    <row r="33" spans="1:18" ht="13.5">
      <c r="A33" s="572"/>
      <c r="B33" s="573" t="s">
        <v>630</v>
      </c>
      <c r="C33" s="849"/>
      <c r="D33" s="589"/>
      <c r="E33" s="589"/>
      <c r="F33" s="589"/>
      <c r="G33" s="589"/>
      <c r="H33" s="589"/>
      <c r="I33" s="622"/>
      <c r="J33" s="588">
        <f>J32+C33</f>
        <v>0</v>
      </c>
      <c r="K33" s="588">
        <f t="shared" ref="K33:O43" si="1">K32+D33</f>
        <v>0</v>
      </c>
      <c r="L33" s="588">
        <f t="shared" si="1"/>
        <v>0</v>
      </c>
      <c r="M33" s="588">
        <f t="shared" si="1"/>
        <v>0</v>
      </c>
      <c r="N33" s="588">
        <f t="shared" si="1"/>
        <v>0</v>
      </c>
      <c r="O33" s="588">
        <f t="shared" si="1"/>
        <v>0</v>
      </c>
      <c r="P33" s="588"/>
      <c r="Q33" s="577"/>
      <c r="R33" s="2"/>
    </row>
    <row r="34" spans="1:18" ht="13.5">
      <c r="A34" s="572"/>
      <c r="B34" s="573" t="s">
        <v>631</v>
      </c>
      <c r="C34" s="849"/>
      <c r="D34" s="589"/>
      <c r="E34" s="589"/>
      <c r="F34" s="589"/>
      <c r="G34" s="589"/>
      <c r="H34" s="589"/>
      <c r="I34" s="622"/>
      <c r="J34" s="588">
        <f t="shared" ref="J34:J43" si="2">J33+C34</f>
        <v>0</v>
      </c>
      <c r="K34" s="588">
        <f t="shared" si="1"/>
        <v>0</v>
      </c>
      <c r="L34" s="588">
        <f t="shared" si="1"/>
        <v>0</v>
      </c>
      <c r="M34" s="588">
        <f t="shared" si="1"/>
        <v>0</v>
      </c>
      <c r="N34" s="588">
        <f t="shared" si="1"/>
        <v>0</v>
      </c>
      <c r="O34" s="588">
        <f t="shared" si="1"/>
        <v>0</v>
      </c>
      <c r="P34" s="588"/>
      <c r="Q34" s="577"/>
      <c r="R34" s="2"/>
    </row>
    <row r="35" spans="1:18" ht="13.5">
      <c r="A35" s="572"/>
      <c r="B35" s="573" t="s">
        <v>632</v>
      </c>
      <c r="C35" s="849"/>
      <c r="D35" s="589"/>
      <c r="E35" s="589"/>
      <c r="F35" s="589"/>
      <c r="G35" s="589"/>
      <c r="H35" s="589"/>
      <c r="I35" s="622"/>
      <c r="J35" s="588">
        <f t="shared" si="2"/>
        <v>0</v>
      </c>
      <c r="K35" s="588">
        <f t="shared" si="1"/>
        <v>0</v>
      </c>
      <c r="L35" s="588">
        <f t="shared" si="1"/>
        <v>0</v>
      </c>
      <c r="M35" s="588">
        <f t="shared" si="1"/>
        <v>0</v>
      </c>
      <c r="N35" s="588">
        <f t="shared" si="1"/>
        <v>0</v>
      </c>
      <c r="O35" s="588">
        <f t="shared" si="1"/>
        <v>0</v>
      </c>
      <c r="P35" s="588"/>
      <c r="Q35" s="577"/>
      <c r="R35" s="2"/>
    </row>
    <row r="36" spans="1:18" ht="13.5">
      <c r="A36" s="572"/>
      <c r="B36" s="573" t="s">
        <v>627</v>
      </c>
      <c r="C36" s="849"/>
      <c r="D36" s="589"/>
      <c r="E36" s="589"/>
      <c r="F36" s="589"/>
      <c r="G36" s="589"/>
      <c r="H36" s="589"/>
      <c r="I36" s="622"/>
      <c r="J36" s="588">
        <f t="shared" si="2"/>
        <v>0</v>
      </c>
      <c r="K36" s="588">
        <f t="shared" si="1"/>
        <v>0</v>
      </c>
      <c r="L36" s="588">
        <f t="shared" si="1"/>
        <v>0</v>
      </c>
      <c r="M36" s="588">
        <f t="shared" si="1"/>
        <v>0</v>
      </c>
      <c r="N36" s="588">
        <f t="shared" si="1"/>
        <v>0</v>
      </c>
      <c r="O36" s="588">
        <f t="shared" si="1"/>
        <v>0</v>
      </c>
      <c r="P36" s="588"/>
      <c r="Q36" s="577"/>
      <c r="R36" s="2"/>
    </row>
    <row r="37" spans="1:18" ht="13.5">
      <c r="A37" s="572"/>
      <c r="B37" s="573" t="s">
        <v>633</v>
      </c>
      <c r="C37" s="849"/>
      <c r="D37" s="589"/>
      <c r="E37" s="589"/>
      <c r="F37" s="589"/>
      <c r="G37" s="589"/>
      <c r="H37" s="589"/>
      <c r="I37" s="622"/>
      <c r="J37" s="588">
        <f t="shared" si="2"/>
        <v>0</v>
      </c>
      <c r="K37" s="588">
        <f t="shared" si="1"/>
        <v>0</v>
      </c>
      <c r="L37" s="588">
        <f t="shared" si="1"/>
        <v>0</v>
      </c>
      <c r="M37" s="588">
        <f t="shared" si="1"/>
        <v>0</v>
      </c>
      <c r="N37" s="588">
        <f t="shared" si="1"/>
        <v>0</v>
      </c>
      <c r="O37" s="588">
        <f t="shared" si="1"/>
        <v>0</v>
      </c>
      <c r="P37" s="588"/>
      <c r="Q37" s="577"/>
      <c r="R37" s="2"/>
    </row>
    <row r="38" spans="1:18" ht="13.5">
      <c r="A38" s="572"/>
      <c r="B38" s="573" t="s">
        <v>634</v>
      </c>
      <c r="C38" s="849"/>
      <c r="D38" s="589"/>
      <c r="E38" s="589"/>
      <c r="F38" s="589"/>
      <c r="G38" s="589"/>
      <c r="H38" s="589"/>
      <c r="I38" s="622"/>
      <c r="J38" s="588">
        <f t="shared" si="2"/>
        <v>0</v>
      </c>
      <c r="K38" s="588">
        <f t="shared" si="1"/>
        <v>0</v>
      </c>
      <c r="L38" s="588">
        <f t="shared" si="1"/>
        <v>0</v>
      </c>
      <c r="M38" s="588">
        <f t="shared" si="1"/>
        <v>0</v>
      </c>
      <c r="N38" s="588">
        <f t="shared" si="1"/>
        <v>0</v>
      </c>
      <c r="O38" s="588">
        <f t="shared" si="1"/>
        <v>0</v>
      </c>
      <c r="P38" s="588"/>
      <c r="Q38" s="577"/>
      <c r="R38" s="2"/>
    </row>
    <row r="39" spans="1:18" ht="13.5">
      <c r="A39" s="572"/>
      <c r="B39" s="573" t="s">
        <v>635</v>
      </c>
      <c r="C39" s="849"/>
      <c r="D39" s="589"/>
      <c r="E39" s="589"/>
      <c r="F39" s="589"/>
      <c r="G39" s="589"/>
      <c r="H39" s="589"/>
      <c r="I39" s="622"/>
      <c r="J39" s="588">
        <f t="shared" si="2"/>
        <v>0</v>
      </c>
      <c r="K39" s="588">
        <f t="shared" si="1"/>
        <v>0</v>
      </c>
      <c r="L39" s="588">
        <f t="shared" si="1"/>
        <v>0</v>
      </c>
      <c r="M39" s="588">
        <f t="shared" si="1"/>
        <v>0</v>
      </c>
      <c r="N39" s="588">
        <f t="shared" si="1"/>
        <v>0</v>
      </c>
      <c r="O39" s="588">
        <f t="shared" si="1"/>
        <v>0</v>
      </c>
      <c r="P39" s="588"/>
      <c r="Q39" s="577"/>
      <c r="R39" s="2"/>
    </row>
    <row r="40" spans="1:18" ht="13.5">
      <c r="A40" s="572"/>
      <c r="B40" s="573" t="s">
        <v>636</v>
      </c>
      <c r="C40" s="849"/>
      <c r="D40" s="589"/>
      <c r="E40" s="589"/>
      <c r="F40" s="589"/>
      <c r="G40" s="589"/>
      <c r="H40" s="589"/>
      <c r="I40" s="622"/>
      <c r="J40" s="588">
        <f t="shared" si="2"/>
        <v>0</v>
      </c>
      <c r="K40" s="588">
        <f t="shared" si="1"/>
        <v>0</v>
      </c>
      <c r="L40" s="588">
        <f t="shared" si="1"/>
        <v>0</v>
      </c>
      <c r="M40" s="588">
        <f t="shared" si="1"/>
        <v>0</v>
      </c>
      <c r="N40" s="588">
        <f t="shared" si="1"/>
        <v>0</v>
      </c>
      <c r="O40" s="588">
        <f t="shared" si="1"/>
        <v>0</v>
      </c>
      <c r="P40" s="588"/>
      <c r="Q40" s="577"/>
      <c r="R40" s="2"/>
    </row>
    <row r="41" spans="1:18" ht="13.5">
      <c r="A41" s="572"/>
      <c r="B41" s="573" t="s">
        <v>637</v>
      </c>
      <c r="C41" s="849"/>
      <c r="D41" s="589"/>
      <c r="E41" s="589"/>
      <c r="F41" s="589"/>
      <c r="G41" s="589"/>
      <c r="H41" s="589"/>
      <c r="I41" s="622"/>
      <c r="J41" s="588">
        <f t="shared" si="2"/>
        <v>0</v>
      </c>
      <c r="K41" s="588">
        <f t="shared" si="1"/>
        <v>0</v>
      </c>
      <c r="L41" s="588">
        <f t="shared" si="1"/>
        <v>0</v>
      </c>
      <c r="M41" s="588">
        <f t="shared" si="1"/>
        <v>0</v>
      </c>
      <c r="N41" s="588">
        <f t="shared" si="1"/>
        <v>0</v>
      </c>
      <c r="O41" s="588">
        <f t="shared" si="1"/>
        <v>0</v>
      </c>
      <c r="P41" s="588"/>
      <c r="Q41" s="577"/>
      <c r="R41" s="2"/>
    </row>
    <row r="42" spans="1:18" ht="13.5">
      <c r="A42" s="572"/>
      <c r="B42" s="573" t="s">
        <v>638</v>
      </c>
      <c r="C42" s="849"/>
      <c r="D42" s="589"/>
      <c r="E42" s="589"/>
      <c r="F42" s="589"/>
      <c r="G42" s="589"/>
      <c r="H42" s="589"/>
      <c r="I42" s="622"/>
      <c r="J42" s="588">
        <f t="shared" si="2"/>
        <v>0</v>
      </c>
      <c r="K42" s="588">
        <f t="shared" si="1"/>
        <v>0</v>
      </c>
      <c r="L42" s="588">
        <f t="shared" si="1"/>
        <v>0</v>
      </c>
      <c r="M42" s="588">
        <f t="shared" si="1"/>
        <v>0</v>
      </c>
      <c r="N42" s="588">
        <f t="shared" si="1"/>
        <v>0</v>
      </c>
      <c r="O42" s="588">
        <f t="shared" si="1"/>
        <v>0</v>
      </c>
      <c r="P42" s="588"/>
      <c r="Q42" s="577"/>
      <c r="R42" s="2"/>
    </row>
    <row r="43" spans="1:18" ht="13.5">
      <c r="A43" s="572"/>
      <c r="B43" s="573" t="s">
        <v>639</v>
      </c>
      <c r="C43" s="849"/>
      <c r="D43" s="589"/>
      <c r="E43" s="589"/>
      <c r="F43" s="589"/>
      <c r="G43" s="589"/>
      <c r="H43" s="589"/>
      <c r="I43" s="622"/>
      <c r="J43" s="588">
        <f t="shared" si="2"/>
        <v>0</v>
      </c>
      <c r="K43" s="588">
        <f t="shared" si="1"/>
        <v>0</v>
      </c>
      <c r="L43" s="588">
        <f t="shared" si="1"/>
        <v>0</v>
      </c>
      <c r="M43" s="588">
        <f t="shared" si="1"/>
        <v>0</v>
      </c>
      <c r="N43" s="588">
        <f t="shared" si="1"/>
        <v>0</v>
      </c>
      <c r="O43" s="588">
        <f t="shared" si="1"/>
        <v>0</v>
      </c>
      <c r="P43" s="588"/>
      <c r="Q43" s="577"/>
      <c r="R43" s="2"/>
    </row>
    <row r="44" spans="1:18" ht="13.5">
      <c r="A44" s="572"/>
      <c r="B44" s="573" t="s">
        <v>851</v>
      </c>
      <c r="C44" s="588">
        <f t="shared" ref="C44:H44" si="3">SUM(C32:C43)</f>
        <v>0</v>
      </c>
      <c r="D44" s="588">
        <f t="shared" si="3"/>
        <v>0</v>
      </c>
      <c r="E44" s="588">
        <f t="shared" si="3"/>
        <v>0</v>
      </c>
      <c r="F44" s="588">
        <f t="shared" si="3"/>
        <v>0</v>
      </c>
      <c r="G44" s="588">
        <f t="shared" si="3"/>
        <v>0</v>
      </c>
      <c r="H44" s="588">
        <f t="shared" si="3"/>
        <v>0</v>
      </c>
      <c r="I44" s="588" t="s">
        <v>79</v>
      </c>
      <c r="J44" s="588">
        <f t="shared" ref="J44:O44" si="4">AVERAGE(J32:J43)</f>
        <v>0</v>
      </c>
      <c r="K44" s="588">
        <f t="shared" si="4"/>
        <v>0</v>
      </c>
      <c r="L44" s="588">
        <f t="shared" si="4"/>
        <v>0</v>
      </c>
      <c r="M44" s="588">
        <f t="shared" si="4"/>
        <v>0</v>
      </c>
      <c r="N44" s="588">
        <f t="shared" si="4"/>
        <v>0</v>
      </c>
      <c r="O44" s="588">
        <f t="shared" si="4"/>
        <v>0</v>
      </c>
      <c r="P44" s="588"/>
      <c r="Q44" s="609"/>
      <c r="R44" s="2"/>
    </row>
    <row r="45" spans="1:18" ht="13.5">
      <c r="A45" s="572"/>
      <c r="C45" s="573"/>
      <c r="D45" s="419"/>
      <c r="E45" s="419"/>
      <c r="F45" s="419"/>
      <c r="G45" s="419"/>
      <c r="H45" s="419"/>
      <c r="I45" s="419"/>
      <c r="J45" s="419"/>
      <c r="K45" s="419"/>
      <c r="L45" s="590"/>
      <c r="M45" s="573"/>
      <c r="N45" s="573"/>
      <c r="O45" s="573"/>
      <c r="Q45" s="577"/>
      <c r="R45" s="2"/>
    </row>
    <row r="46" spans="1:18" ht="13.5">
      <c r="A46" s="572"/>
      <c r="B46" s="573" t="s">
        <v>81</v>
      </c>
      <c r="C46" s="573"/>
      <c r="D46" s="419"/>
      <c r="E46" s="419"/>
      <c r="F46" s="419"/>
      <c r="G46" s="419"/>
      <c r="H46" s="419"/>
      <c r="I46" s="419"/>
      <c r="J46" s="573"/>
      <c r="K46" s="624" t="s">
        <v>80</v>
      </c>
      <c r="L46" s="419"/>
      <c r="M46" s="588">
        <f>SUM(J44:O44)</f>
        <v>0</v>
      </c>
      <c r="N46" s="588"/>
      <c r="O46" s="588"/>
      <c r="Q46" s="609"/>
      <c r="R46" s="2"/>
    </row>
    <row r="47" spans="1:18" ht="13.5">
      <c r="A47" s="572"/>
      <c r="B47" s="573"/>
      <c r="C47" s="573"/>
      <c r="D47" s="419"/>
      <c r="E47" s="419"/>
      <c r="F47" s="419"/>
      <c r="G47" s="419"/>
      <c r="H47" s="419"/>
      <c r="I47" s="419"/>
      <c r="J47" s="573"/>
      <c r="K47" s="573"/>
      <c r="L47" s="419"/>
      <c r="M47" s="588"/>
      <c r="N47" s="573"/>
      <c r="O47" s="588"/>
      <c r="Q47" s="609"/>
      <c r="R47" s="2"/>
    </row>
    <row r="48" spans="1:18" ht="13.5">
      <c r="A48" s="572"/>
      <c r="B48" s="572"/>
      <c r="C48" s="572"/>
      <c r="D48" s="573"/>
      <c r="E48" s="573"/>
      <c r="F48" s="419"/>
      <c r="G48" s="419"/>
      <c r="H48" s="419"/>
      <c r="I48" s="419"/>
      <c r="J48" s="573"/>
      <c r="L48" s="419"/>
      <c r="M48" s="591"/>
      <c r="N48" s="591"/>
      <c r="O48" s="592"/>
      <c r="Q48" s="577"/>
      <c r="R48" s="2"/>
    </row>
    <row r="49" spans="1:18" ht="13.5">
      <c r="A49" s="572">
        <v>3</v>
      </c>
      <c r="B49" s="572" t="s">
        <v>626</v>
      </c>
      <c r="C49" s="572" t="s">
        <v>601</v>
      </c>
      <c r="D49" s="579" t="s">
        <v>1095</v>
      </c>
      <c r="E49" s="573"/>
      <c r="F49" s="573"/>
      <c r="G49" s="573"/>
      <c r="H49" s="573"/>
      <c r="I49" s="573"/>
      <c r="J49" s="573"/>
      <c r="K49" s="573"/>
      <c r="L49" s="588"/>
      <c r="M49" s="573"/>
      <c r="N49" s="573"/>
      <c r="O49" s="573"/>
      <c r="P49" s="573"/>
      <c r="Q49" s="573"/>
      <c r="R49" s="573"/>
    </row>
    <row r="50" spans="1:18" ht="13.5">
      <c r="A50" s="572"/>
      <c r="B50" s="572"/>
      <c r="C50" s="572"/>
      <c r="D50" s="593"/>
      <c r="E50" s="586"/>
      <c r="F50" s="588"/>
      <c r="G50" s="1775" t="s">
        <v>1089</v>
      </c>
      <c r="H50" s="1505"/>
      <c r="I50" s="573"/>
      <c r="J50" s="573"/>
      <c r="K50" s="573"/>
      <c r="L50" s="588"/>
      <c r="M50" s="573"/>
      <c r="N50" s="573"/>
      <c r="O50" s="573"/>
      <c r="P50" s="573"/>
      <c r="Q50" s="573"/>
      <c r="R50" s="573"/>
    </row>
    <row r="51" spans="1:18" ht="13.5">
      <c r="A51" s="572"/>
      <c r="B51" s="572"/>
      <c r="C51" s="572"/>
      <c r="D51" s="594"/>
      <c r="E51" s="572"/>
      <c r="F51" s="588"/>
      <c r="G51" s="1776"/>
      <c r="H51" s="1505"/>
      <c r="I51" s="573"/>
      <c r="J51" s="573"/>
      <c r="K51" s="573"/>
      <c r="L51" s="573"/>
      <c r="M51" s="573"/>
      <c r="N51" s="573"/>
      <c r="O51" s="573"/>
      <c r="P51" s="573"/>
      <c r="Q51" s="573"/>
      <c r="R51" s="573"/>
    </row>
    <row r="52" spans="1:18" ht="13.5">
      <c r="A52" s="572">
        <v>4</v>
      </c>
      <c r="B52" s="572" t="s">
        <v>627</v>
      </c>
      <c r="C52" s="572" t="s">
        <v>601</v>
      </c>
      <c r="D52" s="573" t="s">
        <v>962</v>
      </c>
      <c r="E52" s="573"/>
      <c r="F52" s="573"/>
      <c r="G52" s="1777"/>
      <c r="H52" s="1506"/>
      <c r="I52" s="573"/>
      <c r="J52" s="573"/>
      <c r="K52" s="573"/>
      <c r="L52" s="573"/>
      <c r="M52" s="573"/>
      <c r="N52" s="573"/>
      <c r="O52" s="573"/>
      <c r="P52" s="573"/>
      <c r="Q52" s="573"/>
      <c r="R52" s="573"/>
    </row>
    <row r="53" spans="1:18" ht="13.5">
      <c r="A53" s="572"/>
      <c r="B53" s="572"/>
      <c r="C53" s="572"/>
      <c r="D53" s="584">
        <f>D50</f>
        <v>0</v>
      </c>
      <c r="E53" s="419"/>
      <c r="F53" s="594"/>
      <c r="G53" s="1775" t="s">
        <v>1089</v>
      </c>
      <c r="H53" s="1506"/>
      <c r="I53" s="573"/>
      <c r="J53" s="573"/>
      <c r="K53" s="573"/>
      <c r="L53" s="573"/>
      <c r="M53" s="573"/>
      <c r="N53" s="573"/>
      <c r="O53" s="573"/>
      <c r="P53" s="573"/>
      <c r="Q53" s="573"/>
      <c r="R53" s="573"/>
    </row>
    <row r="54" spans="1:18" ht="13.5">
      <c r="A54" s="572"/>
      <c r="B54" s="572"/>
      <c r="C54" s="572"/>
      <c r="D54" s="595"/>
      <c r="E54" s="573"/>
      <c r="F54" s="573"/>
      <c r="G54" s="1777"/>
      <c r="H54" s="1506"/>
      <c r="I54" s="573"/>
      <c r="J54" s="573"/>
      <c r="K54" s="573"/>
      <c r="L54" s="573"/>
      <c r="M54" s="573"/>
      <c r="N54" s="573"/>
      <c r="O54" s="573"/>
      <c r="P54" s="573"/>
      <c r="Q54" s="573"/>
      <c r="R54" s="573"/>
    </row>
    <row r="55" spans="1:18" ht="13.5">
      <c r="A55" s="572">
        <v>5</v>
      </c>
      <c r="B55" s="572" t="s">
        <v>628</v>
      </c>
      <c r="C55" s="572" t="s">
        <v>601</v>
      </c>
      <c r="D55" s="576" t="s">
        <v>1096</v>
      </c>
      <c r="E55" s="573"/>
      <c r="F55" s="573"/>
      <c r="G55" s="1777"/>
      <c r="H55" s="573"/>
      <c r="I55" s="573"/>
      <c r="J55" s="573"/>
      <c r="K55" s="573"/>
      <c r="L55" s="573"/>
      <c r="M55" s="573"/>
      <c r="N55" s="573"/>
      <c r="O55" s="573"/>
      <c r="P55" s="573"/>
      <c r="Q55" s="573"/>
      <c r="R55" s="573"/>
    </row>
    <row r="56" spans="1:18" ht="13.5">
      <c r="A56" s="572"/>
      <c r="B56" s="572"/>
      <c r="C56" s="572"/>
      <c r="D56" s="593">
        <f>D53</f>
        <v>0</v>
      </c>
      <c r="E56" s="573"/>
      <c r="F56" s="573"/>
      <c r="G56" s="1777"/>
      <c r="H56" s="573"/>
      <c r="I56" s="573"/>
      <c r="J56" s="573"/>
      <c r="K56" s="573"/>
      <c r="L56" s="573"/>
      <c r="M56" s="573"/>
      <c r="N56" s="573"/>
      <c r="O56" s="573"/>
      <c r="P56" s="573"/>
      <c r="Q56" s="573"/>
      <c r="R56" s="573"/>
    </row>
    <row r="57" spans="1:18" ht="13.5">
      <c r="A57" s="596"/>
      <c r="B57" s="596"/>
      <c r="C57" s="596"/>
      <c r="D57" s="597"/>
      <c r="E57" s="597"/>
      <c r="F57" s="597"/>
      <c r="G57" s="1778"/>
      <c r="H57" s="597"/>
      <c r="I57" s="597"/>
      <c r="J57" s="597"/>
      <c r="K57" s="597"/>
      <c r="L57" s="573"/>
      <c r="M57" s="573"/>
      <c r="N57" s="573"/>
      <c r="O57" s="573"/>
      <c r="P57" s="573"/>
      <c r="Q57" s="573"/>
      <c r="R57" s="573"/>
    </row>
    <row r="58" spans="1:18" ht="15.75">
      <c r="A58" s="596"/>
      <c r="B58" s="596"/>
      <c r="C58" s="596"/>
      <c r="D58" s="597"/>
      <c r="E58" s="597"/>
      <c r="F58" s="597"/>
      <c r="G58" s="1778"/>
      <c r="H58" s="597"/>
      <c r="I58" s="597"/>
      <c r="J58" s="598"/>
      <c r="K58" s="597"/>
      <c r="L58" s="573"/>
      <c r="M58" s="573"/>
      <c r="N58" s="573"/>
      <c r="O58" s="573"/>
      <c r="P58" s="573"/>
      <c r="Q58" s="573"/>
      <c r="R58" s="573"/>
    </row>
    <row r="59" spans="1:18" ht="15.75">
      <c r="A59" s="596"/>
      <c r="B59" s="596"/>
      <c r="C59" s="596"/>
      <c r="D59" s="597"/>
      <c r="E59" s="597"/>
      <c r="F59" s="597"/>
      <c r="G59" s="1778"/>
      <c r="H59" s="597"/>
      <c r="I59" s="597"/>
      <c r="J59" s="598"/>
      <c r="K59" s="597"/>
      <c r="L59" s="573"/>
      <c r="M59" s="573"/>
      <c r="N59" s="573"/>
      <c r="O59" s="573"/>
      <c r="P59" s="573"/>
      <c r="Q59" s="573"/>
      <c r="R59" s="573"/>
    </row>
    <row r="60" spans="1:18" ht="13.5">
      <c r="A60" s="572">
        <v>6</v>
      </c>
      <c r="B60" s="572" t="s">
        <v>626</v>
      </c>
      <c r="C60" s="572" t="s">
        <v>602</v>
      </c>
      <c r="D60" s="579" t="s">
        <v>1097</v>
      </c>
      <c r="E60" s="573"/>
      <c r="F60" s="573"/>
      <c r="G60" s="1777"/>
      <c r="H60" s="573"/>
      <c r="I60" s="573"/>
      <c r="J60" s="573"/>
      <c r="K60" s="573"/>
      <c r="L60" s="573"/>
      <c r="M60" s="573"/>
      <c r="N60" s="573"/>
      <c r="O60" s="573"/>
      <c r="P60" s="573"/>
      <c r="Q60" s="573"/>
      <c r="R60" s="573"/>
    </row>
    <row r="61" spans="1:18" ht="13.5">
      <c r="A61" s="572"/>
      <c r="B61" s="572"/>
      <c r="C61" s="572"/>
      <c r="D61" s="599"/>
      <c r="E61" s="573" t="s">
        <v>657</v>
      </c>
      <c r="F61" s="573"/>
      <c r="G61" s="1775" t="s">
        <v>1089</v>
      </c>
      <c r="H61" s="573"/>
      <c r="I61" s="573"/>
      <c r="J61" s="419"/>
      <c r="K61" s="573"/>
      <c r="L61" s="573"/>
      <c r="M61" s="573"/>
      <c r="N61" s="573"/>
      <c r="O61" s="573"/>
      <c r="P61" s="573"/>
      <c r="Q61" s="573"/>
      <c r="R61" s="573"/>
    </row>
    <row r="62" spans="1:18" ht="13.5">
      <c r="A62" s="572"/>
      <c r="B62" s="572"/>
      <c r="C62" s="572"/>
      <c r="D62" s="600"/>
      <c r="E62" s="573"/>
      <c r="F62" s="573"/>
      <c r="G62" s="1779"/>
      <c r="H62" s="573"/>
      <c r="I62" s="573"/>
      <c r="J62" s="573"/>
      <c r="K62" s="573"/>
      <c r="L62" s="573"/>
      <c r="M62" s="573"/>
      <c r="N62" s="573"/>
      <c r="O62" s="573"/>
      <c r="P62" s="573"/>
      <c r="Q62" s="573"/>
      <c r="R62" s="573"/>
    </row>
    <row r="63" spans="1:18" ht="13.5">
      <c r="A63" s="572"/>
      <c r="B63" s="572"/>
      <c r="C63" s="572"/>
      <c r="D63" s="601"/>
      <c r="E63" s="573"/>
      <c r="F63" s="573"/>
      <c r="G63" s="1777"/>
      <c r="H63" s="573"/>
      <c r="I63" s="573"/>
      <c r="J63" s="573"/>
      <c r="K63" s="573"/>
      <c r="L63" s="573"/>
      <c r="M63" s="573"/>
      <c r="N63" s="573"/>
      <c r="O63" s="573"/>
      <c r="P63" s="573"/>
      <c r="Q63" s="573"/>
      <c r="R63" s="573"/>
    </row>
    <row r="64" spans="1:18" ht="13.5">
      <c r="A64" s="572"/>
      <c r="B64" s="572"/>
      <c r="C64" s="572"/>
      <c r="D64" s="573"/>
      <c r="E64" s="573"/>
      <c r="F64" s="573"/>
      <c r="G64" s="1777"/>
      <c r="H64" s="588"/>
      <c r="I64" s="573"/>
      <c r="J64" s="573"/>
      <c r="K64" s="573"/>
      <c r="L64" s="573"/>
      <c r="M64" s="573"/>
      <c r="N64" s="573"/>
      <c r="O64" s="573"/>
      <c r="P64" s="573"/>
      <c r="Q64" s="573"/>
      <c r="R64" s="573"/>
    </row>
    <row r="65" spans="1:18" ht="13.5">
      <c r="A65" s="572">
        <v>7</v>
      </c>
      <c r="B65" s="572" t="s">
        <v>626</v>
      </c>
      <c r="C65" s="572" t="s">
        <v>602</v>
      </c>
      <c r="D65" s="579" t="str">
        <f>+'6 - Est and True up'!D65</f>
        <v>Reconciliation</v>
      </c>
      <c r="E65" s="580"/>
      <c r="F65" s="580"/>
      <c r="G65" s="1780"/>
      <c r="H65" s="580"/>
      <c r="I65" s="580"/>
      <c r="J65" s="580"/>
      <c r="K65" s="573"/>
      <c r="L65" s="573"/>
      <c r="M65" s="573"/>
      <c r="N65" s="573"/>
      <c r="O65" s="573"/>
      <c r="P65" s="573"/>
      <c r="Q65" s="573"/>
      <c r="R65" s="573"/>
    </row>
    <row r="66" spans="1:18" ht="13.5">
      <c r="A66" s="572"/>
      <c r="B66" s="572"/>
      <c r="C66" s="572"/>
      <c r="D66" s="602"/>
      <c r="E66" s="603"/>
      <c r="F66" s="603"/>
      <c r="G66" s="1781"/>
      <c r="H66" s="580"/>
      <c r="I66" s="580"/>
      <c r="J66" s="580"/>
      <c r="K66" s="573"/>
      <c r="L66" s="573"/>
      <c r="M66" s="573"/>
      <c r="N66" s="573"/>
      <c r="O66" s="573"/>
      <c r="P66" s="573"/>
      <c r="Q66" s="573"/>
      <c r="R66" s="573"/>
    </row>
    <row r="67" spans="1:18" ht="13.5">
      <c r="A67" s="572"/>
      <c r="B67" s="573"/>
      <c r="C67" s="573"/>
      <c r="D67" s="419"/>
      <c r="E67" s="419"/>
      <c r="F67" s="419"/>
      <c r="G67" s="1782"/>
      <c r="H67" s="419"/>
      <c r="I67" s="419"/>
      <c r="J67" s="573"/>
      <c r="K67" s="573"/>
      <c r="L67" s="588"/>
      <c r="M67" s="573"/>
      <c r="N67" s="419"/>
      <c r="O67" s="573"/>
      <c r="P67" s="573"/>
      <c r="Q67" s="577"/>
      <c r="R67" s="618"/>
    </row>
    <row r="68" spans="1:18" ht="13.5">
      <c r="A68" s="572"/>
      <c r="B68" s="572"/>
      <c r="C68" s="572"/>
      <c r="D68" s="599">
        <v>6516833</v>
      </c>
      <c r="E68" s="605" t="s">
        <v>980</v>
      </c>
      <c r="F68" s="573"/>
      <c r="G68" s="1775" t="s">
        <v>1089</v>
      </c>
      <c r="H68" s="573"/>
      <c r="I68" s="573"/>
      <c r="J68" s="573"/>
      <c r="K68" s="573"/>
      <c r="L68" s="588"/>
      <c r="M68" s="573"/>
      <c r="N68" s="419"/>
      <c r="O68" s="607"/>
      <c r="P68" s="608"/>
      <c r="Q68" s="608"/>
      <c r="R68" s="608"/>
    </row>
    <row r="69" spans="1:18" ht="13.5">
      <c r="A69" s="420"/>
      <c r="B69" s="572"/>
      <c r="C69" s="572"/>
      <c r="D69" s="419"/>
      <c r="E69" s="573" t="s">
        <v>1000</v>
      </c>
      <c r="F69" s="573"/>
      <c r="G69" s="577"/>
      <c r="H69" s="609"/>
      <c r="I69" s="577"/>
      <c r="J69" s="573"/>
      <c r="K69" s="573"/>
      <c r="L69" s="573"/>
      <c r="M69" s="573"/>
      <c r="N69" s="573"/>
      <c r="O69" s="573"/>
      <c r="P69" s="573"/>
      <c r="Q69" s="573"/>
      <c r="R69" s="573"/>
    </row>
    <row r="70" spans="1:18" ht="13.5">
      <c r="A70" s="572"/>
      <c r="B70" s="572"/>
      <c r="C70" s="572"/>
      <c r="D70" s="605"/>
      <c r="E70" s="573"/>
      <c r="F70" s="573"/>
      <c r="G70" s="577"/>
      <c r="H70" s="609"/>
      <c r="I70" s="577"/>
      <c r="J70" s="573"/>
      <c r="K70" s="573"/>
      <c r="L70" s="573"/>
      <c r="M70" s="573"/>
      <c r="N70" s="573"/>
      <c r="O70" s="573"/>
      <c r="P70" s="573"/>
      <c r="Q70" s="573"/>
      <c r="R70" s="573"/>
    </row>
    <row r="71" spans="1:18" ht="13.5">
      <c r="A71" s="420"/>
      <c r="B71" s="572"/>
      <c r="C71" s="572"/>
      <c r="D71" s="610">
        <v>0</v>
      </c>
      <c r="E71" s="573" t="s">
        <v>421</v>
      </c>
      <c r="F71" s="573"/>
      <c r="G71" s="577"/>
      <c r="H71" s="609"/>
      <c r="I71" s="577"/>
      <c r="J71" s="573"/>
      <c r="K71" s="573"/>
      <c r="L71" s="573"/>
      <c r="M71" s="573"/>
      <c r="N71" s="573"/>
      <c r="O71" s="573"/>
      <c r="P71" s="573"/>
      <c r="Q71" s="573"/>
      <c r="R71" s="573"/>
    </row>
    <row r="72" spans="1:18" ht="13.5">
      <c r="A72" s="420"/>
      <c r="B72" s="572"/>
      <c r="C72" s="572"/>
      <c r="D72" s="419"/>
      <c r="E72" s="573"/>
      <c r="F72" s="573"/>
      <c r="G72" s="577"/>
      <c r="H72" s="609"/>
      <c r="I72" s="577"/>
      <c r="J72" s="573"/>
      <c r="K72" s="573"/>
      <c r="L72" s="573"/>
      <c r="M72" s="573"/>
      <c r="N72" s="573"/>
      <c r="O72" s="573"/>
      <c r="P72" s="573"/>
      <c r="Q72" s="573"/>
      <c r="R72" s="573"/>
    </row>
    <row r="73" spans="1:18" ht="13.5">
      <c r="A73" s="572"/>
      <c r="B73" s="572"/>
      <c r="C73" s="572"/>
      <c r="D73" s="605"/>
      <c r="E73" s="573"/>
      <c r="F73" s="573"/>
      <c r="G73" s="577"/>
      <c r="H73" s="609"/>
      <c r="I73" s="577"/>
      <c r="J73" s="573"/>
      <c r="K73" s="573"/>
      <c r="L73" s="573"/>
      <c r="M73" s="573"/>
      <c r="N73" s="573"/>
      <c r="O73" s="573"/>
      <c r="P73" s="573"/>
      <c r="Q73" s="573"/>
      <c r="R73" s="573"/>
    </row>
    <row r="74" spans="1:18" ht="13.5">
      <c r="A74" s="572">
        <v>8</v>
      </c>
      <c r="B74" s="572" t="s">
        <v>626</v>
      </c>
      <c r="C74" s="572" t="s">
        <v>602</v>
      </c>
      <c r="D74" s="579" t="str">
        <f>+'6A-Colstrip'!D74</f>
        <v>True-Up Adjustment</v>
      </c>
      <c r="E74" s="573"/>
      <c r="F74" s="573"/>
      <c r="G74" s="573"/>
      <c r="H74" s="573"/>
      <c r="I74" s="573"/>
      <c r="J74" s="573"/>
      <c r="K74" s="573"/>
      <c r="L74" s="573"/>
      <c r="M74" s="573"/>
      <c r="N74" s="573"/>
      <c r="O74" s="573"/>
      <c r="P74" s="573"/>
      <c r="Q74" s="573"/>
      <c r="R74" s="573"/>
    </row>
    <row r="75" spans="1:18" ht="13.5">
      <c r="A75" s="572"/>
      <c r="B75" s="572"/>
      <c r="C75" s="572"/>
      <c r="D75" s="579"/>
      <c r="E75" s="573"/>
      <c r="F75" s="573"/>
      <c r="G75" s="573"/>
      <c r="H75" s="573"/>
      <c r="I75" s="573"/>
      <c r="J75" s="573"/>
      <c r="K75" s="573"/>
      <c r="L75" s="573"/>
      <c r="M75" s="573"/>
      <c r="N75" s="573"/>
      <c r="O75" s="573"/>
      <c r="P75" s="573"/>
      <c r="Q75" s="573"/>
      <c r="R75" s="573"/>
    </row>
    <row r="76" spans="1:18" ht="13.5">
      <c r="A76" s="575"/>
      <c r="B76" s="575"/>
      <c r="C76" s="572"/>
      <c r="D76" s="418" t="s">
        <v>944</v>
      </c>
      <c r="E76" s="419"/>
      <c r="F76" s="419"/>
      <c r="G76" s="419"/>
      <c r="H76" s="419"/>
      <c r="I76" s="419"/>
      <c r="J76" s="419"/>
      <c r="K76" s="419"/>
      <c r="L76" s="573"/>
      <c r="M76" s="573"/>
      <c r="N76" s="573"/>
      <c r="O76" s="573"/>
      <c r="P76" s="573"/>
      <c r="Q76" s="573"/>
      <c r="R76" s="573"/>
    </row>
    <row r="77" spans="1:18" ht="13.5">
      <c r="A77" s="575"/>
      <c r="B77" s="575"/>
      <c r="C77" s="572"/>
      <c r="D77" s="419"/>
      <c r="E77" s="573" t="s">
        <v>1001</v>
      </c>
      <c r="F77" s="573"/>
      <c r="G77" s="573"/>
      <c r="H77" s="573"/>
      <c r="I77" s="573"/>
      <c r="J77" s="573"/>
      <c r="K77" s="419"/>
      <c r="L77" s="573"/>
      <c r="M77" s="573"/>
      <c r="N77" s="573"/>
      <c r="O77" s="573"/>
      <c r="P77" s="573"/>
      <c r="Q77" s="573"/>
      <c r="R77" s="573"/>
    </row>
    <row r="78" spans="1:18" ht="27">
      <c r="A78" s="575"/>
      <c r="B78" s="575"/>
      <c r="C78" s="572"/>
      <c r="D78" s="419"/>
      <c r="E78" s="828" t="s">
        <v>622</v>
      </c>
      <c r="F78" s="828" t="s">
        <v>1002</v>
      </c>
      <c r="G78" s="828" t="s">
        <v>1003</v>
      </c>
      <c r="H78" s="828" t="s">
        <v>1004</v>
      </c>
      <c r="I78" s="828" t="s">
        <v>1005</v>
      </c>
      <c r="J78" s="828" t="s">
        <v>1006</v>
      </c>
      <c r="K78" s="604"/>
      <c r="L78" s="573"/>
      <c r="M78" s="1762" t="s">
        <v>1101</v>
      </c>
      <c r="N78" s="625"/>
      <c r="O78" s="573"/>
      <c r="P78" s="573"/>
      <c r="Q78" s="573"/>
      <c r="R78" s="573"/>
    </row>
    <row r="79" spans="1:18" ht="13.5">
      <c r="A79" s="575"/>
      <c r="B79" s="575"/>
      <c r="C79" s="572"/>
      <c r="D79" s="419"/>
      <c r="E79" s="573" t="s">
        <v>629</v>
      </c>
      <c r="F79" s="843">
        <v>0.7525178098387455</v>
      </c>
      <c r="G79" s="611">
        <f>'WKSHT4 - Monthly Tx System Peak'!C34</f>
        <v>700</v>
      </c>
      <c r="H79" s="626">
        <f t="shared" ref="H79:H90" si="5">+F79*G79*1000</f>
        <v>526762.46688712179</v>
      </c>
      <c r="I79" s="1348">
        <f t="shared" ref="I79:I83" si="6">-464689/12</f>
        <v>-38724.083333333336</v>
      </c>
      <c r="J79" s="626">
        <f t="shared" ref="J79:J90" si="7">+H79-I79</f>
        <v>565486.55022045516</v>
      </c>
      <c r="K79" s="419"/>
      <c r="L79" s="573"/>
      <c r="M79" s="1348"/>
      <c r="N79" s="2014"/>
      <c r="O79" s="573"/>
      <c r="P79" s="573"/>
      <c r="Q79" s="573"/>
      <c r="R79" s="573"/>
    </row>
    <row r="80" spans="1:18" ht="13.5">
      <c r="A80" s="575"/>
      <c r="B80" s="575"/>
      <c r="C80" s="572"/>
      <c r="D80" s="419"/>
      <c r="E80" s="573" t="s">
        <v>630</v>
      </c>
      <c r="F80" s="843">
        <v>0.7525178098387455</v>
      </c>
      <c r="G80" s="611">
        <f>'WKSHT4 - Monthly Tx System Peak'!C35</f>
        <v>700</v>
      </c>
      <c r="H80" s="626">
        <f t="shared" si="5"/>
        <v>526762.46688712179</v>
      </c>
      <c r="I80" s="1348">
        <f t="shared" si="6"/>
        <v>-38724.083333333336</v>
      </c>
      <c r="J80" s="626">
        <f t="shared" si="7"/>
        <v>565486.55022045516</v>
      </c>
      <c r="K80" s="419"/>
      <c r="L80" s="573"/>
      <c r="M80" s="1786"/>
      <c r="N80" s="2014"/>
      <c r="O80" s="573"/>
      <c r="P80" s="573"/>
      <c r="Q80" s="573"/>
      <c r="R80" s="573"/>
    </row>
    <row r="81" spans="1:18" ht="13.5">
      <c r="A81" s="575"/>
      <c r="B81" s="575"/>
      <c r="C81" s="572"/>
      <c r="D81" s="419"/>
      <c r="E81" s="573" t="s">
        <v>631</v>
      </c>
      <c r="F81" s="843">
        <v>0.7525178098387455</v>
      </c>
      <c r="G81" s="611">
        <f>'WKSHT4 - Monthly Tx System Peak'!C36</f>
        <v>700</v>
      </c>
      <c r="H81" s="626">
        <f t="shared" si="5"/>
        <v>526762.46688712179</v>
      </c>
      <c r="I81" s="1348">
        <f t="shared" si="6"/>
        <v>-38724.083333333336</v>
      </c>
      <c r="J81" s="626">
        <f t="shared" si="7"/>
        <v>565486.55022045516</v>
      </c>
      <c r="K81" s="419"/>
      <c r="L81" s="573"/>
      <c r="M81" s="611"/>
      <c r="N81" s="611"/>
      <c r="O81" s="573"/>
      <c r="P81" s="573"/>
      <c r="Q81" s="573"/>
      <c r="R81" s="573"/>
    </row>
    <row r="82" spans="1:18" ht="13.5">
      <c r="A82" s="575"/>
      <c r="B82" s="575"/>
      <c r="C82" s="572"/>
      <c r="D82" s="419"/>
      <c r="E82" s="573" t="s">
        <v>632</v>
      </c>
      <c r="F82" s="843">
        <v>0.7525178098387455</v>
      </c>
      <c r="G82" s="611">
        <f>'WKSHT4 - Monthly Tx System Peak'!C38</f>
        <v>700</v>
      </c>
      <c r="H82" s="626">
        <f t="shared" si="5"/>
        <v>526762.46688712179</v>
      </c>
      <c r="I82" s="1348">
        <f t="shared" si="6"/>
        <v>-38724.083333333336</v>
      </c>
      <c r="J82" s="626">
        <f t="shared" si="7"/>
        <v>565486.55022045516</v>
      </c>
      <c r="K82" s="419"/>
      <c r="L82" s="573"/>
      <c r="M82" s="611"/>
      <c r="N82" s="611"/>
      <c r="O82" s="573"/>
      <c r="P82" s="573"/>
      <c r="Q82" s="573"/>
      <c r="R82" s="573"/>
    </row>
    <row r="83" spans="1:18" ht="13.5">
      <c r="A83" s="575"/>
      <c r="B83" s="575"/>
      <c r="C83" s="572"/>
      <c r="D83" s="419"/>
      <c r="E83" s="573" t="s">
        <v>627</v>
      </c>
      <c r="F83" s="843">
        <v>0.7525178098387455</v>
      </c>
      <c r="G83" s="611">
        <f>'WKSHT4 - Monthly Tx System Peak'!C39</f>
        <v>700</v>
      </c>
      <c r="H83" s="626">
        <f t="shared" si="5"/>
        <v>526762.46688712179</v>
      </c>
      <c r="I83" s="1348">
        <f t="shared" si="6"/>
        <v>-38724.083333333336</v>
      </c>
      <c r="J83" s="626">
        <f t="shared" si="7"/>
        <v>565486.55022045516</v>
      </c>
      <c r="K83" s="419"/>
      <c r="L83" s="573"/>
      <c r="M83" s="611"/>
      <c r="N83" s="611"/>
      <c r="O83" s="573"/>
      <c r="P83" s="573"/>
      <c r="Q83" s="573"/>
      <c r="R83" s="573"/>
    </row>
    <row r="84" spans="1:18" ht="15.75">
      <c r="A84" s="575"/>
      <c r="B84" s="575"/>
      <c r="C84" s="572"/>
      <c r="D84" s="419"/>
      <c r="E84" s="573" t="s">
        <v>633</v>
      </c>
      <c r="F84" s="843">
        <v>0.71134324956735384</v>
      </c>
      <c r="G84" s="611">
        <f>'WKSHT4 - Monthly Tx System Peak'!C40</f>
        <v>700</v>
      </c>
      <c r="H84" s="626">
        <f t="shared" si="5"/>
        <v>497940.27469714766</v>
      </c>
      <c r="I84" s="1348">
        <f>-542653/12</f>
        <v>-45221.083333333336</v>
      </c>
      <c r="J84" s="626">
        <f t="shared" si="7"/>
        <v>543161.35803048103</v>
      </c>
      <c r="K84" s="419"/>
      <c r="L84" s="573"/>
      <c r="M84" s="1763">
        <f>SUM(M79:M83)</f>
        <v>0</v>
      </c>
      <c r="N84" s="577" t="s">
        <v>1102</v>
      </c>
      <c r="O84" s="573"/>
      <c r="P84" s="573"/>
      <c r="Q84" s="573"/>
      <c r="R84" s="573"/>
    </row>
    <row r="85" spans="1:18" ht="13.5">
      <c r="A85" s="575"/>
      <c r="B85" s="575"/>
      <c r="C85" s="572"/>
      <c r="D85" s="419"/>
      <c r="E85" s="573" t="s">
        <v>634</v>
      </c>
      <c r="F85" s="843">
        <v>0.71134324956735384</v>
      </c>
      <c r="G85" s="611">
        <f>'WKSHT4 - Monthly Tx System Peak'!C42</f>
        <v>700</v>
      </c>
      <c r="H85" s="626">
        <f t="shared" si="5"/>
        <v>497940.27469714766</v>
      </c>
      <c r="I85" s="1348">
        <f t="shared" ref="I85:I90" si="8">-542653/12</f>
        <v>-45221.083333333336</v>
      </c>
      <c r="J85" s="626">
        <f t="shared" si="7"/>
        <v>543161.35803048103</v>
      </c>
      <c r="K85" s="419"/>
      <c r="L85" s="573"/>
      <c r="M85" s="573"/>
      <c r="N85" s="573"/>
      <c r="O85" s="573"/>
      <c r="P85" s="573"/>
      <c r="Q85" s="573"/>
      <c r="R85" s="573"/>
    </row>
    <row r="86" spans="1:18" ht="13.5">
      <c r="A86" s="575"/>
      <c r="B86" s="575"/>
      <c r="C86" s="572"/>
      <c r="D86" s="419"/>
      <c r="E86" s="573" t="s">
        <v>635</v>
      </c>
      <c r="F86" s="843">
        <v>0.71134324956735384</v>
      </c>
      <c r="G86" s="611">
        <f>'WKSHT4 - Monthly Tx System Peak'!C43</f>
        <v>700</v>
      </c>
      <c r="H86" s="626">
        <f t="shared" si="5"/>
        <v>497940.27469714766</v>
      </c>
      <c r="I86" s="1348">
        <f t="shared" si="8"/>
        <v>-45221.083333333336</v>
      </c>
      <c r="J86" s="626">
        <f t="shared" si="7"/>
        <v>543161.35803048103</v>
      </c>
      <c r="K86" s="419"/>
      <c r="L86" s="573"/>
      <c r="M86" s="573"/>
      <c r="N86" s="573"/>
      <c r="O86" s="573"/>
      <c r="P86" s="573"/>
      <c r="Q86" s="573"/>
      <c r="R86" s="573"/>
    </row>
    <row r="87" spans="1:18" ht="13.5">
      <c r="A87" s="575"/>
      <c r="B87" s="575"/>
      <c r="C87" s="572"/>
      <c r="D87" s="419"/>
      <c r="E87" s="573" t="s">
        <v>636</v>
      </c>
      <c r="F87" s="843">
        <v>0.71134324956735384</v>
      </c>
      <c r="G87" s="611">
        <f>'WKSHT4 - Monthly Tx System Peak'!C44</f>
        <v>700</v>
      </c>
      <c r="H87" s="626">
        <f t="shared" si="5"/>
        <v>497940.27469714766</v>
      </c>
      <c r="I87" s="1348">
        <f t="shared" si="8"/>
        <v>-45221.083333333336</v>
      </c>
      <c r="J87" s="626">
        <f t="shared" si="7"/>
        <v>543161.35803048103</v>
      </c>
      <c r="K87" s="419"/>
      <c r="L87" s="573"/>
      <c r="M87" s="573"/>
      <c r="N87" s="573"/>
      <c r="O87" s="573"/>
      <c r="P87" s="573"/>
      <c r="Q87" s="573"/>
      <c r="R87" s="573"/>
    </row>
    <row r="88" spans="1:18" ht="13.5">
      <c r="A88" s="575"/>
      <c r="B88" s="575"/>
      <c r="C88" s="572"/>
      <c r="D88" s="419"/>
      <c r="E88" s="573" t="s">
        <v>637</v>
      </c>
      <c r="F88" s="843">
        <v>0.71134324956735384</v>
      </c>
      <c r="G88" s="611">
        <f>'WKSHT4 - Monthly Tx System Peak'!C46</f>
        <v>700</v>
      </c>
      <c r="H88" s="626">
        <f t="shared" si="5"/>
        <v>497940.27469714766</v>
      </c>
      <c r="I88" s="1348">
        <f t="shared" si="8"/>
        <v>-45221.083333333336</v>
      </c>
      <c r="J88" s="626">
        <f t="shared" si="7"/>
        <v>543161.35803048103</v>
      </c>
      <c r="K88" s="419"/>
      <c r="L88" s="573"/>
      <c r="M88" s="573"/>
      <c r="N88" s="573"/>
      <c r="O88" s="573"/>
      <c r="P88" s="573"/>
      <c r="Q88" s="573"/>
      <c r="R88" s="573"/>
    </row>
    <row r="89" spans="1:18" ht="13.5">
      <c r="A89" s="575"/>
      <c r="B89" s="575"/>
      <c r="C89" s="572"/>
      <c r="D89" s="419"/>
      <c r="E89" s="573" t="s">
        <v>638</v>
      </c>
      <c r="F89" s="843">
        <v>0.71134324956735384</v>
      </c>
      <c r="G89" s="611">
        <f>'WKSHT4 - Monthly Tx System Peak'!C47</f>
        <v>700</v>
      </c>
      <c r="H89" s="626">
        <f t="shared" si="5"/>
        <v>497940.27469714766</v>
      </c>
      <c r="I89" s="1348">
        <f t="shared" si="8"/>
        <v>-45221.083333333336</v>
      </c>
      <c r="J89" s="626">
        <f t="shared" si="7"/>
        <v>543161.35803048103</v>
      </c>
      <c r="K89" s="419"/>
      <c r="L89" s="573"/>
      <c r="M89" s="573"/>
      <c r="N89" s="573"/>
      <c r="O89" s="573"/>
      <c r="P89" s="573"/>
      <c r="Q89" s="573"/>
      <c r="R89" s="573"/>
    </row>
    <row r="90" spans="1:18" ht="13.5">
      <c r="A90" s="575"/>
      <c r="B90" s="575"/>
      <c r="C90" s="572"/>
      <c r="D90" s="419"/>
      <c r="E90" s="573" t="s">
        <v>639</v>
      </c>
      <c r="F90" s="843">
        <v>0.71134324956735384</v>
      </c>
      <c r="G90" s="611">
        <f>'WKSHT4 - Monthly Tx System Peak'!C48</f>
        <v>700</v>
      </c>
      <c r="H90" s="626">
        <f t="shared" si="5"/>
        <v>497940.27469714766</v>
      </c>
      <c r="I90" s="1348">
        <f t="shared" si="8"/>
        <v>-45221.083333333336</v>
      </c>
      <c r="J90" s="626">
        <f t="shared" si="7"/>
        <v>543161.35803048103</v>
      </c>
      <c r="K90" s="419"/>
      <c r="L90" s="573"/>
      <c r="M90" s="573"/>
      <c r="N90" s="573"/>
      <c r="O90" s="573"/>
      <c r="P90" s="573"/>
      <c r="Q90" s="573"/>
      <c r="R90" s="573"/>
    </row>
    <row r="91" spans="1:18" ht="13.5">
      <c r="A91" s="575"/>
      <c r="B91" s="575"/>
      <c r="C91" s="572"/>
      <c r="D91" s="573"/>
      <c r="E91" s="573" t="s">
        <v>1007</v>
      </c>
      <c r="F91" s="612"/>
      <c r="G91" s="612"/>
      <c r="H91" s="612"/>
      <c r="I91" s="612"/>
      <c r="J91" s="612">
        <f>SUM(J79:J90)</f>
        <v>6629562.2573156441</v>
      </c>
      <c r="K91" s="419"/>
      <c r="L91" s="573"/>
      <c r="M91" s="573"/>
      <c r="N91" s="573"/>
      <c r="O91" s="573"/>
      <c r="P91" s="573"/>
      <c r="Q91" s="573"/>
      <c r="R91" s="573"/>
    </row>
    <row r="92" spans="1:18" ht="13.5">
      <c r="A92" s="575"/>
      <c r="B92" s="575"/>
      <c r="C92" s="572"/>
      <c r="D92" s="573"/>
      <c r="E92" s="612"/>
      <c r="F92" s="612"/>
      <c r="G92" s="612"/>
      <c r="H92" s="612"/>
      <c r="I92" s="612"/>
      <c r="J92" s="419"/>
      <c r="K92" s="419"/>
      <c r="L92" s="573"/>
      <c r="M92" s="573"/>
      <c r="N92" s="573"/>
      <c r="O92" s="573"/>
      <c r="P92" s="573"/>
      <c r="Q92" s="573"/>
      <c r="R92" s="573"/>
    </row>
    <row r="93" spans="1:18" ht="13.5">
      <c r="A93" s="575"/>
      <c r="B93" s="575"/>
      <c r="C93" s="572"/>
      <c r="D93" s="579"/>
      <c r="E93" s="573"/>
      <c r="F93" s="419"/>
      <c r="G93" s="573"/>
      <c r="H93" s="573"/>
      <c r="I93" s="573"/>
      <c r="J93" s="573"/>
      <c r="K93" s="573"/>
      <c r="L93" s="573"/>
      <c r="M93" s="573"/>
      <c r="N93" s="573"/>
      <c r="O93" s="573"/>
      <c r="P93" s="573"/>
      <c r="Q93" s="573"/>
      <c r="R93" s="573"/>
    </row>
    <row r="94" spans="1:18" ht="31.5">
      <c r="A94" s="575"/>
      <c r="B94" s="575"/>
      <c r="C94" s="572"/>
      <c r="D94" s="1764" t="s">
        <v>1008</v>
      </c>
      <c r="E94" s="1787"/>
      <c r="F94" s="1787" t="s">
        <v>983</v>
      </c>
      <c r="G94" s="573"/>
      <c r="H94" s="1766" t="s">
        <v>1103</v>
      </c>
      <c r="I94" s="176"/>
      <c r="J94" s="1767" t="s">
        <v>1104</v>
      </c>
      <c r="K94" s="185"/>
      <c r="L94" s="1768" t="s">
        <v>1105</v>
      </c>
      <c r="M94" s="573"/>
      <c r="N94" s="573"/>
      <c r="O94" s="573"/>
      <c r="P94" s="573"/>
      <c r="Q94" s="573"/>
      <c r="R94" s="573"/>
    </row>
    <row r="95" spans="1:18" ht="13.5">
      <c r="A95" s="575"/>
      <c r="B95" s="575"/>
      <c r="C95" s="579" t="s">
        <v>1009</v>
      </c>
      <c r="D95" s="609">
        <f>D68</f>
        <v>6516833</v>
      </c>
      <c r="E95" s="572" t="s">
        <v>422</v>
      </c>
      <c r="F95" s="609">
        <f>J91</f>
        <v>6629562.2573156441</v>
      </c>
      <c r="G95" s="572" t="s">
        <v>423</v>
      </c>
      <c r="H95" s="588">
        <f>D95-F95</f>
        <v>-112729.25731564406</v>
      </c>
      <c r="I95" s="572" t="s">
        <v>422</v>
      </c>
      <c r="J95" s="1783">
        <f>M84</f>
        <v>0</v>
      </c>
      <c r="K95" s="572" t="s">
        <v>423</v>
      </c>
      <c r="L95" s="1744">
        <f>H95-J95</f>
        <v>-112729.25731564406</v>
      </c>
      <c r="M95" s="183"/>
      <c r="N95" s="573"/>
      <c r="O95" s="573"/>
      <c r="P95" s="573"/>
      <c r="Q95" s="573"/>
      <c r="R95" s="573"/>
    </row>
    <row r="96" spans="1:18" ht="15.75">
      <c r="A96" s="572"/>
      <c r="B96" s="572"/>
      <c r="C96" s="572"/>
      <c r="D96" s="613"/>
      <c r="E96" s="572"/>
      <c r="F96" s="588"/>
      <c r="G96" s="572"/>
      <c r="H96" s="588"/>
      <c r="I96" s="573"/>
      <c r="J96" s="176"/>
      <c r="K96" s="12"/>
      <c r="L96" s="12"/>
      <c r="M96" s="183"/>
      <c r="N96" s="573"/>
      <c r="O96" s="573"/>
      <c r="P96" s="573"/>
      <c r="Q96" s="573"/>
      <c r="R96" s="573"/>
    </row>
    <row r="97" spans="1:18" ht="15.75">
      <c r="A97" s="572"/>
      <c r="B97" s="572"/>
      <c r="C97" s="572"/>
      <c r="D97" s="613"/>
      <c r="E97" s="572"/>
      <c r="F97" s="588"/>
      <c r="G97" s="572"/>
      <c r="H97" s="588"/>
      <c r="I97" s="573"/>
      <c r="J97" s="176"/>
      <c r="K97" s="12"/>
      <c r="L97" s="12"/>
      <c r="M97" s="183"/>
      <c r="N97" s="573"/>
      <c r="O97" s="573"/>
      <c r="P97" s="573"/>
      <c r="Q97" s="573"/>
      <c r="R97" s="573"/>
    </row>
    <row r="98" spans="1:18" ht="15.75">
      <c r="A98" s="572"/>
      <c r="B98" s="572"/>
      <c r="C98" s="572"/>
      <c r="D98" s="1321" t="s">
        <v>640</v>
      </c>
      <c r="E98" s="575"/>
      <c r="F98" s="609"/>
      <c r="G98" s="572"/>
      <c r="H98" s="588"/>
      <c r="I98" s="573"/>
      <c r="J98" s="176"/>
      <c r="K98" s="12"/>
      <c r="L98" s="12"/>
      <c r="M98" s="183"/>
      <c r="N98" s="573"/>
      <c r="O98" s="573"/>
      <c r="P98" s="573"/>
      <c r="Q98" s="573"/>
      <c r="R98" s="573"/>
    </row>
    <row r="99" spans="1:18" ht="15.75">
      <c r="A99" s="572"/>
      <c r="B99" s="572"/>
      <c r="C99" s="572"/>
      <c r="D99" s="2012" t="s">
        <v>1010</v>
      </c>
      <c r="E99" s="2012"/>
      <c r="F99" s="176">
        <f>'6 - Est and True up'!F119</f>
        <v>6.3E-3</v>
      </c>
      <c r="G99" s="575"/>
      <c r="H99" s="609"/>
      <c r="I99" s="573"/>
      <c r="J99" s="176"/>
      <c r="K99" s="12"/>
      <c r="L99" s="12"/>
      <c r="M99" s="183"/>
      <c r="N99" s="573"/>
      <c r="O99" s="573"/>
      <c r="P99" s="573"/>
      <c r="Q99" s="573"/>
      <c r="R99" s="573"/>
    </row>
    <row r="100" spans="1:18" ht="13.5">
      <c r="A100" s="572"/>
      <c r="B100" s="572"/>
      <c r="C100" s="572"/>
      <c r="D100" s="606" t="s">
        <v>622</v>
      </c>
      <c r="E100" s="572" t="s">
        <v>641</v>
      </c>
      <c r="F100" s="575" t="s">
        <v>1011</v>
      </c>
      <c r="G100" s="1741" t="s">
        <v>1012</v>
      </c>
      <c r="H100" s="575"/>
      <c r="I100" s="606" t="s">
        <v>642</v>
      </c>
      <c r="J100" s="576" t="s">
        <v>1013</v>
      </c>
      <c r="K100" s="573"/>
      <c r="L100" s="573"/>
      <c r="M100" s="573"/>
      <c r="N100" s="573"/>
      <c r="O100" s="573"/>
      <c r="P100" s="573"/>
      <c r="Q100" s="573"/>
      <c r="R100" s="573"/>
    </row>
    <row r="101" spans="1:18" ht="13.5">
      <c r="A101" s="572"/>
      <c r="B101" s="572"/>
      <c r="C101" s="572"/>
      <c r="D101" s="572"/>
      <c r="E101" s="572"/>
      <c r="F101" s="575" t="s">
        <v>1014</v>
      </c>
      <c r="G101" s="575" t="s">
        <v>1015</v>
      </c>
      <c r="H101" s="575" t="s">
        <v>643</v>
      </c>
      <c r="I101" s="572"/>
      <c r="J101" s="572"/>
      <c r="K101" s="573" t="s">
        <v>1016</v>
      </c>
      <c r="L101" s="573"/>
      <c r="M101" s="573"/>
      <c r="N101" s="573"/>
      <c r="O101" s="573"/>
      <c r="P101" s="573"/>
      <c r="Q101" s="573"/>
      <c r="R101" s="573"/>
    </row>
    <row r="102" spans="1:18" ht="13.5">
      <c r="A102" s="572"/>
      <c r="B102" s="572"/>
      <c r="C102" s="572"/>
      <c r="D102" s="573" t="s">
        <v>629</v>
      </c>
      <c r="E102" s="573" t="s">
        <v>367</v>
      </c>
      <c r="F102" s="1742">
        <f>L95/12</f>
        <v>-9394.1047763036713</v>
      </c>
      <c r="G102" s="1737">
        <f>+F99</f>
        <v>6.3E-3</v>
      </c>
      <c r="H102" s="577">
        <v>12</v>
      </c>
      <c r="I102" s="583">
        <f>+F102*G102*H102</f>
        <v>-710.19432108855756</v>
      </c>
      <c r="J102" s="583">
        <f>+F102+I102</f>
        <v>-10104.29909739223</v>
      </c>
      <c r="K102" s="573" t="s">
        <v>1017</v>
      </c>
      <c r="L102" s="573"/>
      <c r="M102" s="573"/>
      <c r="N102" s="573"/>
      <c r="O102" s="573"/>
      <c r="P102" s="573"/>
      <c r="Q102" s="573"/>
      <c r="R102" s="573"/>
    </row>
    <row r="103" spans="1:18" ht="13.5">
      <c r="A103" s="572"/>
      <c r="B103" s="572"/>
      <c r="C103" s="572"/>
      <c r="D103" s="573" t="s">
        <v>630</v>
      </c>
      <c r="E103" s="573" t="s">
        <v>367</v>
      </c>
      <c r="F103" s="609">
        <f t="shared" ref="F103:G113" si="9">+F102</f>
        <v>-9394.1047763036713</v>
      </c>
      <c r="G103" s="1738">
        <f>+G102</f>
        <v>6.3E-3</v>
      </c>
      <c r="H103" s="577">
        <v>11</v>
      </c>
      <c r="I103" s="583">
        <f t="shared" ref="I103:I113" si="10">+F103*G103*H103</f>
        <v>-651.01146099784444</v>
      </c>
      <c r="J103" s="583">
        <f t="shared" ref="J103:J113" si="11">+F103+I103</f>
        <v>-10045.116237301516</v>
      </c>
      <c r="K103" s="573" t="s">
        <v>1018</v>
      </c>
      <c r="L103" s="573"/>
      <c r="M103" s="573"/>
      <c r="N103" s="573"/>
      <c r="O103" s="573"/>
      <c r="P103" s="573"/>
      <c r="Q103" s="573"/>
      <c r="R103" s="573"/>
    </row>
    <row r="104" spans="1:18" ht="13.5">
      <c r="A104" s="572"/>
      <c r="B104" s="572"/>
      <c r="C104" s="572"/>
      <c r="D104" s="573" t="s">
        <v>631</v>
      </c>
      <c r="E104" s="573" t="s">
        <v>367</v>
      </c>
      <c r="F104" s="609">
        <f t="shared" si="9"/>
        <v>-9394.1047763036713</v>
      </c>
      <c r="G104" s="1738">
        <f t="shared" si="9"/>
        <v>6.3E-3</v>
      </c>
      <c r="H104" s="577">
        <v>10</v>
      </c>
      <c r="I104" s="583">
        <f t="shared" si="10"/>
        <v>-591.82860090713132</v>
      </c>
      <c r="J104" s="583">
        <f t="shared" si="11"/>
        <v>-9985.9333772108021</v>
      </c>
      <c r="K104" s="573"/>
      <c r="L104" s="573"/>
      <c r="M104" s="573"/>
      <c r="N104" s="573"/>
      <c r="O104" s="573"/>
      <c r="P104" s="573"/>
      <c r="Q104" s="573"/>
      <c r="R104" s="573"/>
    </row>
    <row r="105" spans="1:18" ht="13.5">
      <c r="A105" s="572"/>
      <c r="B105" s="572"/>
      <c r="C105" s="572"/>
      <c r="D105" s="573" t="s">
        <v>632</v>
      </c>
      <c r="E105" s="573" t="s">
        <v>367</v>
      </c>
      <c r="F105" s="609">
        <f t="shared" si="9"/>
        <v>-9394.1047763036713</v>
      </c>
      <c r="G105" s="1738">
        <f t="shared" si="9"/>
        <v>6.3E-3</v>
      </c>
      <c r="H105" s="577">
        <v>9</v>
      </c>
      <c r="I105" s="583">
        <f t="shared" si="10"/>
        <v>-532.6457408164182</v>
      </c>
      <c r="J105" s="583">
        <f t="shared" si="11"/>
        <v>-9926.7505171200901</v>
      </c>
      <c r="K105" s="573"/>
      <c r="L105" s="573"/>
      <c r="M105" s="573"/>
      <c r="N105" s="573"/>
      <c r="O105" s="573"/>
      <c r="P105" s="573"/>
      <c r="Q105" s="573"/>
      <c r="R105" s="573"/>
    </row>
    <row r="106" spans="1:18" ht="13.5">
      <c r="A106" s="572"/>
      <c r="B106" s="572"/>
      <c r="C106" s="572"/>
      <c r="D106" s="573" t="s">
        <v>627</v>
      </c>
      <c r="E106" s="573" t="s">
        <v>367</v>
      </c>
      <c r="F106" s="609">
        <f t="shared" si="9"/>
        <v>-9394.1047763036713</v>
      </c>
      <c r="G106" s="1738">
        <f t="shared" si="9"/>
        <v>6.3E-3</v>
      </c>
      <c r="H106" s="577">
        <v>8</v>
      </c>
      <c r="I106" s="583">
        <f t="shared" si="10"/>
        <v>-473.46288072570502</v>
      </c>
      <c r="J106" s="583">
        <f t="shared" si="11"/>
        <v>-9867.5676570293763</v>
      </c>
      <c r="K106" s="573"/>
      <c r="L106" s="573"/>
      <c r="M106" s="573"/>
      <c r="N106" s="573"/>
      <c r="O106" s="573"/>
      <c r="P106" s="573"/>
      <c r="Q106" s="573"/>
      <c r="R106" s="573"/>
    </row>
    <row r="107" spans="1:18" ht="13.5">
      <c r="A107" s="572"/>
      <c r="B107" s="572"/>
      <c r="C107" s="572"/>
      <c r="D107" s="573" t="s">
        <v>633</v>
      </c>
      <c r="E107" s="573" t="s">
        <v>367</v>
      </c>
      <c r="F107" s="609">
        <f t="shared" si="9"/>
        <v>-9394.1047763036713</v>
      </c>
      <c r="G107" s="1738">
        <f t="shared" si="9"/>
        <v>6.3E-3</v>
      </c>
      <c r="H107" s="577">
        <v>7</v>
      </c>
      <c r="I107" s="583">
        <f t="shared" si="10"/>
        <v>-414.2800206349919</v>
      </c>
      <c r="J107" s="583">
        <f t="shared" si="11"/>
        <v>-9808.3847969386625</v>
      </c>
      <c r="K107" s="573"/>
      <c r="L107" s="573"/>
      <c r="M107" s="573"/>
      <c r="N107" s="573"/>
      <c r="O107" s="573"/>
      <c r="P107" s="573"/>
      <c r="Q107" s="573"/>
      <c r="R107" s="573"/>
    </row>
    <row r="108" spans="1:18" ht="13.5">
      <c r="A108" s="572"/>
      <c r="B108" s="572"/>
      <c r="C108" s="572"/>
      <c r="D108" s="573" t="s">
        <v>634</v>
      </c>
      <c r="E108" s="573" t="s">
        <v>367</v>
      </c>
      <c r="F108" s="609">
        <f t="shared" si="9"/>
        <v>-9394.1047763036713</v>
      </c>
      <c r="G108" s="1738">
        <f t="shared" si="9"/>
        <v>6.3E-3</v>
      </c>
      <c r="H108" s="577">
        <v>6</v>
      </c>
      <c r="I108" s="583">
        <f t="shared" si="10"/>
        <v>-355.09716054427878</v>
      </c>
      <c r="J108" s="583">
        <f t="shared" si="11"/>
        <v>-9749.2019368479505</v>
      </c>
      <c r="K108" s="573"/>
      <c r="L108" s="573"/>
      <c r="M108" s="573"/>
      <c r="N108" s="573"/>
      <c r="O108" s="573"/>
      <c r="P108" s="573"/>
      <c r="Q108" s="573"/>
      <c r="R108" s="573"/>
    </row>
    <row r="109" spans="1:18" ht="13.5">
      <c r="A109" s="572"/>
      <c r="B109" s="572"/>
      <c r="C109" s="572"/>
      <c r="D109" s="573" t="s">
        <v>635</v>
      </c>
      <c r="E109" s="573" t="s">
        <v>601</v>
      </c>
      <c r="F109" s="609">
        <f t="shared" si="9"/>
        <v>-9394.1047763036713</v>
      </c>
      <c r="G109" s="1738">
        <f t="shared" si="9"/>
        <v>6.3E-3</v>
      </c>
      <c r="H109" s="577">
        <v>5</v>
      </c>
      <c r="I109" s="583">
        <f t="shared" si="10"/>
        <v>-295.91430045356566</v>
      </c>
      <c r="J109" s="583">
        <f t="shared" si="11"/>
        <v>-9690.0190767572367</v>
      </c>
      <c r="K109" s="573"/>
      <c r="L109" s="573"/>
      <c r="M109" s="573"/>
      <c r="N109" s="573"/>
      <c r="O109" s="573"/>
      <c r="P109" s="573"/>
      <c r="Q109" s="573"/>
      <c r="R109" s="573"/>
    </row>
    <row r="110" spans="1:18" ht="13.5">
      <c r="A110" s="572"/>
      <c r="B110" s="572"/>
      <c r="C110" s="572"/>
      <c r="D110" s="573" t="s">
        <v>636</v>
      </c>
      <c r="E110" s="573" t="s">
        <v>601</v>
      </c>
      <c r="F110" s="609">
        <f t="shared" si="9"/>
        <v>-9394.1047763036713</v>
      </c>
      <c r="G110" s="1738">
        <f t="shared" si="9"/>
        <v>6.3E-3</v>
      </c>
      <c r="H110" s="577">
        <v>4</v>
      </c>
      <c r="I110" s="583">
        <f t="shared" si="10"/>
        <v>-236.73144036285251</v>
      </c>
      <c r="J110" s="583">
        <f t="shared" si="11"/>
        <v>-9630.8362166665247</v>
      </c>
      <c r="K110" s="573"/>
      <c r="L110" s="573"/>
      <c r="M110" s="573"/>
      <c r="N110" s="573"/>
      <c r="O110" s="573"/>
      <c r="P110" s="573"/>
      <c r="Q110" s="573"/>
      <c r="R110" s="573"/>
    </row>
    <row r="111" spans="1:18" ht="13.5">
      <c r="A111" s="572"/>
      <c r="B111" s="572"/>
      <c r="C111" s="572"/>
      <c r="D111" s="573" t="s">
        <v>637</v>
      </c>
      <c r="E111" s="573" t="s">
        <v>601</v>
      </c>
      <c r="F111" s="609">
        <f t="shared" si="9"/>
        <v>-9394.1047763036713</v>
      </c>
      <c r="G111" s="1738">
        <f t="shared" si="9"/>
        <v>6.3E-3</v>
      </c>
      <c r="H111" s="577">
        <v>3</v>
      </c>
      <c r="I111" s="583">
        <f t="shared" si="10"/>
        <v>-177.54858027213939</v>
      </c>
      <c r="J111" s="583">
        <f t="shared" si="11"/>
        <v>-9571.6533565758109</v>
      </c>
      <c r="K111" s="573"/>
      <c r="L111" s="573"/>
      <c r="M111" s="573"/>
      <c r="N111" s="573"/>
      <c r="O111" s="573"/>
      <c r="P111" s="573"/>
      <c r="Q111" s="573"/>
      <c r="R111" s="573"/>
    </row>
    <row r="112" spans="1:18" ht="13.5">
      <c r="A112" s="572"/>
      <c r="B112" s="572"/>
      <c r="C112" s="572"/>
      <c r="D112" s="573" t="s">
        <v>638</v>
      </c>
      <c r="E112" s="573" t="s">
        <v>601</v>
      </c>
      <c r="F112" s="609">
        <f t="shared" si="9"/>
        <v>-9394.1047763036713</v>
      </c>
      <c r="G112" s="1738">
        <f t="shared" si="9"/>
        <v>6.3E-3</v>
      </c>
      <c r="H112" s="577">
        <v>2</v>
      </c>
      <c r="I112" s="583">
        <f t="shared" si="10"/>
        <v>-118.36572018142625</v>
      </c>
      <c r="J112" s="583">
        <f t="shared" si="11"/>
        <v>-9512.4704964850971</v>
      </c>
      <c r="K112" s="573"/>
      <c r="L112" s="573"/>
      <c r="M112" s="573"/>
      <c r="N112" s="573"/>
      <c r="O112" s="573"/>
      <c r="P112" s="573"/>
      <c r="Q112" s="573"/>
      <c r="R112" s="573"/>
    </row>
    <row r="113" spans="1:18" ht="13.5">
      <c r="A113" s="572"/>
      <c r="B113" s="572"/>
      <c r="C113" s="572"/>
      <c r="D113" s="573" t="s">
        <v>639</v>
      </c>
      <c r="E113" s="573" t="s">
        <v>601</v>
      </c>
      <c r="F113" s="609">
        <f t="shared" si="9"/>
        <v>-9394.1047763036713</v>
      </c>
      <c r="G113" s="1738">
        <f t="shared" si="9"/>
        <v>6.3E-3</v>
      </c>
      <c r="H113" s="577">
        <v>1</v>
      </c>
      <c r="I113" s="583">
        <f t="shared" si="10"/>
        <v>-59.182860090713127</v>
      </c>
      <c r="J113" s="583">
        <f t="shared" si="11"/>
        <v>-9453.2876363943851</v>
      </c>
      <c r="K113" s="573"/>
      <c r="L113" s="573"/>
      <c r="M113" s="573"/>
      <c r="N113" s="573"/>
      <c r="O113" s="573"/>
      <c r="P113" s="573"/>
      <c r="Q113" s="573"/>
      <c r="R113" s="573"/>
    </row>
    <row r="114" spans="1:18" ht="13.5">
      <c r="A114" s="572"/>
      <c r="B114" s="572"/>
      <c r="C114" s="572"/>
      <c r="D114" s="573" t="s">
        <v>851</v>
      </c>
      <c r="E114" s="573"/>
      <c r="F114" s="609">
        <v>0</v>
      </c>
      <c r="G114" s="577"/>
      <c r="H114" s="577"/>
      <c r="I114" s="573"/>
      <c r="J114" s="583">
        <f>SUM(J102:J113)</f>
        <v>-117345.52040271967</v>
      </c>
      <c r="K114" s="573"/>
      <c r="L114" s="573"/>
      <c r="M114" s="573"/>
      <c r="N114" s="573"/>
      <c r="O114" s="573"/>
      <c r="P114" s="573"/>
      <c r="Q114" s="573"/>
      <c r="R114" s="573"/>
    </row>
    <row r="115" spans="1:18" ht="13.5">
      <c r="A115" s="572"/>
      <c r="B115" s="572"/>
      <c r="C115" s="572"/>
      <c r="D115" s="573"/>
      <c r="E115" s="573"/>
      <c r="F115" s="1741" t="s">
        <v>644</v>
      </c>
      <c r="G115" s="1739" t="s">
        <v>1019</v>
      </c>
      <c r="H115" s="1739" t="s">
        <v>1020</v>
      </c>
      <c r="I115" s="606" t="s">
        <v>642</v>
      </c>
      <c r="J115" s="583" t="str">
        <f>+J100</f>
        <v>Surcharge (Refund) Owed</v>
      </c>
      <c r="K115" s="573"/>
      <c r="L115" s="573"/>
      <c r="M115" s="573"/>
      <c r="N115" s="573"/>
      <c r="O115" s="573"/>
      <c r="P115" s="573"/>
      <c r="Q115" s="573"/>
      <c r="R115" s="573"/>
    </row>
    <row r="116" spans="1:18" ht="13.5">
      <c r="A116" s="572"/>
      <c r="B116" s="572"/>
      <c r="C116" s="572"/>
      <c r="D116" s="573" t="s">
        <v>629</v>
      </c>
      <c r="E116" s="573" t="s">
        <v>601</v>
      </c>
      <c r="F116" s="609">
        <f>+J114</f>
        <v>-117345.52040271967</v>
      </c>
      <c r="G116" s="1738">
        <f>+G113</f>
        <v>6.3E-3</v>
      </c>
      <c r="H116" s="590">
        <v>0</v>
      </c>
      <c r="I116" s="583">
        <f t="shared" ref="I116:I132" si="12">+F116*G116</f>
        <v>-739.27677853713396</v>
      </c>
      <c r="J116" s="583">
        <f>+F116+I116-H116</f>
        <v>-118084.79718125681</v>
      </c>
      <c r="K116" s="573"/>
      <c r="L116" s="573"/>
      <c r="M116" s="573"/>
      <c r="N116" s="573"/>
      <c r="O116" s="573"/>
      <c r="P116" s="573"/>
      <c r="Q116" s="573"/>
      <c r="R116" s="573"/>
    </row>
    <row r="117" spans="1:18" ht="13.5">
      <c r="A117" s="572"/>
      <c r="B117" s="572"/>
      <c r="C117" s="572"/>
      <c r="D117" s="573" t="s">
        <v>630</v>
      </c>
      <c r="E117" s="573" t="s">
        <v>601</v>
      </c>
      <c r="F117" s="609">
        <f>+J116</f>
        <v>-118084.79718125681</v>
      </c>
      <c r="G117" s="1738">
        <f>+G116</f>
        <v>6.3E-3</v>
      </c>
      <c r="H117" s="1743">
        <v>0</v>
      </c>
      <c r="I117" s="583">
        <f t="shared" si="12"/>
        <v>-743.93422224191795</v>
      </c>
      <c r="J117" s="583">
        <f t="shared" ref="J117:J132" si="13">+F117+I117-H117</f>
        <v>-118828.73140349874</v>
      </c>
      <c r="K117" s="573"/>
      <c r="L117" s="573"/>
      <c r="M117" s="573"/>
      <c r="N117" s="573"/>
      <c r="O117" s="573"/>
      <c r="P117" s="573"/>
      <c r="Q117" s="573"/>
      <c r="R117" s="573"/>
    </row>
    <row r="118" spans="1:18" ht="13.5">
      <c r="A118" s="572"/>
      <c r="B118" s="572"/>
      <c r="C118" s="572"/>
      <c r="D118" s="573" t="s">
        <v>631</v>
      </c>
      <c r="E118" s="573" t="s">
        <v>601</v>
      </c>
      <c r="F118" s="609">
        <f t="shared" ref="F118:F132" si="14">+J117</f>
        <v>-118828.73140349874</v>
      </c>
      <c r="G118" s="1738">
        <f t="shared" ref="G118:G132" si="15">+G117</f>
        <v>6.3E-3</v>
      </c>
      <c r="H118" s="1743">
        <f t="shared" ref="H118:H132" si="16">H117</f>
        <v>0</v>
      </c>
      <c r="I118" s="583">
        <f t="shared" si="12"/>
        <v>-748.62100784204199</v>
      </c>
      <c r="J118" s="583">
        <f t="shared" si="13"/>
        <v>-119577.35241134078</v>
      </c>
      <c r="K118" s="573"/>
      <c r="L118" s="573"/>
      <c r="M118" s="573"/>
      <c r="N118" s="573"/>
      <c r="O118" s="573"/>
      <c r="P118" s="573"/>
      <c r="Q118" s="573"/>
      <c r="R118" s="573"/>
    </row>
    <row r="119" spans="1:18" ht="13.5">
      <c r="A119" s="572"/>
      <c r="B119" s="572"/>
      <c r="C119" s="572"/>
      <c r="D119" s="573" t="s">
        <v>632</v>
      </c>
      <c r="E119" s="573" t="s">
        <v>601</v>
      </c>
      <c r="F119" s="609">
        <f t="shared" si="14"/>
        <v>-119577.35241134078</v>
      </c>
      <c r="G119" s="1738">
        <f t="shared" si="15"/>
        <v>6.3E-3</v>
      </c>
      <c r="H119" s="1743">
        <f t="shared" si="16"/>
        <v>0</v>
      </c>
      <c r="I119" s="583">
        <f t="shared" si="12"/>
        <v>-753.33732019144691</v>
      </c>
      <c r="J119" s="583">
        <f t="shared" si="13"/>
        <v>-120330.68973153223</v>
      </c>
      <c r="K119" s="616"/>
      <c r="L119" s="573"/>
      <c r="M119" s="573"/>
      <c r="N119" s="573"/>
      <c r="O119" s="573"/>
      <c r="P119" s="573"/>
      <c r="Q119" s="573"/>
      <c r="R119" s="573"/>
    </row>
    <row r="120" spans="1:18" ht="13.5">
      <c r="A120" s="572"/>
      <c r="B120" s="572"/>
      <c r="C120" s="572"/>
      <c r="D120" s="573" t="s">
        <v>627</v>
      </c>
      <c r="E120" s="573" t="s">
        <v>601</v>
      </c>
      <c r="F120" s="609">
        <f t="shared" si="14"/>
        <v>-120330.68973153223</v>
      </c>
      <c r="G120" s="1738">
        <f t="shared" si="15"/>
        <v>6.3E-3</v>
      </c>
      <c r="H120" s="1743">
        <f t="shared" si="16"/>
        <v>0</v>
      </c>
      <c r="I120" s="583">
        <f t="shared" si="12"/>
        <v>-758.08334530865307</v>
      </c>
      <c r="J120" s="583">
        <f t="shared" si="13"/>
        <v>-121088.77307684088</v>
      </c>
      <c r="K120" s="615"/>
      <c r="L120" s="573"/>
      <c r="M120" s="573"/>
      <c r="N120" s="573"/>
      <c r="O120" s="573"/>
      <c r="P120" s="573"/>
      <c r="Q120" s="573"/>
      <c r="R120" s="573"/>
    </row>
    <row r="121" spans="1:18" ht="13.5">
      <c r="A121" s="572"/>
      <c r="B121" s="572"/>
      <c r="C121" s="572"/>
      <c r="D121" s="573" t="s">
        <v>633</v>
      </c>
      <c r="E121" s="573" t="s">
        <v>601</v>
      </c>
      <c r="F121" s="609">
        <f t="shared" si="14"/>
        <v>-121088.77307684088</v>
      </c>
      <c r="G121" s="1738">
        <f t="shared" si="15"/>
        <v>6.3E-3</v>
      </c>
      <c r="H121" s="590">
        <f>-PMT(G121,12,J120)</f>
        <v>-10508.703741782494</v>
      </c>
      <c r="I121" s="583">
        <f t="shared" si="12"/>
        <v>-762.8592703840975</v>
      </c>
      <c r="J121" s="583">
        <f t="shared" si="13"/>
        <v>-111342.92860544249</v>
      </c>
      <c r="K121" s="573"/>
      <c r="L121" s="573"/>
      <c r="M121" s="573"/>
      <c r="N121" s="573"/>
      <c r="O121" s="573"/>
      <c r="P121" s="573"/>
      <c r="Q121" s="573"/>
      <c r="R121" s="573"/>
    </row>
    <row r="122" spans="1:18" ht="13.5">
      <c r="A122" s="572"/>
      <c r="B122" s="572"/>
      <c r="C122" s="572"/>
      <c r="D122" s="573" t="s">
        <v>634</v>
      </c>
      <c r="E122" s="573" t="s">
        <v>601</v>
      </c>
      <c r="F122" s="609">
        <f t="shared" si="14"/>
        <v>-111342.92860544249</v>
      </c>
      <c r="G122" s="1738">
        <f t="shared" si="15"/>
        <v>6.3E-3</v>
      </c>
      <c r="H122" s="1743">
        <f t="shared" si="16"/>
        <v>-10508.703741782494</v>
      </c>
      <c r="I122" s="583">
        <f t="shared" si="12"/>
        <v>-701.46045021428768</v>
      </c>
      <c r="J122" s="583">
        <f t="shared" si="13"/>
        <v>-101535.68531387429</v>
      </c>
      <c r="K122" s="573"/>
      <c r="L122" s="573"/>
      <c r="M122" s="573"/>
      <c r="N122" s="573"/>
      <c r="O122" s="573"/>
      <c r="P122" s="573"/>
      <c r="Q122" s="573"/>
      <c r="R122" s="573"/>
    </row>
    <row r="123" spans="1:18" ht="13.5">
      <c r="A123" s="572"/>
      <c r="B123" s="572"/>
      <c r="C123" s="572"/>
      <c r="D123" s="573" t="s">
        <v>635</v>
      </c>
      <c r="E123" s="573" t="s">
        <v>601</v>
      </c>
      <c r="F123" s="609">
        <f t="shared" si="14"/>
        <v>-101535.68531387429</v>
      </c>
      <c r="G123" s="1738">
        <f t="shared" si="15"/>
        <v>6.3E-3</v>
      </c>
      <c r="H123" s="1743">
        <f t="shared" si="16"/>
        <v>-10508.703741782494</v>
      </c>
      <c r="I123" s="583">
        <f t="shared" si="12"/>
        <v>-639.67481747740806</v>
      </c>
      <c r="J123" s="583">
        <f t="shared" si="13"/>
        <v>-91666.656389569209</v>
      </c>
      <c r="K123" s="573"/>
      <c r="L123" s="573"/>
      <c r="M123" s="573"/>
      <c r="N123" s="573"/>
      <c r="O123" s="573"/>
      <c r="P123" s="573"/>
      <c r="Q123" s="573"/>
      <c r="R123" s="573"/>
    </row>
    <row r="124" spans="1:18" ht="13.5">
      <c r="A124" s="572"/>
      <c r="B124" s="572"/>
      <c r="C124" s="572"/>
      <c r="D124" s="573" t="s">
        <v>636</v>
      </c>
      <c r="E124" s="573" t="s">
        <v>601</v>
      </c>
      <c r="F124" s="609">
        <f t="shared" si="14"/>
        <v>-91666.656389569209</v>
      </c>
      <c r="G124" s="1738">
        <f t="shared" si="15"/>
        <v>6.3E-3</v>
      </c>
      <c r="H124" s="1743">
        <f t="shared" si="16"/>
        <v>-10508.703741782494</v>
      </c>
      <c r="I124" s="583">
        <f t="shared" si="12"/>
        <v>-577.49993525428602</v>
      </c>
      <c r="J124" s="583">
        <f t="shared" si="13"/>
        <v>-81735.452583040998</v>
      </c>
      <c r="K124" s="573"/>
      <c r="L124" s="573"/>
      <c r="M124" s="573"/>
      <c r="N124" s="573"/>
      <c r="O124" s="573"/>
      <c r="P124" s="573"/>
      <c r="Q124" s="573"/>
      <c r="R124" s="573"/>
    </row>
    <row r="125" spans="1:18" ht="13.5">
      <c r="A125" s="572"/>
      <c r="B125" s="572"/>
      <c r="C125" s="572"/>
      <c r="D125" s="573" t="s">
        <v>637</v>
      </c>
      <c r="E125" s="573" t="s">
        <v>601</v>
      </c>
      <c r="F125" s="609">
        <f t="shared" si="14"/>
        <v>-81735.452583040998</v>
      </c>
      <c r="G125" s="1738">
        <f t="shared" si="15"/>
        <v>6.3E-3</v>
      </c>
      <c r="H125" s="1743">
        <f t="shared" si="16"/>
        <v>-10508.703741782494</v>
      </c>
      <c r="I125" s="583">
        <f t="shared" si="12"/>
        <v>-514.93335127315834</v>
      </c>
      <c r="J125" s="583">
        <f t="shared" si="13"/>
        <v>-71741.682192531662</v>
      </c>
      <c r="K125" s="573"/>
      <c r="L125" s="573"/>
      <c r="M125" s="573"/>
      <c r="N125" s="573"/>
      <c r="O125" s="573"/>
      <c r="P125" s="573"/>
      <c r="Q125" s="573"/>
      <c r="R125" s="573"/>
    </row>
    <row r="126" spans="1:18" ht="13.5">
      <c r="A126" s="572"/>
      <c r="B126" s="572"/>
      <c r="C126" s="572"/>
      <c r="D126" s="573" t="s">
        <v>638</v>
      </c>
      <c r="E126" s="573" t="s">
        <v>601</v>
      </c>
      <c r="F126" s="609">
        <f t="shared" si="14"/>
        <v>-71741.682192531662</v>
      </c>
      <c r="G126" s="1738">
        <f t="shared" si="15"/>
        <v>6.3E-3</v>
      </c>
      <c r="H126" s="1743">
        <f t="shared" si="16"/>
        <v>-10508.703741782494</v>
      </c>
      <c r="I126" s="583">
        <f t="shared" si="12"/>
        <v>-451.97259781294946</v>
      </c>
      <c r="J126" s="583">
        <f t="shared" si="13"/>
        <v>-61684.951048562114</v>
      </c>
      <c r="K126" s="573"/>
      <c r="L126" s="573"/>
      <c r="M126" s="573"/>
      <c r="N126" s="573"/>
      <c r="O126" s="573"/>
      <c r="P126" s="573"/>
      <c r="Q126" s="573"/>
      <c r="R126" s="573"/>
    </row>
    <row r="127" spans="1:18" ht="13.5">
      <c r="A127" s="572"/>
      <c r="B127" s="572"/>
      <c r="C127" s="572"/>
      <c r="D127" s="573" t="s">
        <v>639</v>
      </c>
      <c r="E127" s="573" t="s">
        <v>601</v>
      </c>
      <c r="F127" s="609">
        <f t="shared" si="14"/>
        <v>-61684.951048562114</v>
      </c>
      <c r="G127" s="1738">
        <f t="shared" si="15"/>
        <v>6.3E-3</v>
      </c>
      <c r="H127" s="1743">
        <f t="shared" si="16"/>
        <v>-10508.703741782494</v>
      </c>
      <c r="I127" s="583">
        <f t="shared" si="12"/>
        <v>-388.61519160594133</v>
      </c>
      <c r="J127" s="583">
        <f t="shared" si="13"/>
        <v>-51564.862498385555</v>
      </c>
      <c r="K127" s="573"/>
      <c r="L127" s="573"/>
      <c r="M127" s="573"/>
      <c r="N127" s="573"/>
      <c r="O127" s="573"/>
      <c r="P127" s="573"/>
      <c r="Q127" s="573"/>
      <c r="R127" s="573"/>
    </row>
    <row r="128" spans="1:18" ht="13.5">
      <c r="A128" s="572"/>
      <c r="B128" s="572"/>
      <c r="C128" s="572"/>
      <c r="D128" s="573" t="s">
        <v>629</v>
      </c>
      <c r="E128" s="573" t="s">
        <v>602</v>
      </c>
      <c r="F128" s="609">
        <f t="shared" si="14"/>
        <v>-51564.862498385555</v>
      </c>
      <c r="G128" s="1738">
        <f t="shared" si="15"/>
        <v>6.3E-3</v>
      </c>
      <c r="H128" s="1743">
        <f t="shared" si="16"/>
        <v>-10508.703741782494</v>
      </c>
      <c r="I128" s="583">
        <f t="shared" si="12"/>
        <v>-324.85863373982897</v>
      </c>
      <c r="J128" s="583">
        <f t="shared" si="13"/>
        <v>-41381.017390342895</v>
      </c>
      <c r="K128" s="573"/>
      <c r="L128" s="573"/>
      <c r="M128" s="573"/>
      <c r="N128" s="573"/>
      <c r="O128" s="573"/>
      <c r="P128" s="573"/>
      <c r="Q128" s="573"/>
      <c r="R128" s="573"/>
    </row>
    <row r="129" spans="1:18" ht="13.5">
      <c r="A129" s="572"/>
      <c r="B129" s="572"/>
      <c r="C129" s="572"/>
      <c r="D129" s="573" t="s">
        <v>630</v>
      </c>
      <c r="E129" s="573" t="s">
        <v>602</v>
      </c>
      <c r="F129" s="609">
        <f t="shared" si="14"/>
        <v>-41381.017390342895</v>
      </c>
      <c r="G129" s="1738">
        <f t="shared" si="15"/>
        <v>6.3E-3</v>
      </c>
      <c r="H129" s="1743">
        <f t="shared" si="16"/>
        <v>-10508.703741782494</v>
      </c>
      <c r="I129" s="583">
        <f t="shared" si="12"/>
        <v>-260.70040955916022</v>
      </c>
      <c r="J129" s="583">
        <f t="shared" si="13"/>
        <v>-31133.014058119563</v>
      </c>
      <c r="K129" s="573"/>
      <c r="L129" s="573"/>
      <c r="M129" s="573"/>
      <c r="N129" s="573"/>
      <c r="O129" s="573"/>
      <c r="P129" s="573"/>
      <c r="Q129" s="573"/>
      <c r="R129" s="573"/>
    </row>
    <row r="130" spans="1:18" ht="13.5">
      <c r="A130" s="572"/>
      <c r="B130" s="572"/>
      <c r="C130" s="572"/>
      <c r="D130" s="573" t="s">
        <v>631</v>
      </c>
      <c r="E130" s="573" t="s">
        <v>602</v>
      </c>
      <c r="F130" s="609">
        <f t="shared" si="14"/>
        <v>-31133.014058119563</v>
      </c>
      <c r="G130" s="1738">
        <f t="shared" si="15"/>
        <v>6.3E-3</v>
      </c>
      <c r="H130" s="1743">
        <f t="shared" si="16"/>
        <v>-10508.703741782494</v>
      </c>
      <c r="I130" s="583">
        <f t="shared" si="12"/>
        <v>-196.13798856615324</v>
      </c>
      <c r="J130" s="583">
        <f t="shared" si="13"/>
        <v>-20820.448304903221</v>
      </c>
      <c r="K130" s="573"/>
      <c r="L130" s="573"/>
      <c r="M130" s="573"/>
      <c r="N130" s="573"/>
      <c r="O130" s="573"/>
      <c r="P130" s="573"/>
      <c r="Q130" s="573"/>
      <c r="R130" s="573"/>
    </row>
    <row r="131" spans="1:18" ht="13.5">
      <c r="A131" s="572"/>
      <c r="B131" s="572"/>
      <c r="C131" s="572"/>
      <c r="D131" s="573" t="s">
        <v>632</v>
      </c>
      <c r="E131" s="573" t="s">
        <v>602</v>
      </c>
      <c r="F131" s="609">
        <f t="shared" si="14"/>
        <v>-20820.448304903221</v>
      </c>
      <c r="G131" s="1738">
        <f t="shared" si="15"/>
        <v>6.3E-3</v>
      </c>
      <c r="H131" s="1743">
        <f t="shared" si="16"/>
        <v>-10508.703741782494</v>
      </c>
      <c r="I131" s="583">
        <f t="shared" si="12"/>
        <v>-131.16882432089028</v>
      </c>
      <c r="J131" s="583">
        <f t="shared" si="13"/>
        <v>-10442.913387441618</v>
      </c>
      <c r="K131" s="573"/>
      <c r="L131" s="573"/>
      <c r="M131" s="573"/>
      <c r="N131" s="573"/>
      <c r="O131" s="573"/>
      <c r="P131" s="573"/>
      <c r="Q131" s="573"/>
      <c r="R131" s="573"/>
    </row>
    <row r="132" spans="1:18" ht="13.5">
      <c r="A132" s="572"/>
      <c r="B132" s="572"/>
      <c r="C132" s="572"/>
      <c r="D132" s="573" t="s">
        <v>627</v>
      </c>
      <c r="E132" s="573" t="s">
        <v>602</v>
      </c>
      <c r="F132" s="609">
        <f t="shared" si="14"/>
        <v>-10442.913387441618</v>
      </c>
      <c r="G132" s="1738">
        <f t="shared" si="15"/>
        <v>6.3E-3</v>
      </c>
      <c r="H132" s="1743">
        <f t="shared" si="16"/>
        <v>-10508.703741782494</v>
      </c>
      <c r="I132" s="583">
        <f t="shared" si="12"/>
        <v>-65.790354340882203</v>
      </c>
      <c r="J132" s="583">
        <f t="shared" si="13"/>
        <v>0</v>
      </c>
      <c r="K132" s="573"/>
      <c r="L132" s="573"/>
      <c r="M132" s="573"/>
      <c r="N132" s="573"/>
      <c r="O132" s="573"/>
      <c r="P132" s="573"/>
      <c r="Q132" s="573"/>
      <c r="R132" s="573"/>
    </row>
    <row r="133" spans="1:18" ht="13.5">
      <c r="A133" s="572"/>
      <c r="B133" s="572"/>
      <c r="C133" s="572"/>
      <c r="D133" s="573" t="s">
        <v>658</v>
      </c>
      <c r="E133" s="573"/>
      <c r="F133" s="577"/>
      <c r="G133" s="577"/>
      <c r="H133" s="609">
        <f>SUM(H116:H132)</f>
        <v>-126104.4449013899</v>
      </c>
      <c r="I133" s="573"/>
      <c r="J133" s="573"/>
      <c r="K133" s="573"/>
      <c r="L133" s="573"/>
      <c r="M133" s="573"/>
      <c r="N133" s="573"/>
      <c r="O133" s="573"/>
      <c r="P133" s="573"/>
      <c r="Q133" s="573"/>
      <c r="R133" s="573"/>
    </row>
    <row r="134" spans="1:18" ht="13.5">
      <c r="A134" s="572"/>
      <c r="B134" s="572"/>
      <c r="C134" s="572"/>
      <c r="D134" s="573"/>
      <c r="E134" s="573"/>
      <c r="F134" s="573"/>
      <c r="G134" s="573"/>
      <c r="H134" s="573"/>
      <c r="I134" s="573"/>
      <c r="J134" s="573"/>
      <c r="K134" s="573"/>
      <c r="L134" s="573"/>
      <c r="M134" s="573"/>
      <c r="N134" s="573"/>
      <c r="O134" s="573"/>
      <c r="P134" s="573"/>
      <c r="Q134" s="573"/>
      <c r="R134" s="573"/>
    </row>
    <row r="135" spans="1:18" ht="13.5">
      <c r="A135" s="420"/>
      <c r="B135" s="572"/>
      <c r="C135" s="572"/>
      <c r="D135" s="614" t="str">
        <f>+D133</f>
        <v>Total with interest</v>
      </c>
      <c r="E135" s="572"/>
      <c r="F135" s="419"/>
      <c r="G135" s="572"/>
      <c r="H135" s="588">
        <f>+H133</f>
        <v>-126104.4449013899</v>
      </c>
      <c r="I135" s="572"/>
      <c r="J135" s="588"/>
      <c r="K135" s="573"/>
      <c r="L135" s="573"/>
      <c r="M135" s="573"/>
      <c r="N135" s="573"/>
      <c r="O135" s="573"/>
      <c r="P135" s="573"/>
      <c r="Q135" s="573"/>
      <c r="R135" s="573"/>
    </row>
    <row r="136" spans="1:18" ht="13.5">
      <c r="A136" s="420"/>
      <c r="B136" s="572"/>
      <c r="C136" s="572"/>
      <c r="D136" s="614" t="s">
        <v>66</v>
      </c>
      <c r="E136" s="572"/>
      <c r="F136" s="419"/>
      <c r="G136" s="572"/>
      <c r="H136" s="617">
        <f>'ATT H-1 '!L286</f>
        <v>6522725.5081195375</v>
      </c>
      <c r="I136" s="585"/>
      <c r="J136" s="609"/>
      <c r="K136" s="573"/>
      <c r="L136" s="573"/>
      <c r="M136" s="573"/>
      <c r="N136" s="573"/>
      <c r="O136" s="573"/>
      <c r="P136" s="573"/>
      <c r="Q136" s="573"/>
      <c r="R136" s="573"/>
    </row>
    <row r="137" spans="1:18" ht="13.5">
      <c r="A137" s="420"/>
      <c r="B137" s="572"/>
      <c r="C137" s="572"/>
      <c r="D137" s="614" t="s">
        <v>67</v>
      </c>
      <c r="E137" s="572"/>
      <c r="F137" s="419"/>
      <c r="G137" s="572"/>
      <c r="H137" s="588">
        <f>+H135+H136</f>
        <v>6396621.0632181475</v>
      </c>
      <c r="I137" s="576"/>
      <c r="J137" s="609"/>
      <c r="K137" s="573"/>
      <c r="L137" s="573"/>
      <c r="M137" s="573"/>
      <c r="N137" s="573"/>
      <c r="O137" s="573"/>
      <c r="P137" s="573"/>
      <c r="Q137" s="573"/>
      <c r="R137" s="573"/>
    </row>
    <row r="138" spans="1:18" ht="13.5">
      <c r="A138" s="572"/>
      <c r="B138" s="572"/>
      <c r="C138" s="572"/>
      <c r="D138" s="605"/>
      <c r="E138" s="573"/>
      <c r="F138" s="573"/>
      <c r="G138" s="577"/>
      <c r="H138" s="609"/>
      <c r="I138" s="577"/>
      <c r="J138" s="573"/>
      <c r="K138" s="573"/>
      <c r="L138" s="573"/>
      <c r="M138" s="573"/>
      <c r="N138" s="573"/>
      <c r="O138" s="573"/>
      <c r="P138" s="573"/>
      <c r="Q138" s="573"/>
      <c r="R138" s="573"/>
    </row>
    <row r="139" spans="1:18" ht="13.5">
      <c r="A139" s="572">
        <v>9</v>
      </c>
      <c r="B139" s="572" t="s">
        <v>626</v>
      </c>
      <c r="C139" s="572" t="s">
        <v>602</v>
      </c>
      <c r="D139" s="579" t="s">
        <v>1109</v>
      </c>
      <c r="E139" s="573"/>
      <c r="F139" s="573"/>
      <c r="G139" s="573"/>
      <c r="H139" s="573"/>
      <c r="I139" s="573"/>
      <c r="J139" s="419"/>
      <c r="K139" s="573"/>
      <c r="L139" s="573"/>
      <c r="M139" s="573"/>
      <c r="N139" s="573"/>
      <c r="O139" s="573"/>
      <c r="P139" s="573"/>
      <c r="Q139" s="573"/>
      <c r="R139" s="573"/>
    </row>
    <row r="140" spans="1:18" ht="13.5">
      <c r="A140" s="572"/>
      <c r="B140" s="572"/>
      <c r="C140" s="572"/>
      <c r="D140" s="579"/>
      <c r="E140" s="573"/>
      <c r="F140" s="573"/>
      <c r="G140" s="573"/>
      <c r="H140" s="573"/>
      <c r="I140" s="573"/>
      <c r="J140" s="419"/>
      <c r="K140" s="573"/>
      <c r="L140" s="573"/>
      <c r="M140" s="573"/>
      <c r="N140" s="573"/>
      <c r="O140" s="573"/>
      <c r="P140" s="573"/>
      <c r="Q140" s="573"/>
      <c r="R140" s="573"/>
    </row>
    <row r="141" spans="1:18" ht="13.5">
      <c r="A141" s="572"/>
      <c r="B141" s="419"/>
      <c r="C141" s="479" t="s">
        <v>263</v>
      </c>
      <c r="D141" s="479" t="s">
        <v>264</v>
      </c>
      <c r="E141" s="479" t="s">
        <v>356</v>
      </c>
      <c r="F141" s="479" t="s">
        <v>265</v>
      </c>
      <c r="G141" s="479" t="s">
        <v>266</v>
      </c>
      <c r="H141" s="479" t="s">
        <v>262</v>
      </c>
      <c r="I141" s="479"/>
      <c r="J141" s="479" t="s">
        <v>570</v>
      </c>
      <c r="K141" s="479" t="s">
        <v>571</v>
      </c>
      <c r="L141" s="479" t="s">
        <v>963</v>
      </c>
      <c r="M141" s="575" t="s">
        <v>964</v>
      </c>
      <c r="N141" s="572" t="s">
        <v>965</v>
      </c>
      <c r="O141" s="572" t="s">
        <v>966</v>
      </c>
      <c r="P141" s="572"/>
      <c r="Q141" s="572"/>
      <c r="R141" s="572"/>
    </row>
    <row r="142" spans="1:18" ht="13.5">
      <c r="A142" s="572"/>
      <c r="B142" s="419"/>
      <c r="C142" s="572" t="s">
        <v>219</v>
      </c>
      <c r="D142" s="572" t="s">
        <v>219</v>
      </c>
      <c r="E142" s="572" t="s">
        <v>219</v>
      </c>
      <c r="F142" s="572" t="s">
        <v>219</v>
      </c>
      <c r="G142" s="572" t="s">
        <v>219</v>
      </c>
      <c r="H142" s="572" t="s">
        <v>219</v>
      </c>
      <c r="I142" s="572"/>
      <c r="J142" s="572" t="s">
        <v>72</v>
      </c>
      <c r="K142" s="572" t="s">
        <v>72</v>
      </c>
      <c r="L142" s="572" t="s">
        <v>72</v>
      </c>
      <c r="M142" s="572" t="s">
        <v>72</v>
      </c>
      <c r="N142" s="572" t="s">
        <v>72</v>
      </c>
      <c r="O142" s="572" t="s">
        <v>72</v>
      </c>
      <c r="P142" s="572"/>
      <c r="Q142" s="572"/>
      <c r="R142" s="572"/>
    </row>
    <row r="143" spans="1:18" ht="13.5">
      <c r="A143" s="572"/>
      <c r="B143" s="573"/>
      <c r="C143" s="572" t="s">
        <v>68</v>
      </c>
      <c r="D143" s="572" t="s">
        <v>68</v>
      </c>
      <c r="E143" s="572" t="s">
        <v>68</v>
      </c>
      <c r="F143" s="623"/>
      <c r="G143" s="623"/>
      <c r="H143" s="623"/>
      <c r="I143" s="572"/>
      <c r="J143" s="572" t="s">
        <v>73</v>
      </c>
      <c r="K143" s="572" t="s">
        <v>74</v>
      </c>
      <c r="L143" s="572" t="s">
        <v>75</v>
      </c>
      <c r="M143" s="572" t="s">
        <v>76</v>
      </c>
      <c r="N143" s="572" t="s">
        <v>77</v>
      </c>
      <c r="O143" s="572" t="s">
        <v>78</v>
      </c>
      <c r="P143" s="572"/>
      <c r="Q143" s="572"/>
      <c r="R143" s="572"/>
    </row>
    <row r="144" spans="1:18" ht="13.5">
      <c r="A144" s="572"/>
      <c r="B144" s="573"/>
      <c r="C144" s="572"/>
      <c r="D144" s="572"/>
      <c r="E144" s="572"/>
      <c r="F144" s="572" t="s">
        <v>69</v>
      </c>
      <c r="G144" s="572" t="s">
        <v>70</v>
      </c>
      <c r="H144" s="572" t="s">
        <v>71</v>
      </c>
      <c r="I144" s="572"/>
      <c r="J144" s="572"/>
      <c r="K144" s="572"/>
      <c r="L144" s="572"/>
      <c r="M144" s="572"/>
      <c r="N144" s="572"/>
      <c r="O144" s="572"/>
      <c r="P144" s="572"/>
      <c r="Q144" s="572"/>
      <c r="R144" s="572"/>
    </row>
    <row r="145" spans="1:18" ht="13.5">
      <c r="A145" s="572"/>
      <c r="B145" s="573"/>
      <c r="C145" s="572"/>
      <c r="D145" s="587"/>
      <c r="E145" s="587"/>
      <c r="F145" s="587"/>
      <c r="G145" s="572"/>
      <c r="H145" s="572"/>
      <c r="I145" s="622"/>
      <c r="J145" s="572"/>
      <c r="K145" s="572"/>
      <c r="L145" s="588"/>
      <c r="M145" s="572"/>
      <c r="N145" s="572"/>
      <c r="O145" s="583"/>
      <c r="P145" s="572"/>
      <c r="Q145" s="606"/>
      <c r="R145" s="588"/>
    </row>
    <row r="146" spans="1:18" ht="13.5">
      <c r="A146" s="572"/>
      <c r="B146" s="573" t="s">
        <v>629</v>
      </c>
      <c r="C146" s="589"/>
      <c r="D146" s="589"/>
      <c r="E146" s="589"/>
      <c r="F146" s="589"/>
      <c r="G146" s="589"/>
      <c r="H146" s="589"/>
      <c r="I146" s="622"/>
      <c r="J146" s="588">
        <f t="shared" ref="J146:O146" si="17">C146</f>
        <v>0</v>
      </c>
      <c r="K146" s="588">
        <f t="shared" si="17"/>
        <v>0</v>
      </c>
      <c r="L146" s="588">
        <f t="shared" si="17"/>
        <v>0</v>
      </c>
      <c r="M146" s="588">
        <f t="shared" si="17"/>
        <v>0</v>
      </c>
      <c r="N146" s="588">
        <f t="shared" si="17"/>
        <v>0</v>
      </c>
      <c r="O146" s="588">
        <f t="shared" si="17"/>
        <v>0</v>
      </c>
      <c r="P146" s="588"/>
      <c r="Q146" s="588"/>
      <c r="R146" s="588"/>
    </row>
    <row r="147" spans="1:18" ht="13.5">
      <c r="A147" s="572"/>
      <c r="B147" s="573" t="s">
        <v>630</v>
      </c>
      <c r="C147" s="589"/>
      <c r="D147" s="589"/>
      <c r="E147" s="589"/>
      <c r="F147" s="589"/>
      <c r="G147" s="589"/>
      <c r="H147" s="589"/>
      <c r="I147" s="622"/>
      <c r="J147" s="588">
        <f>J146+C147</f>
        <v>0</v>
      </c>
      <c r="K147" s="588">
        <f t="shared" ref="K147:K157" si="18">K146+D147</f>
        <v>0</v>
      </c>
      <c r="L147" s="588">
        <f t="shared" ref="L147:L157" si="19">L146+E147</f>
        <v>0</v>
      </c>
      <c r="M147" s="588">
        <f t="shared" ref="M147:M157" si="20">M146+F147</f>
        <v>0</v>
      </c>
      <c r="N147" s="588">
        <f t="shared" ref="N147:N157" si="21">N146+G147</f>
        <v>0</v>
      </c>
      <c r="O147" s="588">
        <f t="shared" ref="O147:O157" si="22">O146+H147</f>
        <v>0</v>
      </c>
      <c r="P147" s="588"/>
      <c r="Q147" s="588"/>
      <c r="R147" s="588"/>
    </row>
    <row r="148" spans="1:18" ht="13.5">
      <c r="A148" s="572"/>
      <c r="B148" s="573" t="s">
        <v>631</v>
      </c>
      <c r="C148" s="589"/>
      <c r="D148" s="589"/>
      <c r="E148" s="589"/>
      <c r="F148" s="589"/>
      <c r="G148" s="589"/>
      <c r="H148" s="589"/>
      <c r="I148" s="622"/>
      <c r="J148" s="588">
        <f t="shared" ref="J148:J157" si="23">J147+C148</f>
        <v>0</v>
      </c>
      <c r="K148" s="588">
        <f t="shared" si="18"/>
        <v>0</v>
      </c>
      <c r="L148" s="588">
        <f t="shared" si="19"/>
        <v>0</v>
      </c>
      <c r="M148" s="588">
        <f t="shared" si="20"/>
        <v>0</v>
      </c>
      <c r="N148" s="588">
        <f t="shared" si="21"/>
        <v>0</v>
      </c>
      <c r="O148" s="588">
        <f t="shared" si="22"/>
        <v>0</v>
      </c>
      <c r="P148" s="588"/>
      <c r="Q148" s="588"/>
      <c r="R148" s="588"/>
    </row>
    <row r="149" spans="1:18" ht="13.5">
      <c r="A149" s="572"/>
      <c r="B149" s="573" t="s">
        <v>632</v>
      </c>
      <c r="C149" s="589"/>
      <c r="D149" s="589"/>
      <c r="E149" s="589"/>
      <c r="F149" s="589"/>
      <c r="G149" s="589"/>
      <c r="H149" s="589"/>
      <c r="I149" s="622"/>
      <c r="J149" s="588">
        <f t="shared" si="23"/>
        <v>0</v>
      </c>
      <c r="K149" s="588">
        <f t="shared" si="18"/>
        <v>0</v>
      </c>
      <c r="L149" s="588">
        <f t="shared" si="19"/>
        <v>0</v>
      </c>
      <c r="M149" s="588">
        <f t="shared" si="20"/>
        <v>0</v>
      </c>
      <c r="N149" s="588">
        <f t="shared" si="21"/>
        <v>0</v>
      </c>
      <c r="O149" s="588">
        <f t="shared" si="22"/>
        <v>0</v>
      </c>
      <c r="P149" s="588"/>
      <c r="Q149" s="588"/>
      <c r="R149" s="588"/>
    </row>
    <row r="150" spans="1:18" ht="13.5">
      <c r="A150" s="572"/>
      <c r="B150" s="573" t="s">
        <v>627</v>
      </c>
      <c r="C150" s="589"/>
      <c r="D150" s="589"/>
      <c r="E150" s="589"/>
      <c r="F150" s="589"/>
      <c r="G150" s="589"/>
      <c r="H150" s="589"/>
      <c r="I150" s="622"/>
      <c r="J150" s="588">
        <f t="shared" si="23"/>
        <v>0</v>
      </c>
      <c r="K150" s="588">
        <f t="shared" si="18"/>
        <v>0</v>
      </c>
      <c r="L150" s="588">
        <f t="shared" si="19"/>
        <v>0</v>
      </c>
      <c r="M150" s="588">
        <f t="shared" si="20"/>
        <v>0</v>
      </c>
      <c r="N150" s="588">
        <f t="shared" si="21"/>
        <v>0</v>
      </c>
      <c r="O150" s="588">
        <f t="shared" si="22"/>
        <v>0</v>
      </c>
      <c r="P150" s="588"/>
      <c r="Q150" s="588"/>
      <c r="R150" s="588"/>
    </row>
    <row r="151" spans="1:18" ht="13.5">
      <c r="A151" s="572"/>
      <c r="B151" s="573" t="s">
        <v>633</v>
      </c>
      <c r="C151" s="589"/>
      <c r="D151" s="589"/>
      <c r="E151" s="589"/>
      <c r="F151" s="589"/>
      <c r="G151" s="589"/>
      <c r="H151" s="589"/>
      <c r="I151" s="622"/>
      <c r="J151" s="588">
        <f t="shared" si="23"/>
        <v>0</v>
      </c>
      <c r="K151" s="588">
        <f t="shared" si="18"/>
        <v>0</v>
      </c>
      <c r="L151" s="588">
        <f t="shared" si="19"/>
        <v>0</v>
      </c>
      <c r="M151" s="588">
        <f t="shared" si="20"/>
        <v>0</v>
      </c>
      <c r="N151" s="588">
        <f t="shared" si="21"/>
        <v>0</v>
      </c>
      <c r="O151" s="588">
        <f t="shared" si="22"/>
        <v>0</v>
      </c>
      <c r="P151" s="588"/>
      <c r="Q151" s="588"/>
      <c r="R151" s="588"/>
    </row>
    <row r="152" spans="1:18" ht="13.5">
      <c r="A152" s="572"/>
      <c r="B152" s="573" t="s">
        <v>634</v>
      </c>
      <c r="C152" s="589"/>
      <c r="D152" s="589"/>
      <c r="E152" s="589"/>
      <c r="F152" s="589"/>
      <c r="G152" s="589"/>
      <c r="H152" s="589"/>
      <c r="I152" s="622"/>
      <c r="J152" s="588">
        <f t="shared" si="23"/>
        <v>0</v>
      </c>
      <c r="K152" s="588">
        <f t="shared" si="18"/>
        <v>0</v>
      </c>
      <c r="L152" s="588">
        <f t="shared" si="19"/>
        <v>0</v>
      </c>
      <c r="M152" s="588">
        <f t="shared" si="20"/>
        <v>0</v>
      </c>
      <c r="N152" s="588">
        <f t="shared" si="21"/>
        <v>0</v>
      </c>
      <c r="O152" s="588">
        <f t="shared" si="22"/>
        <v>0</v>
      </c>
      <c r="P152" s="588"/>
      <c r="Q152" s="588"/>
      <c r="R152" s="588"/>
    </row>
    <row r="153" spans="1:18" ht="13.5">
      <c r="A153" s="572"/>
      <c r="B153" s="573" t="s">
        <v>635</v>
      </c>
      <c r="C153" s="589"/>
      <c r="D153" s="589"/>
      <c r="E153" s="589"/>
      <c r="F153" s="589"/>
      <c r="G153" s="589"/>
      <c r="H153" s="589"/>
      <c r="I153" s="622"/>
      <c r="J153" s="588">
        <f t="shared" si="23"/>
        <v>0</v>
      </c>
      <c r="K153" s="588">
        <f t="shared" si="18"/>
        <v>0</v>
      </c>
      <c r="L153" s="588">
        <f t="shared" si="19"/>
        <v>0</v>
      </c>
      <c r="M153" s="588">
        <f t="shared" si="20"/>
        <v>0</v>
      </c>
      <c r="N153" s="588">
        <f t="shared" si="21"/>
        <v>0</v>
      </c>
      <c r="O153" s="588">
        <f t="shared" si="22"/>
        <v>0</v>
      </c>
      <c r="P153" s="588"/>
      <c r="Q153" s="588"/>
      <c r="R153" s="588"/>
    </row>
    <row r="154" spans="1:18" ht="13.5">
      <c r="A154" s="572"/>
      <c r="B154" s="573" t="s">
        <v>636</v>
      </c>
      <c r="C154" s="589"/>
      <c r="D154" s="589"/>
      <c r="E154" s="589"/>
      <c r="F154" s="589"/>
      <c r="G154" s="589"/>
      <c r="H154" s="589"/>
      <c r="I154" s="622"/>
      <c r="J154" s="588">
        <f t="shared" si="23"/>
        <v>0</v>
      </c>
      <c r="K154" s="588">
        <f t="shared" si="18"/>
        <v>0</v>
      </c>
      <c r="L154" s="588">
        <f t="shared" si="19"/>
        <v>0</v>
      </c>
      <c r="M154" s="588">
        <f t="shared" si="20"/>
        <v>0</v>
      </c>
      <c r="N154" s="588">
        <f t="shared" si="21"/>
        <v>0</v>
      </c>
      <c r="O154" s="588">
        <f t="shared" si="22"/>
        <v>0</v>
      </c>
      <c r="P154" s="588"/>
      <c r="Q154" s="588"/>
      <c r="R154" s="588"/>
    </row>
    <row r="155" spans="1:18" ht="13.5">
      <c r="A155" s="572"/>
      <c r="B155" s="573" t="s">
        <v>637</v>
      </c>
      <c r="C155" s="589"/>
      <c r="D155" s="589"/>
      <c r="E155" s="589"/>
      <c r="F155" s="589"/>
      <c r="G155" s="589"/>
      <c r="H155" s="589"/>
      <c r="I155" s="622"/>
      <c r="J155" s="588">
        <f t="shared" si="23"/>
        <v>0</v>
      </c>
      <c r="K155" s="588">
        <f t="shared" si="18"/>
        <v>0</v>
      </c>
      <c r="L155" s="588">
        <f t="shared" si="19"/>
        <v>0</v>
      </c>
      <c r="M155" s="588">
        <f t="shared" si="20"/>
        <v>0</v>
      </c>
      <c r="N155" s="588">
        <f t="shared" si="21"/>
        <v>0</v>
      </c>
      <c r="O155" s="588">
        <f t="shared" si="22"/>
        <v>0</v>
      </c>
      <c r="P155" s="588"/>
      <c r="Q155" s="588"/>
      <c r="R155" s="588"/>
    </row>
    <row r="156" spans="1:18" ht="13.5">
      <c r="A156" s="572"/>
      <c r="B156" s="573" t="s">
        <v>638</v>
      </c>
      <c r="C156" s="589"/>
      <c r="D156" s="589"/>
      <c r="E156" s="589"/>
      <c r="F156" s="589"/>
      <c r="G156" s="589"/>
      <c r="H156" s="589"/>
      <c r="I156" s="622"/>
      <c r="J156" s="588">
        <f t="shared" si="23"/>
        <v>0</v>
      </c>
      <c r="K156" s="588">
        <f t="shared" si="18"/>
        <v>0</v>
      </c>
      <c r="L156" s="588">
        <f t="shared" si="19"/>
        <v>0</v>
      </c>
      <c r="M156" s="588">
        <f t="shared" si="20"/>
        <v>0</v>
      </c>
      <c r="N156" s="588">
        <f t="shared" si="21"/>
        <v>0</v>
      </c>
      <c r="O156" s="588">
        <f t="shared" si="22"/>
        <v>0</v>
      </c>
      <c r="P156" s="588"/>
      <c r="Q156" s="588"/>
      <c r="R156" s="588"/>
    </row>
    <row r="157" spans="1:18" ht="13.5">
      <c r="A157" s="572"/>
      <c r="B157" s="573" t="s">
        <v>639</v>
      </c>
      <c r="C157" s="589"/>
      <c r="D157" s="589"/>
      <c r="E157" s="589"/>
      <c r="F157" s="589"/>
      <c r="G157" s="589"/>
      <c r="H157" s="589"/>
      <c r="I157" s="622"/>
      <c r="J157" s="588">
        <f t="shared" si="23"/>
        <v>0</v>
      </c>
      <c r="K157" s="588">
        <f t="shared" si="18"/>
        <v>0</v>
      </c>
      <c r="L157" s="588">
        <f t="shared" si="19"/>
        <v>0</v>
      </c>
      <c r="M157" s="588">
        <f t="shared" si="20"/>
        <v>0</v>
      </c>
      <c r="N157" s="588">
        <f t="shared" si="21"/>
        <v>0</v>
      </c>
      <c r="O157" s="588">
        <f t="shared" si="22"/>
        <v>0</v>
      </c>
      <c r="P157" s="588"/>
      <c r="Q157" s="588"/>
      <c r="R157" s="588"/>
    </row>
    <row r="158" spans="1:18" ht="13.5">
      <c r="A158" s="572"/>
      <c r="B158" s="573" t="s">
        <v>851</v>
      </c>
      <c r="C158" s="588">
        <f t="shared" ref="C158:H158" si="24">SUM(C146:C157)</f>
        <v>0</v>
      </c>
      <c r="D158" s="588">
        <f t="shared" si="24"/>
        <v>0</v>
      </c>
      <c r="E158" s="588">
        <f t="shared" si="24"/>
        <v>0</v>
      </c>
      <c r="F158" s="588">
        <f t="shared" si="24"/>
        <v>0</v>
      </c>
      <c r="G158" s="588">
        <f t="shared" si="24"/>
        <v>0</v>
      </c>
      <c r="H158" s="588">
        <f t="shared" si="24"/>
        <v>0</v>
      </c>
      <c r="I158" s="588" t="s">
        <v>79</v>
      </c>
      <c r="J158" s="588">
        <f t="shared" ref="J158:O158" si="25">AVERAGE(J146:J157)</f>
        <v>0</v>
      </c>
      <c r="K158" s="588">
        <f t="shared" si="25"/>
        <v>0</v>
      </c>
      <c r="L158" s="588">
        <f t="shared" si="25"/>
        <v>0</v>
      </c>
      <c r="M158" s="588">
        <f t="shared" si="25"/>
        <v>0</v>
      </c>
      <c r="N158" s="588">
        <f t="shared" si="25"/>
        <v>0</v>
      </c>
      <c r="O158" s="588">
        <f t="shared" si="25"/>
        <v>0</v>
      </c>
      <c r="P158" s="588"/>
      <c r="Q158" s="588"/>
      <c r="R158" s="588"/>
    </row>
    <row r="159" spans="1:18" ht="13.5">
      <c r="A159" s="572"/>
      <c r="C159" s="573"/>
      <c r="D159" s="419"/>
      <c r="E159" s="419"/>
      <c r="F159" s="419"/>
      <c r="G159" s="419"/>
      <c r="H159" s="419"/>
      <c r="I159" s="419"/>
      <c r="J159" s="419"/>
      <c r="K159" s="419"/>
      <c r="L159" s="590"/>
      <c r="M159" s="573"/>
      <c r="N159" s="573"/>
      <c r="O159" s="573"/>
      <c r="P159" s="419"/>
      <c r="Q159" s="590"/>
      <c r="R159" s="573"/>
    </row>
    <row r="160" spans="1:18" ht="15.75">
      <c r="A160" s="572" t="s">
        <v>760</v>
      </c>
      <c r="B160" s="573" t="s">
        <v>81</v>
      </c>
      <c r="C160" s="573"/>
      <c r="D160" s="419"/>
      <c r="E160" s="419"/>
      <c r="F160" s="419"/>
      <c r="G160" s="419"/>
      <c r="H160" s="419"/>
      <c r="I160" s="419"/>
      <c r="J160" s="573"/>
      <c r="K160" s="624" t="s">
        <v>80</v>
      </c>
      <c r="L160" s="419"/>
      <c r="M160" s="588">
        <f>SUM(J158:O158)</f>
        <v>0</v>
      </c>
      <c r="N160" s="588"/>
      <c r="O160" s="1774" t="s">
        <v>1110</v>
      </c>
      <c r="P160" s="573"/>
      <c r="Q160" s="590"/>
      <c r="R160" s="588"/>
    </row>
    <row r="161" spans="1:18" ht="13.5">
      <c r="A161" s="572"/>
      <c r="B161" s="573"/>
      <c r="C161" s="573"/>
      <c r="D161" s="419"/>
      <c r="E161" s="419"/>
      <c r="F161" s="419"/>
      <c r="G161" s="419"/>
      <c r="H161" s="419"/>
      <c r="I161" s="419"/>
      <c r="J161" s="573"/>
      <c r="K161" s="573"/>
      <c r="L161" s="588"/>
      <c r="M161" s="573"/>
      <c r="N161" s="419"/>
      <c r="O161" s="573"/>
      <c r="P161" s="573"/>
      <c r="Q161" s="573"/>
      <c r="R161" s="573"/>
    </row>
    <row r="162" spans="1:18" ht="13.5">
      <c r="A162" s="572"/>
      <c r="B162" s="572"/>
      <c r="C162" s="572"/>
      <c r="D162" s="573"/>
      <c r="E162" s="573"/>
      <c r="F162" s="419"/>
      <c r="G162" s="573"/>
      <c r="H162" s="573"/>
      <c r="I162" s="588"/>
      <c r="J162" s="573"/>
      <c r="K162" s="419"/>
      <c r="L162" s="573"/>
      <c r="M162" s="573"/>
      <c r="N162" s="591"/>
      <c r="O162" s="591"/>
      <c r="P162" s="573"/>
      <c r="Q162" s="573"/>
      <c r="R162" s="591"/>
    </row>
    <row r="163" spans="1:18" ht="13.5">
      <c r="A163" s="420"/>
      <c r="B163" s="572"/>
      <c r="C163" s="572"/>
      <c r="D163" s="594"/>
      <c r="E163" s="572"/>
      <c r="F163" s="419"/>
      <c r="G163" s="572"/>
      <c r="H163" s="588"/>
      <c r="I163" s="576"/>
      <c r="J163" s="609"/>
      <c r="K163" s="573"/>
      <c r="L163" s="573"/>
      <c r="M163" s="573"/>
      <c r="N163" s="573"/>
      <c r="O163" s="573"/>
      <c r="P163" s="573"/>
      <c r="Q163" s="573"/>
      <c r="R163" s="573"/>
    </row>
    <row r="164" spans="1:18" ht="13.5">
      <c r="A164" s="572"/>
      <c r="B164" s="572"/>
      <c r="C164" s="572"/>
      <c r="D164" s="594"/>
      <c r="E164" s="572"/>
      <c r="F164" s="588"/>
      <c r="G164" s="572"/>
      <c r="H164" s="588"/>
      <c r="I164" s="576"/>
      <c r="J164" s="609"/>
      <c r="K164" s="573"/>
      <c r="L164" s="573"/>
      <c r="M164" s="573"/>
      <c r="N164" s="573"/>
      <c r="O164" s="573"/>
      <c r="P164" s="573"/>
      <c r="Q164" s="573"/>
      <c r="R164" s="573"/>
    </row>
    <row r="165" spans="1:18" ht="13.5">
      <c r="A165" s="572">
        <v>10</v>
      </c>
      <c r="B165" s="572" t="s">
        <v>627</v>
      </c>
      <c r="C165" s="572" t="s">
        <v>602</v>
      </c>
      <c r="D165" s="579" t="s">
        <v>460</v>
      </c>
      <c r="E165" s="573"/>
      <c r="F165" s="573"/>
      <c r="G165" s="573"/>
      <c r="H165" s="573"/>
      <c r="I165" s="576"/>
      <c r="J165" s="577"/>
      <c r="K165" s="573"/>
      <c r="L165" s="573"/>
      <c r="M165" s="573"/>
      <c r="N165" s="573"/>
      <c r="O165" s="573"/>
      <c r="P165" s="573"/>
      <c r="Q165" s="577"/>
      <c r="R165" s="618"/>
    </row>
    <row r="166" spans="1:18" ht="13.5">
      <c r="A166" s="572"/>
      <c r="B166" s="572"/>
      <c r="C166" s="572"/>
      <c r="D166" s="595"/>
      <c r="E166" s="573" t="s">
        <v>962</v>
      </c>
      <c r="F166" s="573"/>
      <c r="G166" s="573"/>
      <c r="H166" s="573"/>
      <c r="I166" s="577"/>
      <c r="J166" s="577"/>
      <c r="K166" s="573"/>
      <c r="L166" s="573"/>
      <c r="M166" s="573"/>
      <c r="N166" s="573"/>
      <c r="O166" s="573"/>
      <c r="P166" s="573"/>
      <c r="Q166" s="573"/>
      <c r="R166" s="573"/>
    </row>
    <row r="167" spans="1:18" ht="13.5">
      <c r="A167" s="572"/>
      <c r="B167" s="572"/>
      <c r="C167" s="572"/>
      <c r="D167" s="601"/>
      <c r="E167" s="594"/>
      <c r="F167" s="573"/>
      <c r="G167" s="573"/>
      <c r="H167" s="573"/>
      <c r="I167" s="577"/>
      <c r="J167" s="577"/>
      <c r="K167" s="573"/>
      <c r="L167" s="573"/>
      <c r="M167" s="573"/>
      <c r="N167" s="573"/>
      <c r="O167" s="573"/>
      <c r="P167" s="573"/>
      <c r="Q167" s="573"/>
      <c r="R167" s="573"/>
    </row>
    <row r="168" spans="1:18" ht="13.5">
      <c r="A168" s="572"/>
      <c r="B168" s="572"/>
      <c r="C168" s="572"/>
      <c r="D168" s="595"/>
      <c r="E168" s="573"/>
      <c r="F168" s="573"/>
      <c r="G168" s="573"/>
      <c r="H168" s="573"/>
      <c r="I168" s="577"/>
      <c r="J168" s="577"/>
      <c r="K168" s="573"/>
      <c r="L168" s="573"/>
      <c r="M168" s="573"/>
      <c r="N168" s="573"/>
      <c r="O168" s="573"/>
      <c r="P168" s="573"/>
      <c r="Q168" s="573"/>
      <c r="R168" s="573"/>
    </row>
    <row r="169" spans="1:18" ht="13.5">
      <c r="A169" s="572">
        <v>11</v>
      </c>
      <c r="B169" s="572" t="s">
        <v>628</v>
      </c>
      <c r="C169" s="572" t="s">
        <v>602</v>
      </c>
      <c r="D169" s="602" t="s">
        <v>1099</v>
      </c>
      <c r="E169" s="573"/>
      <c r="F169" s="573"/>
      <c r="G169" s="573"/>
      <c r="H169" s="573"/>
      <c r="I169" s="573"/>
      <c r="J169" s="573"/>
      <c r="K169" s="573"/>
      <c r="L169" s="573"/>
      <c r="M169" s="573"/>
      <c r="N169" s="573"/>
      <c r="O169" s="573"/>
      <c r="P169" s="573"/>
      <c r="Q169" s="573"/>
      <c r="R169" s="573"/>
    </row>
    <row r="170" spans="1:18" ht="13.5">
      <c r="A170" s="572"/>
      <c r="B170" s="572"/>
      <c r="C170" s="572"/>
      <c r="D170" s="619">
        <v>0</v>
      </c>
      <c r="E170" s="573"/>
      <c r="F170" s="573"/>
      <c r="G170" s="573"/>
      <c r="H170" s="573"/>
      <c r="I170" s="573"/>
      <c r="J170" s="573"/>
      <c r="K170" s="573"/>
      <c r="L170" s="573"/>
      <c r="M170" s="573"/>
      <c r="N170" s="573"/>
      <c r="O170" s="573"/>
      <c r="P170" s="573"/>
      <c r="Q170" s="573"/>
      <c r="R170" s="573"/>
    </row>
    <row r="171" spans="1:18" ht="13.5">
      <c r="A171" s="572"/>
      <c r="B171" s="572"/>
      <c r="C171" s="572"/>
      <c r="D171" s="573"/>
      <c r="E171" s="573"/>
      <c r="F171" s="573"/>
      <c r="G171" s="573"/>
      <c r="H171" s="573"/>
      <c r="I171" s="573"/>
      <c r="J171" s="573"/>
      <c r="K171" s="573"/>
      <c r="L171" s="573"/>
      <c r="M171" s="573"/>
      <c r="N171" s="573"/>
      <c r="O171" s="573"/>
      <c r="P171" s="573"/>
      <c r="Q171" s="573"/>
      <c r="R171" s="573"/>
    </row>
    <row r="172" spans="1:18" ht="13.5">
      <c r="A172" s="572"/>
      <c r="B172" s="573"/>
      <c r="C172" s="572"/>
      <c r="D172" s="594"/>
      <c r="E172" s="573"/>
      <c r="F172" s="573"/>
      <c r="G172" s="573"/>
      <c r="H172" s="573"/>
      <c r="I172" s="573"/>
      <c r="J172" s="573"/>
      <c r="K172" s="573"/>
      <c r="L172" s="573"/>
      <c r="M172" s="573"/>
      <c r="N172" s="573"/>
      <c r="O172" s="573"/>
      <c r="P172" s="573"/>
      <c r="Q172" s="573"/>
      <c r="R172" s="573"/>
    </row>
    <row r="173" spans="1:18" ht="13.5">
      <c r="A173" s="572"/>
      <c r="B173" s="572"/>
      <c r="C173" s="572"/>
      <c r="D173" s="573"/>
      <c r="E173" s="573"/>
      <c r="F173" s="573"/>
      <c r="G173" s="573"/>
      <c r="H173" s="573"/>
      <c r="I173" s="573"/>
      <c r="J173" s="573"/>
      <c r="K173" s="573"/>
      <c r="L173" s="573"/>
      <c r="M173" s="573"/>
      <c r="N173" s="573"/>
      <c r="O173" s="573"/>
      <c r="P173" s="573"/>
      <c r="Q173" s="573"/>
      <c r="R173" s="573"/>
    </row>
    <row r="174" spans="1:18" ht="13.5">
      <c r="A174" s="572"/>
      <c r="B174" s="572"/>
      <c r="C174" s="572"/>
      <c r="D174" s="573"/>
      <c r="E174" s="573"/>
      <c r="F174" s="573"/>
      <c r="G174" s="573"/>
      <c r="H174" s="573"/>
      <c r="I174" s="573"/>
      <c r="J174" s="573"/>
      <c r="K174" s="573"/>
      <c r="L174" s="573"/>
      <c r="M174" s="573"/>
      <c r="N174" s="573"/>
      <c r="O174" s="573"/>
      <c r="P174" s="573"/>
      <c r="Q174" s="573"/>
      <c r="R174" s="573"/>
    </row>
    <row r="175" spans="1:18" ht="13.5">
      <c r="A175" s="572"/>
      <c r="B175" s="572"/>
      <c r="C175" s="572"/>
      <c r="D175" s="573"/>
      <c r="E175" s="573"/>
      <c r="F175" s="573"/>
      <c r="G175" s="573"/>
      <c r="H175" s="573"/>
      <c r="I175" s="573"/>
      <c r="J175" s="573"/>
      <c r="K175" s="573"/>
      <c r="L175" s="573"/>
      <c r="M175" s="573"/>
      <c r="N175" s="573"/>
      <c r="O175" s="573"/>
      <c r="P175" s="573"/>
      <c r="Q175" s="573"/>
      <c r="R175" s="573"/>
    </row>
    <row r="176" spans="1:18" ht="13.5">
      <c r="A176" s="572"/>
      <c r="B176" s="572"/>
      <c r="C176" s="572"/>
      <c r="D176" s="573"/>
      <c r="E176" s="573"/>
      <c r="F176" s="573"/>
      <c r="G176" s="573"/>
      <c r="H176" s="573"/>
      <c r="I176" s="573"/>
      <c r="J176" s="573"/>
      <c r="K176" s="573"/>
      <c r="L176" s="573"/>
      <c r="M176" s="573"/>
      <c r="N176" s="573"/>
      <c r="O176" s="573"/>
      <c r="P176" s="573"/>
      <c r="Q176" s="573"/>
      <c r="R176" s="573"/>
    </row>
    <row r="177" spans="1:18" ht="13.5">
      <c r="A177" s="572"/>
      <c r="B177" s="572"/>
      <c r="C177" s="572"/>
      <c r="D177" s="573"/>
      <c r="E177" s="573"/>
      <c r="F177" s="573"/>
      <c r="G177" s="573"/>
      <c r="H177" s="573"/>
      <c r="I177" s="573"/>
      <c r="J177" s="573"/>
      <c r="K177" s="573"/>
      <c r="L177" s="573"/>
      <c r="M177" s="573"/>
      <c r="N177" s="573"/>
      <c r="O177" s="573"/>
      <c r="P177" s="573"/>
      <c r="Q177" s="573"/>
      <c r="R177" s="573"/>
    </row>
    <row r="178" spans="1:18" ht="13.5">
      <c r="A178" s="572"/>
      <c r="B178" s="572"/>
      <c r="C178" s="572"/>
      <c r="D178" s="573"/>
      <c r="E178" s="573"/>
      <c r="F178" s="573"/>
      <c r="G178" s="573"/>
      <c r="H178" s="573"/>
      <c r="I178" s="573"/>
      <c r="J178" s="573"/>
      <c r="K178" s="573"/>
      <c r="L178" s="573"/>
      <c r="M178" s="573"/>
      <c r="N178" s="573"/>
      <c r="O178" s="573"/>
      <c r="P178" s="573"/>
      <c r="Q178" s="573"/>
      <c r="R178" s="573"/>
    </row>
    <row r="179" spans="1:18" ht="13.5">
      <c r="A179" s="572"/>
      <c r="B179" s="572"/>
      <c r="C179" s="572"/>
      <c r="D179" s="573"/>
      <c r="E179" s="573"/>
      <c r="F179" s="573"/>
      <c r="G179" s="573"/>
      <c r="H179" s="573"/>
      <c r="I179" s="573"/>
      <c r="J179" s="573"/>
      <c r="K179" s="573"/>
      <c r="L179" s="573"/>
      <c r="M179" s="573"/>
      <c r="N179" s="573"/>
      <c r="O179" s="573"/>
      <c r="P179" s="573"/>
      <c r="Q179" s="573"/>
      <c r="R179" s="573"/>
    </row>
    <row r="180" spans="1:18" ht="13.5">
      <c r="A180" s="572"/>
      <c r="B180" s="572"/>
      <c r="C180" s="572"/>
      <c r="D180" s="573"/>
      <c r="E180" s="573"/>
      <c r="F180" s="573"/>
      <c r="G180" s="573"/>
      <c r="H180" s="573"/>
      <c r="I180" s="573"/>
      <c r="J180" s="573"/>
      <c r="K180" s="573"/>
      <c r="L180" s="573"/>
      <c r="M180" s="573"/>
      <c r="N180" s="573"/>
      <c r="O180" s="573"/>
      <c r="P180" s="573"/>
      <c r="Q180" s="573"/>
      <c r="R180" s="573"/>
    </row>
    <row r="181" spans="1:18" ht="13.5">
      <c r="A181" s="572"/>
      <c r="B181" s="572"/>
      <c r="C181" s="572"/>
      <c r="D181" s="573"/>
      <c r="E181" s="573"/>
      <c r="F181" s="573"/>
      <c r="G181" s="573"/>
      <c r="H181" s="573"/>
      <c r="I181" s="573"/>
      <c r="J181" s="573"/>
      <c r="K181" s="573"/>
      <c r="L181" s="573"/>
      <c r="M181" s="573"/>
      <c r="N181" s="573"/>
      <c r="O181" s="573"/>
      <c r="P181" s="573"/>
      <c r="Q181" s="573"/>
      <c r="R181" s="573"/>
    </row>
    <row r="182" spans="1:18" ht="13.5">
      <c r="A182" s="572"/>
      <c r="B182" s="572"/>
      <c r="C182" s="572"/>
      <c r="D182" s="573"/>
      <c r="E182" s="573"/>
      <c r="F182" s="573"/>
      <c r="G182" s="573"/>
      <c r="H182" s="573"/>
      <c r="I182" s="573"/>
      <c r="J182" s="573"/>
      <c r="K182" s="573"/>
      <c r="L182" s="573"/>
      <c r="M182" s="573"/>
      <c r="N182" s="573"/>
      <c r="O182" s="573"/>
      <c r="P182" s="573"/>
      <c r="Q182" s="573"/>
      <c r="R182" s="573"/>
    </row>
    <row r="183" spans="1:18" ht="13.5">
      <c r="A183" s="572"/>
      <c r="B183" s="572"/>
      <c r="C183" s="572"/>
      <c r="D183" s="573"/>
      <c r="E183" s="573"/>
      <c r="F183" s="573"/>
      <c r="G183" s="573"/>
      <c r="H183" s="573"/>
      <c r="I183" s="573"/>
      <c r="J183" s="573"/>
      <c r="K183" s="573"/>
      <c r="L183" s="573"/>
      <c r="M183" s="573"/>
      <c r="N183" s="573"/>
      <c r="O183" s="573"/>
      <c r="P183" s="573"/>
      <c r="Q183" s="573"/>
      <c r="R183" s="573"/>
    </row>
    <row r="184" spans="1:18" ht="13.5">
      <c r="A184" s="572"/>
      <c r="B184" s="572"/>
      <c r="C184" s="572"/>
      <c r="D184" s="573"/>
      <c r="E184" s="573"/>
      <c r="F184" s="573"/>
      <c r="G184" s="573"/>
      <c r="H184" s="573"/>
      <c r="I184" s="573"/>
      <c r="J184" s="573"/>
      <c r="K184" s="573"/>
      <c r="L184" s="573"/>
      <c r="M184" s="573"/>
      <c r="N184" s="573"/>
      <c r="O184" s="573"/>
      <c r="P184" s="573"/>
      <c r="Q184" s="573"/>
      <c r="R184" s="573"/>
    </row>
    <row r="185" spans="1:18" ht="13.5">
      <c r="A185" s="572"/>
      <c r="B185" s="572"/>
      <c r="C185" s="572"/>
      <c r="D185" s="573"/>
      <c r="E185" s="573"/>
      <c r="F185" s="573"/>
      <c r="G185" s="573"/>
      <c r="H185" s="573"/>
      <c r="I185" s="573"/>
      <c r="J185" s="573"/>
      <c r="K185" s="573"/>
      <c r="L185" s="573"/>
      <c r="M185" s="573"/>
      <c r="N185" s="573"/>
      <c r="O185" s="573"/>
      <c r="P185" s="573"/>
      <c r="Q185" s="573"/>
      <c r="R185" s="573"/>
    </row>
    <row r="186" spans="1:18" ht="13.5">
      <c r="A186" s="572"/>
      <c r="B186" s="572"/>
      <c r="C186" s="572"/>
      <c r="D186" s="573"/>
      <c r="E186" s="573"/>
      <c r="F186" s="573"/>
      <c r="G186" s="573"/>
      <c r="H186" s="573"/>
      <c r="I186" s="573"/>
      <c r="J186" s="573"/>
      <c r="K186" s="573"/>
      <c r="L186" s="573"/>
      <c r="M186" s="573"/>
      <c r="N186" s="573"/>
      <c r="O186" s="573"/>
      <c r="P186" s="573"/>
      <c r="Q186" s="573"/>
      <c r="R186" s="573"/>
    </row>
    <row r="187" spans="1:18" ht="13.5">
      <c r="A187" s="572"/>
      <c r="B187" s="572"/>
      <c r="C187" s="572"/>
      <c r="D187" s="573"/>
      <c r="E187" s="573"/>
      <c r="F187" s="573"/>
      <c r="G187" s="573"/>
      <c r="H187" s="573"/>
      <c r="I187" s="573"/>
      <c r="J187" s="573"/>
      <c r="K187" s="573"/>
      <c r="L187" s="573"/>
      <c r="M187" s="573"/>
      <c r="N187" s="573"/>
      <c r="O187" s="573"/>
      <c r="P187" s="573"/>
      <c r="Q187" s="573"/>
      <c r="R187" s="573"/>
    </row>
    <row r="188" spans="1:18" ht="15.75">
      <c r="A188" s="620"/>
      <c r="B188" s="572"/>
      <c r="C188" s="572"/>
      <c r="D188" s="573"/>
      <c r="E188" s="573"/>
      <c r="F188" s="573"/>
      <c r="G188" s="573"/>
      <c r="H188" s="573"/>
      <c r="I188" s="573"/>
      <c r="J188" s="573"/>
      <c r="K188" s="573"/>
      <c r="L188" s="573"/>
      <c r="M188" s="573"/>
      <c r="N188" s="573"/>
      <c r="O188" s="573"/>
      <c r="P188" s="573"/>
      <c r="Q188" s="573"/>
      <c r="R188" s="573"/>
    </row>
    <row r="189" spans="1:18" ht="15.75">
      <c r="A189" s="620"/>
      <c r="B189" s="572"/>
      <c r="C189" s="572"/>
      <c r="D189" s="573"/>
      <c r="E189" s="573"/>
      <c r="F189" s="573"/>
      <c r="G189" s="573"/>
      <c r="H189" s="573"/>
      <c r="I189" s="573"/>
      <c r="J189" s="573"/>
      <c r="K189" s="573"/>
      <c r="L189" s="573"/>
      <c r="M189" s="573"/>
      <c r="N189" s="573"/>
      <c r="O189" s="573"/>
      <c r="P189" s="573"/>
      <c r="Q189" s="573"/>
      <c r="R189" s="573"/>
    </row>
    <row r="190" spans="1:18" ht="15.75">
      <c r="A190" s="620"/>
      <c r="B190" s="620"/>
      <c r="C190" s="620"/>
      <c r="D190" s="621"/>
      <c r="E190" s="621"/>
      <c r="F190" s="621"/>
      <c r="G190" s="621"/>
      <c r="H190" s="621"/>
      <c r="I190" s="621"/>
      <c r="J190" s="621"/>
      <c r="K190" s="621"/>
      <c r="L190" s="621"/>
      <c r="M190" s="621"/>
      <c r="N190" s="621"/>
      <c r="O190" s="621"/>
      <c r="P190" s="621"/>
      <c r="Q190" s="621"/>
      <c r="R190" s="621"/>
    </row>
  </sheetData>
  <mergeCells count="3">
    <mergeCell ref="D99:E99"/>
    <mergeCell ref="A2:R2"/>
    <mergeCell ref="N79:N80"/>
  </mergeCells>
  <phoneticPr fontId="73" type="noConversion"/>
  <pageMargins left="0.75" right="0.75" top="1" bottom="1" header="0.5" footer="0.5"/>
  <pageSetup scale="46" fitToHeight="8" orientation="landscape" r:id="rId1"/>
  <headerFooter alignWithMargins="0"/>
  <rowBreaks count="2" manualBreakCount="2">
    <brk id="73" max="20" man="1"/>
    <brk id="138"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4"/>
  <sheetViews>
    <sheetView topLeftCell="A7" zoomScaleNormal="100" zoomScaleSheetLayoutView="75" workbookViewId="0">
      <selection activeCell="D21" sqref="D21:F21"/>
    </sheetView>
  </sheetViews>
  <sheetFormatPr defaultColWidth="9.140625" defaultRowHeight="12.75"/>
  <cols>
    <col min="1" max="1" width="7" style="660" customWidth="1"/>
    <col min="2" max="2" width="18.140625" style="418" customWidth="1"/>
    <col min="3" max="3" width="13.5703125" style="660" customWidth="1"/>
    <col min="4" max="4" width="11.5703125" style="418" customWidth="1"/>
    <col min="5" max="5" width="17" style="418" customWidth="1"/>
    <col min="6" max="6" width="24" style="184" customWidth="1"/>
    <col min="7" max="7" width="10.7109375" style="418" customWidth="1"/>
    <col min="8" max="8" width="17.42578125" style="418" customWidth="1"/>
    <col min="9" max="9" width="25.140625" style="184" customWidth="1"/>
    <col min="10" max="12" width="11.5703125" style="418" bestFit="1" customWidth="1"/>
    <col min="13" max="13" width="10.85546875" style="418" bestFit="1" customWidth="1"/>
    <col min="14" max="16384" width="9.140625" style="418"/>
  </cols>
  <sheetData>
    <row r="1" spans="1:13" ht="18">
      <c r="A1" s="1976" t="s">
        <v>447</v>
      </c>
      <c r="B1" s="1976"/>
      <c r="C1" s="1976"/>
      <c r="D1" s="1976"/>
      <c r="E1" s="1976"/>
      <c r="F1" s="1976"/>
      <c r="G1" s="1976"/>
      <c r="H1" s="1976"/>
      <c r="I1" s="1976"/>
      <c r="J1" s="1976"/>
      <c r="K1" s="1976"/>
      <c r="L1" s="1976"/>
      <c r="M1"/>
    </row>
    <row r="2" spans="1:13" ht="10.5" customHeight="1">
      <c r="B2" s="661"/>
      <c r="C2" s="662"/>
      <c r="D2" s="662"/>
      <c r="E2" s="662"/>
      <c r="F2" s="662"/>
      <c r="G2" s="662"/>
      <c r="H2" s="662"/>
      <c r="I2" s="662"/>
      <c r="M2"/>
    </row>
    <row r="3" spans="1:13" ht="18.75" customHeight="1">
      <c r="A3" s="2017" t="s">
        <v>484</v>
      </c>
      <c r="B3" s="2017"/>
      <c r="C3" s="2017"/>
      <c r="D3" s="2017"/>
      <c r="E3" s="2017"/>
      <c r="F3" s="2017"/>
      <c r="G3" s="2017"/>
      <c r="H3" s="2017"/>
      <c r="I3" s="2017"/>
      <c r="J3" s="2017"/>
      <c r="K3" s="2017"/>
      <c r="L3" s="2017"/>
      <c r="M3"/>
    </row>
    <row r="4" spans="1:13" ht="13.5" thickBot="1">
      <c r="A4" s="660" t="s">
        <v>485</v>
      </c>
      <c r="C4" s="418" t="s">
        <v>539</v>
      </c>
      <c r="M4"/>
    </row>
    <row r="5" spans="1:13" ht="31.5">
      <c r="I5" s="1392" t="s">
        <v>474</v>
      </c>
      <c r="J5" s="1393" t="s">
        <v>974</v>
      </c>
      <c r="K5" s="1393" t="s">
        <v>437</v>
      </c>
      <c r="L5" s="1394" t="s">
        <v>438</v>
      </c>
    </row>
    <row r="6" spans="1:13">
      <c r="I6" s="666"/>
      <c r="J6" s="666"/>
      <c r="K6" s="666"/>
      <c r="L6" s="2"/>
    </row>
    <row r="7" spans="1:13">
      <c r="B7" s="663" t="s">
        <v>540</v>
      </c>
      <c r="C7" s="664"/>
      <c r="I7" s="666"/>
      <c r="J7" s="666"/>
      <c r="K7" s="666"/>
      <c r="L7" s="2"/>
    </row>
    <row r="8" spans="1:13">
      <c r="A8" s="660">
        <v>1</v>
      </c>
      <c r="B8" s="660" t="s">
        <v>762</v>
      </c>
      <c r="C8" s="660">
        <f>+'ATT H-1 '!A275</f>
        <v>169</v>
      </c>
      <c r="D8" s="664" t="s">
        <v>941</v>
      </c>
      <c r="F8" s="665"/>
      <c r="G8" s="664"/>
      <c r="H8" s="664"/>
      <c r="I8" s="1395">
        <f>+'ATT H-1 '!H275</f>
        <v>0.14439932317630277</v>
      </c>
      <c r="J8" s="1395">
        <f>+'ATT H-1 '!J275</f>
        <v>0.12247399413710559</v>
      </c>
      <c r="K8" s="1395">
        <f>+'ATT H-1 '!K275</f>
        <v>0.18717369377390022</v>
      </c>
      <c r="L8" s="1395">
        <f>+'ATT H-1 '!L275</f>
        <v>0.13152897409994607</v>
      </c>
    </row>
    <row r="9" spans="1:13">
      <c r="A9" s="660">
        <v>2</v>
      </c>
      <c r="B9" s="660" t="s">
        <v>852</v>
      </c>
      <c r="C9" s="660">
        <f>+'ATT H-1 '!A284</f>
        <v>176</v>
      </c>
      <c r="D9" s="664" t="s">
        <v>939</v>
      </c>
      <c r="F9" s="665"/>
      <c r="I9" s="1395">
        <f>+'ATT H-1 '!H284</f>
        <v>0.14991236597329541</v>
      </c>
      <c r="J9" s="1395">
        <f>+'ATT H-1 '!J284</f>
        <v>0.12793972568950426</v>
      </c>
      <c r="K9" s="1395">
        <f>+'ATT H-1 '!K284</f>
        <v>0.19336324720787598</v>
      </c>
      <c r="L9" s="1395">
        <f>+'ATT H-1 '!L284</f>
        <v>0.13771852753392183</v>
      </c>
    </row>
    <row r="10" spans="1:13">
      <c r="A10" s="660">
        <v>3</v>
      </c>
      <c r="B10" s="660" t="s">
        <v>743</v>
      </c>
      <c r="D10" s="418" t="s">
        <v>541</v>
      </c>
      <c r="F10" s="665"/>
      <c r="I10" s="1395">
        <f>+I9-I8</f>
        <v>5.5130427969926343E-3</v>
      </c>
      <c r="J10" s="1395">
        <f>+J9-J8</f>
        <v>5.4657315523986699E-3</v>
      </c>
      <c r="K10" s="1395">
        <f>+K9-K8</f>
        <v>6.1895534339757585E-3</v>
      </c>
      <c r="L10" s="1395">
        <f>+L9-L8</f>
        <v>6.1895534339757585E-3</v>
      </c>
    </row>
    <row r="11" spans="1:13">
      <c r="B11" s="663" t="s">
        <v>550</v>
      </c>
      <c r="F11" s="665"/>
      <c r="I11" s="1395"/>
      <c r="J11" s="1395"/>
      <c r="K11" s="1395"/>
      <c r="L11" s="1395"/>
    </row>
    <row r="12" spans="1:13">
      <c r="A12" s="660">
        <v>4</v>
      </c>
      <c r="B12" s="660" t="s">
        <v>763</v>
      </c>
      <c r="C12" s="660">
        <f>+'ATT H-1 '!A276</f>
        <v>170</v>
      </c>
      <c r="D12" s="664" t="s">
        <v>942</v>
      </c>
      <c r="F12" s="665"/>
      <c r="I12" s="1395">
        <f>+'ATT H-1 '!H276</f>
        <v>7.0647774223044121E-2</v>
      </c>
      <c r="J12" s="1395">
        <f>+'ATT H-1 '!J276</f>
        <v>4.9355358386264508E-2</v>
      </c>
      <c r="K12" s="1395">
        <f>+'ATT H-1 '!K276</f>
        <v>0.10437202328193693</v>
      </c>
      <c r="L12" s="1395">
        <f>+'ATT H-1 '!L276</f>
        <v>4.8727303607982775E-2</v>
      </c>
    </row>
    <row r="13" spans="1:13">
      <c r="B13" s="660"/>
      <c r="D13" s="664"/>
      <c r="F13" s="665"/>
      <c r="M13"/>
    </row>
    <row r="14" spans="1:13">
      <c r="B14" s="666" t="s">
        <v>551</v>
      </c>
      <c r="M14"/>
    </row>
    <row r="15" spans="1:13">
      <c r="B15" s="666" t="s">
        <v>552</v>
      </c>
      <c r="C15" s="675"/>
      <c r="D15" s="666"/>
      <c r="E15" s="666"/>
      <c r="F15" s="665"/>
      <c r="G15" s="666"/>
      <c r="H15" s="666"/>
      <c r="I15" s="665"/>
      <c r="J15" s="666"/>
      <c r="K15" s="666"/>
      <c r="L15" s="666"/>
      <c r="M15"/>
    </row>
    <row r="16" spans="1:13">
      <c r="B16" s="667"/>
      <c r="C16" s="675"/>
      <c r="D16" s="670"/>
      <c r="E16" s="670"/>
      <c r="F16" s="708"/>
      <c r="G16" s="670"/>
      <c r="H16" s="670"/>
      <c r="I16" s="708"/>
      <c r="J16" s="666"/>
      <c r="K16" s="666"/>
      <c r="L16" s="666"/>
      <c r="M16"/>
    </row>
    <row r="17" spans="1:13">
      <c r="C17" s="675"/>
      <c r="F17" s="708"/>
      <c r="G17" s="670"/>
      <c r="H17" s="670"/>
      <c r="J17" s="666"/>
      <c r="K17" s="666"/>
      <c r="L17" s="666"/>
      <c r="M17"/>
    </row>
    <row r="18" spans="1:13">
      <c r="C18" s="675"/>
      <c r="D18" s="670" t="s">
        <v>471</v>
      </c>
      <c r="E18" s="670"/>
      <c r="F18" s="708"/>
      <c r="G18" s="670"/>
      <c r="H18" s="670"/>
      <c r="I18" s="670" t="s">
        <v>779</v>
      </c>
      <c r="J18" s="666"/>
      <c r="K18" s="666"/>
      <c r="L18" s="666"/>
      <c r="M18"/>
    </row>
    <row r="19" spans="1:13">
      <c r="B19" s="666"/>
      <c r="C19" s="675"/>
      <c r="D19" s="670" t="s">
        <v>558</v>
      </c>
      <c r="E19" s="670"/>
      <c r="F19" s="708"/>
      <c r="G19" s="670"/>
      <c r="H19" s="670"/>
      <c r="I19" s="670" t="s">
        <v>777</v>
      </c>
      <c r="J19" s="666"/>
      <c r="K19" s="666"/>
      <c r="L19" s="666"/>
      <c r="M19"/>
    </row>
    <row r="20" spans="1:13" ht="13.5" thickBot="1">
      <c r="B20" s="667"/>
      <c r="C20" s="675"/>
      <c r="D20" s="671" t="s">
        <v>771</v>
      </c>
      <c r="E20" s="671"/>
      <c r="F20" s="1322"/>
      <c r="G20" s="670"/>
      <c r="H20" s="670"/>
      <c r="I20" s="670" t="s">
        <v>778</v>
      </c>
      <c r="J20" s="666"/>
      <c r="K20" s="666"/>
      <c r="L20" s="666"/>
      <c r="M20"/>
    </row>
    <row r="21" spans="1:13">
      <c r="B21" s="672" t="s">
        <v>139</v>
      </c>
      <c r="C21" s="1323"/>
      <c r="D21" s="2020" t="s">
        <v>420</v>
      </c>
      <c r="E21" s="2021"/>
      <c r="F21" s="2022"/>
      <c r="G21" s="2023" t="s">
        <v>559</v>
      </c>
      <c r="H21" s="2024"/>
      <c r="I21" s="2025"/>
      <c r="J21" s="1325"/>
      <c r="K21" s="672"/>
      <c r="L21" s="1416"/>
      <c r="M21" s="1418"/>
    </row>
    <row r="22" spans="1:13">
      <c r="A22" s="675"/>
      <c r="B22" s="676"/>
      <c r="C22" s="680"/>
      <c r="D22" s="677"/>
      <c r="E22" s="707"/>
      <c r="F22" s="1324"/>
      <c r="G22" s="678"/>
      <c r="H22" s="707"/>
      <c r="I22" s="1324"/>
      <c r="J22" s="1326"/>
      <c r="K22" s="676"/>
      <c r="L22" s="682"/>
      <c r="M22" s="430"/>
    </row>
    <row r="23" spans="1:13">
      <c r="A23" s="660">
        <v>5</v>
      </c>
      <c r="B23" s="676" t="s">
        <v>560</v>
      </c>
      <c r="C23" s="680"/>
      <c r="D23" s="1389">
        <v>0</v>
      </c>
      <c r="E23" s="680"/>
      <c r="F23" s="681"/>
      <c r="G23" s="1389">
        <v>0</v>
      </c>
      <c r="H23" s="680"/>
      <c r="I23" s="681"/>
      <c r="J23" s="1326"/>
      <c r="K23" s="676"/>
      <c r="L23" s="682"/>
      <c r="M23" s="430"/>
    </row>
    <row r="24" spans="1:13">
      <c r="A24" s="660">
        <v>6</v>
      </c>
      <c r="B24" s="676" t="s">
        <v>561</v>
      </c>
      <c r="C24" s="680"/>
      <c r="D24" s="1389">
        <v>0</v>
      </c>
      <c r="E24" s="680"/>
      <c r="F24" s="681"/>
      <c r="G24" s="1389">
        <v>0</v>
      </c>
      <c r="H24" s="680"/>
      <c r="I24" s="681"/>
      <c r="J24" s="1326"/>
      <c r="K24" s="676"/>
      <c r="L24" s="682"/>
      <c r="M24" s="430"/>
    </row>
    <row r="25" spans="1:13">
      <c r="A25" s="660">
        <v>7</v>
      </c>
      <c r="B25" s="676" t="s">
        <v>562</v>
      </c>
      <c r="C25" s="680"/>
      <c r="D25" s="1390">
        <v>50</v>
      </c>
      <c r="E25" s="762"/>
      <c r="F25" s="763"/>
      <c r="G25" s="1389">
        <v>0</v>
      </c>
      <c r="H25" s="680"/>
      <c r="I25" s="681"/>
      <c r="J25" s="1326"/>
      <c r="K25" s="676"/>
      <c r="L25" s="682"/>
      <c r="M25" s="430"/>
    </row>
    <row r="26" spans="1:13">
      <c r="A26" s="660">
        <v>8</v>
      </c>
      <c r="B26" s="676" t="s">
        <v>424</v>
      </c>
      <c r="C26" s="680"/>
      <c r="D26" s="1391">
        <f>+J8</f>
        <v>0.12247399413710559</v>
      </c>
      <c r="E26" s="682"/>
      <c r="F26" s="683"/>
      <c r="G26" s="1391">
        <f>+J8</f>
        <v>0.12247399413710559</v>
      </c>
      <c r="H26" s="682"/>
      <c r="I26" s="683"/>
      <c r="J26" s="1326"/>
      <c r="K26" s="676"/>
      <c r="L26" s="682"/>
      <c r="M26" s="430"/>
    </row>
    <row r="27" spans="1:13">
      <c r="A27" s="660">
        <v>9</v>
      </c>
      <c r="B27" s="676" t="s">
        <v>563</v>
      </c>
      <c r="C27" s="680"/>
      <c r="D27" s="1391">
        <f>+D25/100*J10+D26</f>
        <v>0.12520685991330494</v>
      </c>
      <c r="E27" s="682"/>
      <c r="F27" s="683"/>
      <c r="G27" s="1391">
        <f>+G25/100*J10+G26</f>
        <v>0.12247399413710559</v>
      </c>
      <c r="H27" s="682"/>
      <c r="I27" s="683"/>
      <c r="J27" s="1326"/>
      <c r="K27" s="676"/>
      <c r="L27" s="682"/>
      <c r="M27" s="430"/>
    </row>
    <row r="28" spans="1:13">
      <c r="A28" s="660">
        <v>10</v>
      </c>
      <c r="B28" s="676" t="s">
        <v>780</v>
      </c>
      <c r="C28" s="680"/>
      <c r="D28" s="684">
        <v>0</v>
      </c>
      <c r="E28" s="652"/>
      <c r="F28" s="683"/>
      <c r="G28" s="684"/>
      <c r="H28" s="652"/>
      <c r="I28" s="683"/>
      <c r="J28" s="1326"/>
      <c r="K28" s="676"/>
      <c r="L28" s="682"/>
      <c r="M28" s="430"/>
    </row>
    <row r="29" spans="1:13">
      <c r="A29" s="660">
        <v>11</v>
      </c>
      <c r="B29" s="679" t="s">
        <v>564</v>
      </c>
      <c r="C29" s="680"/>
      <c r="D29" s="684">
        <v>0</v>
      </c>
      <c r="E29" s="652"/>
      <c r="F29" s="683"/>
      <c r="G29" s="684">
        <v>0</v>
      </c>
      <c r="H29" s="652"/>
      <c r="I29" s="683"/>
      <c r="J29" s="1326"/>
      <c r="K29" s="676"/>
      <c r="L29" s="682"/>
      <c r="M29" s="430"/>
    </row>
    <row r="30" spans="1:13" ht="13.5" thickBot="1">
      <c r="B30" s="685"/>
      <c r="C30" s="1328"/>
      <c r="D30" s="686"/>
      <c r="E30" s="652"/>
      <c r="F30" s="688"/>
      <c r="G30" s="686"/>
      <c r="H30" s="687"/>
      <c r="I30" s="688"/>
      <c r="J30" s="1329"/>
      <c r="K30" s="1330"/>
      <c r="L30" s="1417"/>
      <c r="M30" s="1423"/>
    </row>
    <row r="31" spans="1:13" ht="25.5">
      <c r="A31" s="660">
        <f>+A29+1</f>
        <v>12</v>
      </c>
      <c r="B31" s="674"/>
      <c r="C31" s="690" t="s">
        <v>565</v>
      </c>
      <c r="D31" s="1331" t="s">
        <v>780</v>
      </c>
      <c r="E31" s="1425" t="s">
        <v>430</v>
      </c>
      <c r="F31" s="689" t="s">
        <v>772</v>
      </c>
      <c r="G31" s="1331" t="s">
        <v>780</v>
      </c>
      <c r="H31" s="1425" t="s">
        <v>430</v>
      </c>
      <c r="I31" s="689" t="s">
        <v>772</v>
      </c>
      <c r="J31" s="690" t="s">
        <v>851</v>
      </c>
      <c r="K31" s="1419" t="s">
        <v>773</v>
      </c>
      <c r="L31" s="1331" t="s">
        <v>774</v>
      </c>
      <c r="M31" s="1424" t="s">
        <v>775</v>
      </c>
    </row>
    <row r="32" spans="1:13">
      <c r="A32" s="660">
        <f>+A31+1</f>
        <v>13</v>
      </c>
      <c r="B32" s="679" t="s">
        <v>424</v>
      </c>
      <c r="C32" s="1332">
        <v>2010</v>
      </c>
      <c r="D32" s="692">
        <f>+D28</f>
        <v>0</v>
      </c>
      <c r="E32" s="1426">
        <v>0</v>
      </c>
      <c r="F32" s="683">
        <f>+D32*D$26+E32</f>
        <v>0</v>
      </c>
      <c r="G32" s="692">
        <f>+G28</f>
        <v>0</v>
      </c>
      <c r="H32" s="1426">
        <v>0</v>
      </c>
      <c r="I32" s="683">
        <f>+G32*G$26+H32</f>
        <v>0</v>
      </c>
      <c r="J32" s="1333">
        <f>+F32+I32</f>
        <v>0</v>
      </c>
      <c r="K32" s="676"/>
      <c r="L32" s="1334">
        <f>J32</f>
        <v>0</v>
      </c>
      <c r="M32" s="1421">
        <f>+L32-K33</f>
        <v>0</v>
      </c>
    </row>
    <row r="33" spans="1:13">
      <c r="A33" s="660">
        <f t="shared" ref="A33:A73" si="0">+A32+1</f>
        <v>14</v>
      </c>
      <c r="B33" s="679" t="s">
        <v>566</v>
      </c>
      <c r="C33" s="1332">
        <v>2010</v>
      </c>
      <c r="D33" s="692">
        <f>+D32</f>
        <v>0</v>
      </c>
      <c r="E33" s="652">
        <v>0</v>
      </c>
      <c r="F33" s="683">
        <f>+D33*D$27+E33</f>
        <v>0</v>
      </c>
      <c r="G33" s="692">
        <f>+G32</f>
        <v>0</v>
      </c>
      <c r="H33" s="652">
        <v>0</v>
      </c>
      <c r="I33" s="683">
        <f>+G33*G$27+H33</f>
        <v>0</v>
      </c>
      <c r="J33" s="1333">
        <f t="shared" ref="J33:J71" si="1">+F33+I33</f>
        <v>0</v>
      </c>
      <c r="K33" s="1420">
        <f>J33</f>
        <v>0</v>
      </c>
      <c r="L33" s="682"/>
      <c r="M33" s="1421"/>
    </row>
    <row r="34" spans="1:13">
      <c r="A34" s="660">
        <f t="shared" si="0"/>
        <v>15</v>
      </c>
      <c r="B34" s="679" t="s">
        <v>424</v>
      </c>
      <c r="C34" s="691">
        <f>+C32+1</f>
        <v>2011</v>
      </c>
      <c r="D34" s="692">
        <v>0</v>
      </c>
      <c r="E34" s="692">
        <v>0</v>
      </c>
      <c r="F34" s="683">
        <f>+D34*D$26+E34</f>
        <v>0</v>
      </c>
      <c r="G34" s="692">
        <v>0</v>
      </c>
      <c r="H34" s="692">
        <v>0</v>
      </c>
      <c r="I34" s="683">
        <f>+G34*G$26+H34</f>
        <v>0</v>
      </c>
      <c r="J34" s="1333">
        <f t="shared" si="1"/>
        <v>0</v>
      </c>
      <c r="K34" s="679"/>
      <c r="L34" s="1334">
        <f>J34</f>
        <v>0</v>
      </c>
      <c r="M34" s="1421">
        <f>+L34-K35</f>
        <v>0</v>
      </c>
    </row>
    <row r="35" spans="1:13">
      <c r="A35" s="660">
        <f t="shared" si="0"/>
        <v>16</v>
      </c>
      <c r="B35" s="679" t="s">
        <v>566</v>
      </c>
      <c r="C35" s="691">
        <f>+C34</f>
        <v>2011</v>
      </c>
      <c r="D35" s="692">
        <v>0</v>
      </c>
      <c r="E35" s="692">
        <v>0</v>
      </c>
      <c r="F35" s="683">
        <f>+D35*D$27+E35</f>
        <v>0</v>
      </c>
      <c r="G35" s="692">
        <v>0</v>
      </c>
      <c r="H35" s="692">
        <v>0</v>
      </c>
      <c r="I35" s="683">
        <f>+G35*G$27+H35</f>
        <v>0</v>
      </c>
      <c r="J35" s="1333">
        <f t="shared" si="1"/>
        <v>0</v>
      </c>
      <c r="K35" s="1420">
        <f>J35</f>
        <v>0</v>
      </c>
      <c r="L35" s="694"/>
      <c r="M35" s="1421"/>
    </row>
    <row r="36" spans="1:13">
      <c r="A36" s="660">
        <f t="shared" si="0"/>
        <v>17</v>
      </c>
      <c r="B36" s="679" t="s">
        <v>424</v>
      </c>
      <c r="C36" s="691">
        <f>+C34+1</f>
        <v>2012</v>
      </c>
      <c r="D36" s="692">
        <v>0</v>
      </c>
      <c r="E36" s="692">
        <v>0</v>
      </c>
      <c r="F36" s="683">
        <f>+D36*D$26+E36</f>
        <v>0</v>
      </c>
      <c r="G36" s="692">
        <v>0</v>
      </c>
      <c r="H36" s="692">
        <v>0</v>
      </c>
      <c r="I36" s="683">
        <f>+G36*G$26+H36</f>
        <v>0</v>
      </c>
      <c r="J36" s="1333">
        <f t="shared" si="1"/>
        <v>0</v>
      </c>
      <c r="K36" s="679"/>
      <c r="L36" s="1334">
        <f>J36</f>
        <v>0</v>
      </c>
      <c r="M36" s="1421">
        <f>+K37-L36</f>
        <v>0</v>
      </c>
    </row>
    <row r="37" spans="1:13">
      <c r="A37" s="660">
        <f t="shared" si="0"/>
        <v>18</v>
      </c>
      <c r="B37" s="679" t="s">
        <v>566</v>
      </c>
      <c r="C37" s="691">
        <f>+C36</f>
        <v>2012</v>
      </c>
      <c r="D37" s="692">
        <v>0</v>
      </c>
      <c r="E37" s="692">
        <v>0</v>
      </c>
      <c r="F37" s="683">
        <f>+D37*D$27+E37</f>
        <v>0</v>
      </c>
      <c r="G37" s="692">
        <v>0</v>
      </c>
      <c r="H37" s="692">
        <v>0</v>
      </c>
      <c r="I37" s="683">
        <f>+G37*G$27+H37</f>
        <v>0</v>
      </c>
      <c r="J37" s="1333">
        <f t="shared" si="1"/>
        <v>0</v>
      </c>
      <c r="K37" s="1420">
        <f>J37</f>
        <v>0</v>
      </c>
      <c r="L37" s="694"/>
      <c r="M37" s="1421"/>
    </row>
    <row r="38" spans="1:13">
      <c r="A38" s="660">
        <f t="shared" si="0"/>
        <v>19</v>
      </c>
      <c r="B38" s="679" t="s">
        <v>424</v>
      </c>
      <c r="C38" s="691">
        <f>+C36+1</f>
        <v>2013</v>
      </c>
      <c r="D38" s="692">
        <v>0</v>
      </c>
      <c r="E38" s="692">
        <v>0</v>
      </c>
      <c r="F38" s="683">
        <f>+D38*D$26+E38</f>
        <v>0</v>
      </c>
      <c r="G38" s="692">
        <v>0</v>
      </c>
      <c r="H38" s="692">
        <v>0</v>
      </c>
      <c r="I38" s="683">
        <f>+G38*G$26+H38</f>
        <v>0</v>
      </c>
      <c r="J38" s="1333">
        <f t="shared" si="1"/>
        <v>0</v>
      </c>
      <c r="K38" s="679"/>
      <c r="L38" s="1334">
        <f>J38</f>
        <v>0</v>
      </c>
      <c r="M38" s="1421">
        <f>+K39-L38</f>
        <v>0</v>
      </c>
    </row>
    <row r="39" spans="1:13">
      <c r="A39" s="660">
        <f t="shared" si="0"/>
        <v>20</v>
      </c>
      <c r="B39" s="679" t="s">
        <v>566</v>
      </c>
      <c r="C39" s="691">
        <f>+C38</f>
        <v>2013</v>
      </c>
      <c r="D39" s="692">
        <v>0</v>
      </c>
      <c r="E39" s="692">
        <v>0</v>
      </c>
      <c r="F39" s="683">
        <f>+D39*D$27+E39</f>
        <v>0</v>
      </c>
      <c r="G39" s="692">
        <v>0</v>
      </c>
      <c r="H39" s="692">
        <v>0</v>
      </c>
      <c r="I39" s="683">
        <f>+G39*G$27+H39</f>
        <v>0</v>
      </c>
      <c r="J39" s="1333">
        <f t="shared" si="1"/>
        <v>0</v>
      </c>
      <c r="K39" s="1420">
        <f>J39</f>
        <v>0</v>
      </c>
      <c r="L39" s="694"/>
      <c r="M39" s="1421"/>
    </row>
    <row r="40" spans="1:13">
      <c r="A40" s="660">
        <f t="shared" si="0"/>
        <v>21</v>
      </c>
      <c r="B40" s="679" t="s">
        <v>424</v>
      </c>
      <c r="C40" s="691">
        <f>+C38+1</f>
        <v>2014</v>
      </c>
      <c r="D40" s="692">
        <v>0</v>
      </c>
      <c r="E40" s="692">
        <v>0</v>
      </c>
      <c r="F40" s="683">
        <f>+D40*D$26+E40</f>
        <v>0</v>
      </c>
      <c r="G40" s="692">
        <v>0</v>
      </c>
      <c r="H40" s="692">
        <v>0</v>
      </c>
      <c r="I40" s="683">
        <f>+G40*G$26+H40</f>
        <v>0</v>
      </c>
      <c r="J40" s="1333">
        <f t="shared" si="1"/>
        <v>0</v>
      </c>
      <c r="K40" s="679"/>
      <c r="L40" s="1334">
        <f>J40</f>
        <v>0</v>
      </c>
      <c r="M40" s="1421">
        <f>+K41-L40</f>
        <v>0</v>
      </c>
    </row>
    <row r="41" spans="1:13">
      <c r="A41" s="660">
        <f t="shared" si="0"/>
        <v>22</v>
      </c>
      <c r="B41" s="679" t="s">
        <v>566</v>
      </c>
      <c r="C41" s="691">
        <f>+C40</f>
        <v>2014</v>
      </c>
      <c r="D41" s="692">
        <v>0</v>
      </c>
      <c r="E41" s="692">
        <v>0</v>
      </c>
      <c r="F41" s="683">
        <f>+D41*D$27+E41</f>
        <v>0</v>
      </c>
      <c r="G41" s="692">
        <v>0</v>
      </c>
      <c r="H41" s="692">
        <v>0</v>
      </c>
      <c r="I41" s="683">
        <f>+G41*G$27+H41</f>
        <v>0</v>
      </c>
      <c r="J41" s="1333">
        <f t="shared" si="1"/>
        <v>0</v>
      </c>
      <c r="K41" s="1420">
        <f>J41</f>
        <v>0</v>
      </c>
      <c r="L41" s="694"/>
      <c r="M41" s="1421"/>
    </row>
    <row r="42" spans="1:13">
      <c r="A42" s="660">
        <f t="shared" si="0"/>
        <v>23</v>
      </c>
      <c r="B42" s="679" t="s">
        <v>424</v>
      </c>
      <c r="C42" s="691">
        <f>+C40+1</f>
        <v>2015</v>
      </c>
      <c r="D42" s="692">
        <v>0</v>
      </c>
      <c r="E42" s="692">
        <v>0</v>
      </c>
      <c r="F42" s="683">
        <f>+D42*D$26+E42</f>
        <v>0</v>
      </c>
      <c r="G42" s="692">
        <v>0</v>
      </c>
      <c r="H42" s="692">
        <v>0</v>
      </c>
      <c r="I42" s="683">
        <f>+G42*G$26+H42</f>
        <v>0</v>
      </c>
      <c r="J42" s="1333">
        <f t="shared" si="1"/>
        <v>0</v>
      </c>
      <c r="K42" s="679"/>
      <c r="L42" s="1334">
        <f>J42</f>
        <v>0</v>
      </c>
      <c r="M42" s="1421">
        <f>+K43-L42</f>
        <v>0</v>
      </c>
    </row>
    <row r="43" spans="1:13">
      <c r="A43" s="660">
        <f t="shared" si="0"/>
        <v>24</v>
      </c>
      <c r="B43" s="679" t="s">
        <v>566</v>
      </c>
      <c r="C43" s="691">
        <f>+C42</f>
        <v>2015</v>
      </c>
      <c r="D43" s="692">
        <v>0</v>
      </c>
      <c r="E43" s="692">
        <v>0</v>
      </c>
      <c r="F43" s="683">
        <f>+D43*D$27+E43</f>
        <v>0</v>
      </c>
      <c r="G43" s="692">
        <v>0</v>
      </c>
      <c r="H43" s="692">
        <v>0</v>
      </c>
      <c r="I43" s="683">
        <f>+G43*G$27+H43</f>
        <v>0</v>
      </c>
      <c r="J43" s="1333">
        <f t="shared" si="1"/>
        <v>0</v>
      </c>
      <c r="K43" s="1420">
        <f>J43</f>
        <v>0</v>
      </c>
      <c r="L43" s="694"/>
      <c r="M43" s="1421"/>
    </row>
    <row r="44" spans="1:13">
      <c r="A44" s="660">
        <f t="shared" si="0"/>
        <v>25</v>
      </c>
      <c r="B44" s="679" t="s">
        <v>424</v>
      </c>
      <c r="C44" s="691">
        <f>+C42+1</f>
        <v>2016</v>
      </c>
      <c r="D44" s="692">
        <v>0</v>
      </c>
      <c r="E44" s="692">
        <v>0</v>
      </c>
      <c r="F44" s="683">
        <f>+D44*D$26+E44</f>
        <v>0</v>
      </c>
      <c r="G44" s="692">
        <v>0</v>
      </c>
      <c r="H44" s="692">
        <v>0</v>
      </c>
      <c r="I44" s="683">
        <f>+G44*G$26+H44</f>
        <v>0</v>
      </c>
      <c r="J44" s="1333">
        <f t="shared" si="1"/>
        <v>0</v>
      </c>
      <c r="K44" s="679"/>
      <c r="L44" s="1334">
        <f>J44</f>
        <v>0</v>
      </c>
      <c r="M44" s="1421">
        <f>+K45-L44</f>
        <v>0</v>
      </c>
    </row>
    <row r="45" spans="1:13">
      <c r="A45" s="660">
        <f t="shared" si="0"/>
        <v>26</v>
      </c>
      <c r="B45" s="679" t="s">
        <v>566</v>
      </c>
      <c r="C45" s="691">
        <f>+C44</f>
        <v>2016</v>
      </c>
      <c r="D45" s="692">
        <v>0</v>
      </c>
      <c r="E45" s="692">
        <v>0</v>
      </c>
      <c r="F45" s="683">
        <f>+D45*D$27+E45</f>
        <v>0</v>
      </c>
      <c r="G45" s="692">
        <v>0</v>
      </c>
      <c r="H45" s="692">
        <v>0</v>
      </c>
      <c r="I45" s="683">
        <f>+G45*G$27+H45</f>
        <v>0</v>
      </c>
      <c r="J45" s="1333">
        <f t="shared" si="1"/>
        <v>0</v>
      </c>
      <c r="K45" s="1420">
        <f>J45</f>
        <v>0</v>
      </c>
      <c r="L45" s="694"/>
      <c r="M45" s="1421"/>
    </row>
    <row r="46" spans="1:13">
      <c r="A46" s="660">
        <f t="shared" si="0"/>
        <v>27</v>
      </c>
      <c r="B46" s="679" t="s">
        <v>424</v>
      </c>
      <c r="C46" s="691">
        <f>+C44+1</f>
        <v>2017</v>
      </c>
      <c r="D46" s="692">
        <v>0</v>
      </c>
      <c r="E46" s="692">
        <v>0</v>
      </c>
      <c r="F46" s="683">
        <f>+D46*D$26+E46</f>
        <v>0</v>
      </c>
      <c r="G46" s="692">
        <v>0</v>
      </c>
      <c r="H46" s="692">
        <v>0</v>
      </c>
      <c r="I46" s="683">
        <f>+G46*G$26+H46</f>
        <v>0</v>
      </c>
      <c r="J46" s="1333">
        <f t="shared" si="1"/>
        <v>0</v>
      </c>
      <c r="K46" s="679"/>
      <c r="L46" s="1334">
        <f>J46</f>
        <v>0</v>
      </c>
      <c r="M46" s="1421">
        <f>+K47-L46</f>
        <v>0</v>
      </c>
    </row>
    <row r="47" spans="1:13">
      <c r="A47" s="660">
        <f t="shared" si="0"/>
        <v>28</v>
      </c>
      <c r="B47" s="679" t="s">
        <v>566</v>
      </c>
      <c r="C47" s="691">
        <f>+C46</f>
        <v>2017</v>
      </c>
      <c r="D47" s="692">
        <v>0</v>
      </c>
      <c r="E47" s="692">
        <v>0</v>
      </c>
      <c r="F47" s="683">
        <f>+D47*D$27+E47</f>
        <v>0</v>
      </c>
      <c r="G47" s="692">
        <v>0</v>
      </c>
      <c r="H47" s="692">
        <v>0</v>
      </c>
      <c r="I47" s="683">
        <f>+G47*G$27+H47</f>
        <v>0</v>
      </c>
      <c r="J47" s="1333">
        <f t="shared" si="1"/>
        <v>0</v>
      </c>
      <c r="K47" s="1420">
        <f>J47</f>
        <v>0</v>
      </c>
      <c r="L47" s="694"/>
      <c r="M47" s="1421"/>
    </row>
    <row r="48" spans="1:13">
      <c r="A48" s="660">
        <f t="shared" si="0"/>
        <v>29</v>
      </c>
      <c r="B48" s="679" t="s">
        <v>424</v>
      </c>
      <c r="C48" s="691">
        <f>+C46+1</f>
        <v>2018</v>
      </c>
      <c r="D48" s="692">
        <v>0</v>
      </c>
      <c r="E48" s="692">
        <v>0</v>
      </c>
      <c r="F48" s="683">
        <f>+D48*D$26+E48</f>
        <v>0</v>
      </c>
      <c r="G48" s="692">
        <v>0</v>
      </c>
      <c r="H48" s="692">
        <v>0</v>
      </c>
      <c r="I48" s="683">
        <f>+G48*G$26+H48</f>
        <v>0</v>
      </c>
      <c r="J48" s="1333">
        <f t="shared" si="1"/>
        <v>0</v>
      </c>
      <c r="K48" s="679"/>
      <c r="L48" s="1334">
        <f>J48</f>
        <v>0</v>
      </c>
      <c r="M48" s="1421">
        <f>+K49-L48</f>
        <v>0</v>
      </c>
    </row>
    <row r="49" spans="1:13">
      <c r="A49" s="660">
        <f t="shared" si="0"/>
        <v>30</v>
      </c>
      <c r="B49" s="679" t="s">
        <v>566</v>
      </c>
      <c r="C49" s="691">
        <f>+C48</f>
        <v>2018</v>
      </c>
      <c r="D49" s="692">
        <v>0</v>
      </c>
      <c r="E49" s="692">
        <v>0</v>
      </c>
      <c r="F49" s="683">
        <f>+D49*D$27+E49</f>
        <v>0</v>
      </c>
      <c r="G49" s="692">
        <v>0</v>
      </c>
      <c r="H49" s="692">
        <v>0</v>
      </c>
      <c r="I49" s="683">
        <f>+G49*G$27+H49</f>
        <v>0</v>
      </c>
      <c r="J49" s="1333">
        <f t="shared" si="1"/>
        <v>0</v>
      </c>
      <c r="K49" s="1420">
        <f>J49</f>
        <v>0</v>
      </c>
      <c r="L49" s="694"/>
      <c r="M49" s="1421"/>
    </row>
    <row r="50" spans="1:13">
      <c r="A50" s="660">
        <f t="shared" si="0"/>
        <v>31</v>
      </c>
      <c r="B50" s="679" t="s">
        <v>424</v>
      </c>
      <c r="C50" s="691">
        <f>+C48+1</f>
        <v>2019</v>
      </c>
      <c r="D50" s="692">
        <v>0</v>
      </c>
      <c r="E50" s="692">
        <v>0</v>
      </c>
      <c r="F50" s="683">
        <f>+D50*D$26+E50</f>
        <v>0</v>
      </c>
      <c r="G50" s="692">
        <v>0</v>
      </c>
      <c r="H50" s="692">
        <v>0</v>
      </c>
      <c r="I50" s="683">
        <f>+G50*G$26+H50</f>
        <v>0</v>
      </c>
      <c r="J50" s="1333">
        <f t="shared" si="1"/>
        <v>0</v>
      </c>
      <c r="K50" s="679"/>
      <c r="L50" s="1334">
        <f>J50</f>
        <v>0</v>
      </c>
      <c r="M50" s="1421">
        <f>+K51-L50</f>
        <v>0</v>
      </c>
    </row>
    <row r="51" spans="1:13">
      <c r="A51" s="660">
        <f t="shared" si="0"/>
        <v>32</v>
      </c>
      <c r="B51" s="679" t="s">
        <v>566</v>
      </c>
      <c r="C51" s="691">
        <f>+C50</f>
        <v>2019</v>
      </c>
      <c r="D51" s="692">
        <v>0</v>
      </c>
      <c r="E51" s="692">
        <v>0</v>
      </c>
      <c r="F51" s="683">
        <f>+D51*D$27+E51</f>
        <v>0</v>
      </c>
      <c r="G51" s="692">
        <v>0</v>
      </c>
      <c r="H51" s="692">
        <v>0</v>
      </c>
      <c r="I51" s="683">
        <f>+G51*G$27+H51</f>
        <v>0</v>
      </c>
      <c r="J51" s="1333">
        <f t="shared" si="1"/>
        <v>0</v>
      </c>
      <c r="K51" s="1420">
        <f>J51</f>
        <v>0</v>
      </c>
      <c r="L51" s="694"/>
      <c r="M51" s="1421"/>
    </row>
    <row r="52" spans="1:13">
      <c r="A52" s="660">
        <f t="shared" si="0"/>
        <v>33</v>
      </c>
      <c r="B52" s="679" t="s">
        <v>424</v>
      </c>
      <c r="C52" s="691">
        <f>+C50+1</f>
        <v>2020</v>
      </c>
      <c r="D52" s="692">
        <v>0</v>
      </c>
      <c r="E52" s="692">
        <v>0</v>
      </c>
      <c r="F52" s="683">
        <f>+D52*D$26+E52</f>
        <v>0</v>
      </c>
      <c r="G52" s="692">
        <v>0</v>
      </c>
      <c r="H52" s="692">
        <v>0</v>
      </c>
      <c r="I52" s="683">
        <f>+G52*G$26+H52</f>
        <v>0</v>
      </c>
      <c r="J52" s="1333">
        <f t="shared" si="1"/>
        <v>0</v>
      </c>
      <c r="K52" s="679"/>
      <c r="L52" s="1334">
        <f>J52</f>
        <v>0</v>
      </c>
      <c r="M52" s="1421">
        <f>+K53-L52</f>
        <v>0</v>
      </c>
    </row>
    <row r="53" spans="1:13">
      <c r="A53" s="660">
        <f t="shared" si="0"/>
        <v>34</v>
      </c>
      <c r="B53" s="679" t="s">
        <v>566</v>
      </c>
      <c r="C53" s="691">
        <f>+C52</f>
        <v>2020</v>
      </c>
      <c r="D53" s="692">
        <v>0</v>
      </c>
      <c r="E53" s="692">
        <v>0</v>
      </c>
      <c r="F53" s="683">
        <f>+D53*D$27+E53</f>
        <v>0</v>
      </c>
      <c r="G53" s="692">
        <v>0</v>
      </c>
      <c r="H53" s="692">
        <v>0</v>
      </c>
      <c r="I53" s="683">
        <f>+G53*G$27+H53</f>
        <v>0</v>
      </c>
      <c r="J53" s="1333">
        <f t="shared" si="1"/>
        <v>0</v>
      </c>
      <c r="K53" s="1420">
        <f>J53</f>
        <v>0</v>
      </c>
      <c r="L53" s="694"/>
      <c r="M53" s="1421"/>
    </row>
    <row r="54" spans="1:13">
      <c r="A54" s="660">
        <f t="shared" si="0"/>
        <v>35</v>
      </c>
      <c r="B54" s="679" t="s">
        <v>424</v>
      </c>
      <c r="C54" s="691">
        <f>+C52+1</f>
        <v>2021</v>
      </c>
      <c r="D54" s="692">
        <v>0</v>
      </c>
      <c r="E54" s="692">
        <v>0</v>
      </c>
      <c r="F54" s="683">
        <f>+D54*D$26+E54</f>
        <v>0</v>
      </c>
      <c r="G54" s="692">
        <v>0</v>
      </c>
      <c r="H54" s="692">
        <v>0</v>
      </c>
      <c r="I54" s="683">
        <f>+G54*G$26+H54</f>
        <v>0</v>
      </c>
      <c r="J54" s="1333">
        <f t="shared" si="1"/>
        <v>0</v>
      </c>
      <c r="K54" s="679"/>
      <c r="L54" s="1334">
        <f>J54</f>
        <v>0</v>
      </c>
      <c r="M54" s="1421">
        <f>+K55-L54</f>
        <v>0</v>
      </c>
    </row>
    <row r="55" spans="1:13">
      <c r="A55" s="660">
        <f t="shared" si="0"/>
        <v>36</v>
      </c>
      <c r="B55" s="679" t="s">
        <v>566</v>
      </c>
      <c r="C55" s="691">
        <f>+C54</f>
        <v>2021</v>
      </c>
      <c r="D55" s="692">
        <v>0</v>
      </c>
      <c r="E55" s="692">
        <v>0</v>
      </c>
      <c r="F55" s="683">
        <f>+D55*D$27+E55</f>
        <v>0</v>
      </c>
      <c r="G55" s="692">
        <v>0</v>
      </c>
      <c r="H55" s="692">
        <v>0</v>
      </c>
      <c r="I55" s="683">
        <f>+G55*G$27+H55</f>
        <v>0</v>
      </c>
      <c r="J55" s="1333">
        <f t="shared" si="1"/>
        <v>0</v>
      </c>
      <c r="K55" s="1420">
        <f>J55</f>
        <v>0</v>
      </c>
      <c r="L55" s="694"/>
      <c r="M55" s="1421"/>
    </row>
    <row r="56" spans="1:13">
      <c r="A56" s="660">
        <f t="shared" si="0"/>
        <v>37</v>
      </c>
      <c r="B56" s="679" t="s">
        <v>424</v>
      </c>
      <c r="C56" s="691">
        <f>+C54+1</f>
        <v>2022</v>
      </c>
      <c r="D56" s="692">
        <v>0</v>
      </c>
      <c r="E56" s="692">
        <v>0</v>
      </c>
      <c r="F56" s="683">
        <f>+D56*D$26+E56</f>
        <v>0</v>
      </c>
      <c r="G56" s="692">
        <v>0</v>
      </c>
      <c r="H56" s="692">
        <v>0</v>
      </c>
      <c r="I56" s="683">
        <f>+G56*G$26+H56</f>
        <v>0</v>
      </c>
      <c r="J56" s="1333">
        <f t="shared" si="1"/>
        <v>0</v>
      </c>
      <c r="K56" s="679"/>
      <c r="L56" s="1334">
        <f>J56</f>
        <v>0</v>
      </c>
      <c r="M56" s="1421">
        <f>+K57-L56</f>
        <v>0</v>
      </c>
    </row>
    <row r="57" spans="1:13">
      <c r="A57" s="660">
        <f t="shared" si="0"/>
        <v>38</v>
      </c>
      <c r="B57" s="679" t="s">
        <v>566</v>
      </c>
      <c r="C57" s="691">
        <f>+C56</f>
        <v>2022</v>
      </c>
      <c r="D57" s="692">
        <v>0</v>
      </c>
      <c r="E57" s="692">
        <v>0</v>
      </c>
      <c r="F57" s="683">
        <f>+D57*D$27+E57</f>
        <v>0</v>
      </c>
      <c r="G57" s="692">
        <v>0</v>
      </c>
      <c r="H57" s="692">
        <v>0</v>
      </c>
      <c r="I57" s="683">
        <f>+G57*G$27+H57</f>
        <v>0</v>
      </c>
      <c r="J57" s="1333">
        <f t="shared" si="1"/>
        <v>0</v>
      </c>
      <c r="K57" s="1420">
        <f>J57</f>
        <v>0</v>
      </c>
      <c r="L57" s="694"/>
      <c r="M57" s="1421"/>
    </row>
    <row r="58" spans="1:13">
      <c r="A58" s="660">
        <f t="shared" si="0"/>
        <v>39</v>
      </c>
      <c r="B58" s="679" t="s">
        <v>424</v>
      </c>
      <c r="C58" s="691">
        <f>+C56+1</f>
        <v>2023</v>
      </c>
      <c r="D58" s="692">
        <v>0</v>
      </c>
      <c r="E58" s="692">
        <v>0</v>
      </c>
      <c r="F58" s="683">
        <f>+D58*D$26+E58</f>
        <v>0</v>
      </c>
      <c r="G58" s="692">
        <v>0</v>
      </c>
      <c r="H58" s="692">
        <v>0</v>
      </c>
      <c r="I58" s="683">
        <f>+G58*G$26+H58</f>
        <v>0</v>
      </c>
      <c r="J58" s="1333">
        <f t="shared" si="1"/>
        <v>0</v>
      </c>
      <c r="K58" s="679"/>
      <c r="L58" s="1334">
        <f>J58</f>
        <v>0</v>
      </c>
      <c r="M58" s="1421">
        <f>+K59-L58</f>
        <v>0</v>
      </c>
    </row>
    <row r="59" spans="1:13">
      <c r="A59" s="660">
        <f t="shared" si="0"/>
        <v>40</v>
      </c>
      <c r="B59" s="679" t="s">
        <v>566</v>
      </c>
      <c r="C59" s="691">
        <f>+C58</f>
        <v>2023</v>
      </c>
      <c r="D59" s="692">
        <v>0</v>
      </c>
      <c r="E59" s="692">
        <v>0</v>
      </c>
      <c r="F59" s="683">
        <f>+D59*D$27+E59</f>
        <v>0</v>
      </c>
      <c r="G59" s="692">
        <v>0</v>
      </c>
      <c r="H59" s="692">
        <v>0</v>
      </c>
      <c r="I59" s="683">
        <f>+G59*G$27+H59</f>
        <v>0</v>
      </c>
      <c r="J59" s="1333">
        <f t="shared" si="1"/>
        <v>0</v>
      </c>
      <c r="K59" s="1420">
        <f>J59</f>
        <v>0</v>
      </c>
      <c r="L59" s="694"/>
      <c r="M59" s="1421"/>
    </row>
    <row r="60" spans="1:13">
      <c r="A60" s="660">
        <f t="shared" si="0"/>
        <v>41</v>
      </c>
      <c r="B60" s="679" t="s">
        <v>424</v>
      </c>
      <c r="C60" s="691">
        <f>+C58+1</f>
        <v>2024</v>
      </c>
      <c r="D60" s="692">
        <v>0</v>
      </c>
      <c r="E60" s="692">
        <v>0</v>
      </c>
      <c r="F60" s="683">
        <f>+D60*D$26+E60</f>
        <v>0</v>
      </c>
      <c r="G60" s="692">
        <v>0</v>
      </c>
      <c r="H60" s="692">
        <v>0</v>
      </c>
      <c r="I60" s="683">
        <f>+G60*G$26+H60</f>
        <v>0</v>
      </c>
      <c r="J60" s="1333">
        <f t="shared" si="1"/>
        <v>0</v>
      </c>
      <c r="K60" s="679"/>
      <c r="L60" s="1334">
        <f>J60</f>
        <v>0</v>
      </c>
      <c r="M60" s="1421">
        <f>+K61-L60</f>
        <v>0</v>
      </c>
    </row>
    <row r="61" spans="1:13">
      <c r="A61" s="660">
        <f t="shared" si="0"/>
        <v>42</v>
      </c>
      <c r="B61" s="679" t="s">
        <v>566</v>
      </c>
      <c r="C61" s="691">
        <f>+C60</f>
        <v>2024</v>
      </c>
      <c r="D61" s="692">
        <v>0</v>
      </c>
      <c r="E61" s="692">
        <v>0</v>
      </c>
      <c r="F61" s="683">
        <f>+D61*D$27+E61</f>
        <v>0</v>
      </c>
      <c r="G61" s="692">
        <v>0</v>
      </c>
      <c r="H61" s="692">
        <v>0</v>
      </c>
      <c r="I61" s="683">
        <f>+G61*G$27+H61</f>
        <v>0</v>
      </c>
      <c r="J61" s="1333">
        <f t="shared" si="1"/>
        <v>0</v>
      </c>
      <c r="K61" s="1420">
        <f>J61</f>
        <v>0</v>
      </c>
      <c r="L61" s="694"/>
      <c r="M61" s="1421"/>
    </row>
    <row r="62" spans="1:13">
      <c r="A62" s="660">
        <f t="shared" si="0"/>
        <v>43</v>
      </c>
      <c r="B62" s="679" t="s">
        <v>424</v>
      </c>
      <c r="C62" s="691">
        <f>+C60+1</f>
        <v>2025</v>
      </c>
      <c r="D62" s="692">
        <v>0</v>
      </c>
      <c r="E62" s="692">
        <v>0</v>
      </c>
      <c r="F62" s="683">
        <f>+D62*D$26+E62</f>
        <v>0</v>
      </c>
      <c r="G62" s="692">
        <v>0</v>
      </c>
      <c r="H62" s="692">
        <v>0</v>
      </c>
      <c r="I62" s="683">
        <f>+G62*G$26+H62</f>
        <v>0</v>
      </c>
      <c r="J62" s="1333">
        <f t="shared" si="1"/>
        <v>0</v>
      </c>
      <c r="K62" s="679"/>
      <c r="L62" s="1334">
        <f>J62</f>
        <v>0</v>
      </c>
      <c r="M62" s="1421">
        <f>+K63-L62</f>
        <v>0</v>
      </c>
    </row>
    <row r="63" spans="1:13">
      <c r="A63" s="660">
        <f t="shared" si="0"/>
        <v>44</v>
      </c>
      <c r="B63" s="679" t="s">
        <v>566</v>
      </c>
      <c r="C63" s="691">
        <f>+C62</f>
        <v>2025</v>
      </c>
      <c r="D63" s="692">
        <v>0</v>
      </c>
      <c r="E63" s="692">
        <v>0</v>
      </c>
      <c r="F63" s="683">
        <f>+D63*D$27+E63</f>
        <v>0</v>
      </c>
      <c r="G63" s="692">
        <v>0</v>
      </c>
      <c r="H63" s="692">
        <v>0</v>
      </c>
      <c r="I63" s="683">
        <f>+G63*G$27+H63</f>
        <v>0</v>
      </c>
      <c r="J63" s="1333">
        <f t="shared" si="1"/>
        <v>0</v>
      </c>
      <c r="K63" s="1420">
        <f>J63</f>
        <v>0</v>
      </c>
      <c r="L63" s="694"/>
      <c r="M63" s="1421"/>
    </row>
    <row r="64" spans="1:13">
      <c r="A64" s="660">
        <f t="shared" si="0"/>
        <v>45</v>
      </c>
      <c r="B64" s="679" t="s">
        <v>424</v>
      </c>
      <c r="C64" s="691">
        <f>+C62+1</f>
        <v>2026</v>
      </c>
      <c r="D64" s="692">
        <v>0</v>
      </c>
      <c r="E64" s="692">
        <v>0</v>
      </c>
      <c r="F64" s="683">
        <f>+D64*D$26+E64</f>
        <v>0</v>
      </c>
      <c r="G64" s="692">
        <v>0</v>
      </c>
      <c r="H64" s="692">
        <v>0</v>
      </c>
      <c r="I64" s="683">
        <f>+G64*G$26+H64</f>
        <v>0</v>
      </c>
      <c r="J64" s="1333">
        <f t="shared" si="1"/>
        <v>0</v>
      </c>
      <c r="K64" s="679"/>
      <c r="L64" s="1334">
        <f>J64</f>
        <v>0</v>
      </c>
      <c r="M64" s="1421">
        <f>+K65-L64</f>
        <v>0</v>
      </c>
    </row>
    <row r="65" spans="1:13">
      <c r="A65" s="660">
        <f t="shared" si="0"/>
        <v>46</v>
      </c>
      <c r="B65" s="679" t="s">
        <v>566</v>
      </c>
      <c r="C65" s="691">
        <f>+C64</f>
        <v>2026</v>
      </c>
      <c r="D65" s="692">
        <v>0</v>
      </c>
      <c r="E65" s="692">
        <v>0</v>
      </c>
      <c r="F65" s="683">
        <f>+D65*D$27+E65</f>
        <v>0</v>
      </c>
      <c r="G65" s="692">
        <v>0</v>
      </c>
      <c r="H65" s="692">
        <v>0</v>
      </c>
      <c r="I65" s="683">
        <f>+G65*G$27+H65</f>
        <v>0</v>
      </c>
      <c r="J65" s="1333">
        <f t="shared" si="1"/>
        <v>0</v>
      </c>
      <c r="K65" s="1420">
        <f>J65</f>
        <v>0</v>
      </c>
      <c r="L65" s="694"/>
      <c r="M65" s="1421"/>
    </row>
    <row r="66" spans="1:13">
      <c r="A66" s="660">
        <f t="shared" si="0"/>
        <v>47</v>
      </c>
      <c r="B66" s="679" t="s">
        <v>424</v>
      </c>
      <c r="C66" s="691">
        <f>+C64+1</f>
        <v>2027</v>
      </c>
      <c r="D66" s="692">
        <v>0</v>
      </c>
      <c r="E66" s="692">
        <v>0</v>
      </c>
      <c r="F66" s="683">
        <f>+D66*D$26+E66</f>
        <v>0</v>
      </c>
      <c r="G66" s="692">
        <v>0</v>
      </c>
      <c r="H66" s="692">
        <v>0</v>
      </c>
      <c r="I66" s="683">
        <f>+G66*G$26+H66</f>
        <v>0</v>
      </c>
      <c r="J66" s="1333">
        <f t="shared" si="1"/>
        <v>0</v>
      </c>
      <c r="K66" s="679"/>
      <c r="L66" s="1334">
        <f>J66</f>
        <v>0</v>
      </c>
      <c r="M66" s="1421">
        <f>+K67-L66</f>
        <v>0</v>
      </c>
    </row>
    <row r="67" spans="1:13">
      <c r="A67" s="660">
        <f t="shared" si="0"/>
        <v>48</v>
      </c>
      <c r="B67" s="679" t="s">
        <v>566</v>
      </c>
      <c r="C67" s="691">
        <f>+C66</f>
        <v>2027</v>
      </c>
      <c r="D67" s="692">
        <v>0</v>
      </c>
      <c r="E67" s="692">
        <v>0</v>
      </c>
      <c r="F67" s="683">
        <f>+D67*D$27+E67</f>
        <v>0</v>
      </c>
      <c r="G67" s="692">
        <v>0</v>
      </c>
      <c r="H67" s="692">
        <v>0</v>
      </c>
      <c r="I67" s="683">
        <f>+G67*G$27+H67</f>
        <v>0</v>
      </c>
      <c r="J67" s="1333">
        <f t="shared" si="1"/>
        <v>0</v>
      </c>
      <c r="K67" s="1420">
        <f>J67</f>
        <v>0</v>
      </c>
      <c r="L67" s="694"/>
      <c r="M67" s="1421"/>
    </row>
    <row r="68" spans="1:13">
      <c r="A68" s="660">
        <f t="shared" si="0"/>
        <v>49</v>
      </c>
      <c r="B68" s="679" t="s">
        <v>424</v>
      </c>
      <c r="C68" s="691">
        <f>+C66+1</f>
        <v>2028</v>
      </c>
      <c r="D68" s="692">
        <v>0</v>
      </c>
      <c r="E68" s="692">
        <v>0</v>
      </c>
      <c r="F68" s="683">
        <f>+D68*D$26+E68</f>
        <v>0</v>
      </c>
      <c r="G68" s="692">
        <v>0</v>
      </c>
      <c r="H68" s="692">
        <v>0</v>
      </c>
      <c r="I68" s="683">
        <f>+G68*G$26+H68</f>
        <v>0</v>
      </c>
      <c r="J68" s="1333">
        <f t="shared" si="1"/>
        <v>0</v>
      </c>
      <c r="K68" s="679"/>
      <c r="L68" s="1334">
        <f>J68</f>
        <v>0</v>
      </c>
      <c r="M68" s="1421">
        <f>+K69-L68</f>
        <v>0</v>
      </c>
    </row>
    <row r="69" spans="1:13">
      <c r="A69" s="660">
        <f t="shared" si="0"/>
        <v>50</v>
      </c>
      <c r="B69" s="679" t="s">
        <v>566</v>
      </c>
      <c r="C69" s="691">
        <f>+C68</f>
        <v>2028</v>
      </c>
      <c r="D69" s="692">
        <v>0</v>
      </c>
      <c r="E69" s="692">
        <v>0</v>
      </c>
      <c r="F69" s="683">
        <f>+D69*D$27+E69</f>
        <v>0</v>
      </c>
      <c r="G69" s="692">
        <v>0</v>
      </c>
      <c r="H69" s="692">
        <v>0</v>
      </c>
      <c r="I69" s="683">
        <f>+G69*G$27+H69</f>
        <v>0</v>
      </c>
      <c r="J69" s="1333">
        <f t="shared" si="1"/>
        <v>0</v>
      </c>
      <c r="K69" s="1420">
        <f>J69</f>
        <v>0</v>
      </c>
      <c r="L69" s="694"/>
      <c r="M69" s="1421"/>
    </row>
    <row r="70" spans="1:13">
      <c r="A70" s="660">
        <f t="shared" si="0"/>
        <v>51</v>
      </c>
      <c r="B70" s="679" t="s">
        <v>424</v>
      </c>
      <c r="C70" s="691">
        <f>+C68+1</f>
        <v>2029</v>
      </c>
      <c r="D70" s="692">
        <v>0</v>
      </c>
      <c r="E70" s="692">
        <v>0</v>
      </c>
      <c r="F70" s="683">
        <f>+D70*D$26+E70</f>
        <v>0</v>
      </c>
      <c r="G70" s="692">
        <v>0</v>
      </c>
      <c r="H70" s="692">
        <v>0</v>
      </c>
      <c r="I70" s="683">
        <f>+G70*G$26+H70</f>
        <v>0</v>
      </c>
      <c r="J70" s="1333">
        <f t="shared" si="1"/>
        <v>0</v>
      </c>
      <c r="K70" s="679"/>
      <c r="L70" s="1334">
        <f>J70</f>
        <v>0</v>
      </c>
      <c r="M70" s="1421">
        <f>+K71-L70</f>
        <v>0</v>
      </c>
    </row>
    <row r="71" spans="1:13">
      <c r="A71" s="660">
        <f t="shared" si="0"/>
        <v>52</v>
      </c>
      <c r="B71" s="679" t="s">
        <v>566</v>
      </c>
      <c r="C71" s="691">
        <f>+C70</f>
        <v>2029</v>
      </c>
      <c r="D71" s="692"/>
      <c r="E71" s="692">
        <v>0</v>
      </c>
      <c r="F71" s="683">
        <f>+D71*D$27+E71</f>
        <v>0</v>
      </c>
      <c r="G71" s="692"/>
      <c r="H71" s="692">
        <v>0</v>
      </c>
      <c r="I71" s="683">
        <f>+G71*G$27+H71</f>
        <v>0</v>
      </c>
      <c r="J71" s="1333">
        <f t="shared" si="1"/>
        <v>0</v>
      </c>
      <c r="K71" s="1420">
        <f>J71</f>
        <v>0</v>
      </c>
      <c r="L71" s="694"/>
      <c r="M71" s="1421"/>
    </row>
    <row r="72" spans="1:13">
      <c r="A72" s="660">
        <f t="shared" si="0"/>
        <v>53</v>
      </c>
      <c r="B72" s="695"/>
      <c r="C72" s="691">
        <f>+C70+1</f>
        <v>2030</v>
      </c>
      <c r="D72" s="696" t="s">
        <v>567</v>
      </c>
      <c r="E72" s="696" t="s">
        <v>567</v>
      </c>
      <c r="F72" s="683" t="s">
        <v>776</v>
      </c>
      <c r="G72" s="696"/>
      <c r="H72" s="696"/>
      <c r="I72" s="697"/>
      <c r="J72" s="693"/>
      <c r="K72" s="679"/>
      <c r="L72" s="1334"/>
      <c r="M72" s="1421"/>
    </row>
    <row r="73" spans="1:13" ht="13.5" thickBot="1">
      <c r="A73" s="660">
        <f t="shared" si="0"/>
        <v>54</v>
      </c>
      <c r="B73" s="698"/>
      <c r="C73" s="691">
        <f>+C72</f>
        <v>2030</v>
      </c>
      <c r="D73" s="699" t="s">
        <v>567</v>
      </c>
      <c r="E73" s="699" t="s">
        <v>568</v>
      </c>
      <c r="F73" s="700" t="s">
        <v>567</v>
      </c>
      <c r="G73" s="699"/>
      <c r="H73" s="699"/>
      <c r="I73" s="700"/>
      <c r="J73" s="701"/>
      <c r="K73" s="1422"/>
      <c r="L73" s="702"/>
      <c r="M73" s="1423"/>
    </row>
    <row r="74" spans="1:13">
      <c r="B74" s="703"/>
      <c r="C74" s="704"/>
      <c r="D74" s="703"/>
      <c r="E74" s="703"/>
      <c r="F74" s="705"/>
      <c r="G74" s="703"/>
      <c r="H74" s="703"/>
      <c r="I74" s="705"/>
      <c r="J74" s="703"/>
      <c r="K74" s="706"/>
      <c r="L74" s="706"/>
      <c r="M74"/>
    </row>
    <row r="75" spans="1:13" ht="42.75" customHeight="1">
      <c r="A75" s="1342" t="s">
        <v>419</v>
      </c>
      <c r="B75" s="2019" t="s">
        <v>24</v>
      </c>
      <c r="C75" s="2019"/>
      <c r="D75" s="2019"/>
      <c r="E75" s="2019"/>
      <c r="F75" s="2019"/>
      <c r="G75" s="2019"/>
      <c r="H75" s="2019"/>
      <c r="I75" s="2019"/>
      <c r="J75" s="2019"/>
      <c r="K75" s="2019"/>
      <c r="L75" s="2019"/>
      <c r="M75"/>
    </row>
    <row r="76" spans="1:13" ht="14.25">
      <c r="A76" s="660" t="s">
        <v>782</v>
      </c>
      <c r="B76" s="2018" t="s">
        <v>781</v>
      </c>
      <c r="C76" s="2018"/>
      <c r="D76" s="2018"/>
      <c r="E76" s="2018"/>
      <c r="F76" s="2018"/>
      <c r="G76" s="2018"/>
      <c r="H76" s="2018"/>
      <c r="I76" s="2018"/>
      <c r="J76" s="2018"/>
      <c r="K76" s="2018"/>
      <c r="L76" s="2018"/>
      <c r="M76"/>
    </row>
    <row r="77" spans="1:13">
      <c r="A77" t="s">
        <v>542</v>
      </c>
      <c r="B77" s="2016" t="s">
        <v>543</v>
      </c>
      <c r="C77" s="2016"/>
      <c r="D77" s="2016"/>
      <c r="E77" s="2016"/>
      <c r="F77" s="2016"/>
      <c r="G77" s="2016"/>
      <c r="H77" s="2016"/>
      <c r="I77" s="2016"/>
      <c r="J77" s="2016"/>
      <c r="K77" s="2016"/>
      <c r="L77" s="2016"/>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B306" s="670"/>
      <c r="C306" s="707"/>
      <c r="D306" s="670"/>
      <c r="E306" s="670"/>
      <c r="F306" s="708"/>
      <c r="G306"/>
      <c r="H306"/>
      <c r="I306"/>
      <c r="J306"/>
      <c r="K306"/>
      <c r="L306"/>
      <c r="M306"/>
    </row>
    <row r="307" spans="1:13">
      <c r="A307"/>
      <c r="B307" s="670"/>
      <c r="C307" s="707"/>
      <c r="D307" s="670"/>
      <c r="E307" s="670"/>
      <c r="F307" s="708"/>
      <c r="G307"/>
      <c r="H307"/>
      <c r="I307"/>
      <c r="J307"/>
      <c r="K307"/>
      <c r="L307"/>
      <c r="M307"/>
    </row>
    <row r="308" spans="1:13">
      <c r="A308"/>
      <c r="B308" s="670"/>
      <c r="C308" s="707"/>
      <c r="D308" s="670"/>
      <c r="E308" s="670"/>
      <c r="F308" s="708"/>
      <c r="G308"/>
      <c r="H308"/>
      <c r="I308"/>
      <c r="J308"/>
      <c r="K308"/>
      <c r="L308"/>
      <c r="M308"/>
    </row>
    <row r="309" spans="1:13">
      <c r="A309"/>
      <c r="B309" s="670"/>
      <c r="C309" s="707"/>
      <c r="D309" s="670"/>
      <c r="E309" s="670"/>
      <c r="F309" s="708"/>
      <c r="G309"/>
      <c r="H309"/>
      <c r="I309"/>
      <c r="J309"/>
      <c r="K309"/>
      <c r="L309"/>
      <c r="M309"/>
    </row>
    <row r="310" spans="1:13">
      <c r="A310"/>
      <c r="B310" s="670"/>
      <c r="C310" s="707"/>
      <c r="D310" s="670"/>
      <c r="E310" s="670"/>
      <c r="F310" s="708"/>
      <c r="G310"/>
      <c r="H310"/>
      <c r="I310"/>
      <c r="J310"/>
      <c r="K310"/>
      <c r="L310"/>
      <c r="M310"/>
    </row>
    <row r="311" spans="1:13">
      <c r="A311"/>
      <c r="B311" s="670"/>
      <c r="C311" s="707"/>
      <c r="D311" s="670"/>
      <c r="E311" s="670"/>
      <c r="F311" s="708"/>
      <c r="G311"/>
      <c r="H311"/>
      <c r="I311"/>
      <c r="J311"/>
      <c r="K311"/>
      <c r="L311"/>
      <c r="M311"/>
    </row>
    <row r="312" spans="1:13">
      <c r="A312"/>
      <c r="B312" s="670"/>
      <c r="C312" s="707"/>
      <c r="D312" s="670"/>
      <c r="E312" s="670"/>
      <c r="F312" s="708"/>
      <c r="G312"/>
      <c r="H312"/>
      <c r="I312"/>
      <c r="J312"/>
      <c r="K312"/>
      <c r="L312"/>
      <c r="M312"/>
    </row>
    <row r="313" spans="1:13">
      <c r="A313"/>
      <c r="B313" s="670"/>
      <c r="C313" s="707"/>
      <c r="D313" s="670"/>
      <c r="E313" s="670"/>
      <c r="F313" s="708"/>
      <c r="G313"/>
      <c r="H313"/>
      <c r="I313"/>
      <c r="J313"/>
      <c r="K313"/>
      <c r="L313"/>
      <c r="M313"/>
    </row>
    <row r="314" spans="1:13">
      <c r="A314"/>
      <c r="B314" s="670"/>
      <c r="C314" s="707"/>
      <c r="D314" s="670"/>
      <c r="E314" s="670"/>
      <c r="F314" s="708"/>
      <c r="G314"/>
      <c r="H314"/>
      <c r="I314"/>
      <c r="J314"/>
      <c r="K314"/>
      <c r="L314"/>
      <c r="M314"/>
    </row>
  </sheetData>
  <mergeCells count="7">
    <mergeCell ref="B77:L77"/>
    <mergeCell ref="A1:L1"/>
    <mergeCell ref="A3:L3"/>
    <mergeCell ref="B76:L76"/>
    <mergeCell ref="B75:L75"/>
    <mergeCell ref="D21:F21"/>
    <mergeCell ref="G21:I21"/>
  </mergeCells>
  <phoneticPr fontId="73" type="noConversion"/>
  <pageMargins left="0.75" right="0.75" top="0.83" bottom="1" header="0.5" footer="0.5"/>
  <pageSetup scale="47" fitToHeight="2" orientation="landscape" r:id="rId1"/>
  <headerFooter alignWithMargins="0"/>
  <rowBreaks count="4" manualBreakCount="4">
    <brk id="142" max="7" man="1"/>
    <brk id="162" max="16383" man="1"/>
    <brk id="208" max="7" man="1"/>
    <brk id="2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4"/>
  <sheetViews>
    <sheetView view="pageBreakPreview" zoomScaleNormal="100" workbookViewId="0">
      <selection activeCell="B36" sqref="B36"/>
    </sheetView>
  </sheetViews>
  <sheetFormatPr defaultColWidth="9.140625" defaultRowHeight="12.75"/>
  <cols>
    <col min="1" max="1" width="14.7109375" style="418" customWidth="1"/>
    <col min="2" max="2" width="38.7109375" style="418" customWidth="1"/>
    <col min="3" max="3" width="13.42578125" style="418" customWidth="1"/>
    <col min="4" max="16384" width="9.140625" style="418"/>
  </cols>
  <sheetData>
    <row r="2" spans="1:5" ht="18">
      <c r="A2" s="2015" t="str">
        <f>+'7 - Cap Add WS'!A1:L1</f>
        <v xml:space="preserve">Puget Sound Energy </v>
      </c>
      <c r="B2" s="2015"/>
      <c r="C2" s="2015"/>
      <c r="D2" s="2015"/>
      <c r="E2" s="2015"/>
    </row>
    <row r="3" spans="1:5" ht="18">
      <c r="A3" s="2015" t="s">
        <v>448</v>
      </c>
      <c r="B3" s="2015"/>
      <c r="C3" s="2015"/>
      <c r="D3" s="2015"/>
      <c r="E3" s="2015"/>
    </row>
    <row r="7" spans="1:5">
      <c r="C7" s="660"/>
    </row>
    <row r="8" spans="1:5">
      <c r="A8" s="764" t="s">
        <v>449</v>
      </c>
      <c r="B8" s="765"/>
      <c r="C8" s="764" t="s">
        <v>458</v>
      </c>
    </row>
    <row r="10" spans="1:5">
      <c r="A10" s="765" t="s">
        <v>944</v>
      </c>
      <c r="C10" s="827"/>
      <c r="D10" s="766"/>
    </row>
    <row r="11" spans="1:5">
      <c r="A11" s="418" t="s">
        <v>193</v>
      </c>
      <c r="C11" s="827">
        <v>1.1000000000000001</v>
      </c>
      <c r="D11" s="766"/>
    </row>
    <row r="12" spans="1:5">
      <c r="A12" s="418" t="s">
        <v>194</v>
      </c>
      <c r="C12" s="827">
        <v>1.49</v>
      </c>
      <c r="D12" s="766"/>
    </row>
    <row r="13" spans="1:5">
      <c r="A13" s="418" t="s">
        <v>195</v>
      </c>
      <c r="C13" s="827">
        <v>2.35</v>
      </c>
      <c r="D13" s="766"/>
    </row>
    <row r="14" spans="1:5">
      <c r="A14" s="418" t="s">
        <v>196</v>
      </c>
      <c r="C14" s="827">
        <v>1.25</v>
      </c>
      <c r="D14" s="766"/>
    </row>
    <row r="15" spans="1:5">
      <c r="A15" s="418" t="s">
        <v>207</v>
      </c>
      <c r="C15" s="827">
        <v>3.27</v>
      </c>
      <c r="D15" s="766"/>
    </row>
    <row r="16" spans="1:5">
      <c r="A16" s="418" t="s">
        <v>197</v>
      </c>
      <c r="C16" s="827">
        <v>1.35</v>
      </c>
      <c r="D16" s="766"/>
    </row>
    <row r="17" spans="1:4">
      <c r="A17" s="418" t="s">
        <v>198</v>
      </c>
      <c r="C17" s="827">
        <v>1.51</v>
      </c>
      <c r="D17" s="766"/>
    </row>
    <row r="18" spans="1:4">
      <c r="A18" s="418" t="s">
        <v>199</v>
      </c>
      <c r="C18" s="827">
        <v>1.48</v>
      </c>
      <c r="D18" s="766"/>
    </row>
    <row r="19" spans="1:4">
      <c r="C19" s="666"/>
    </row>
    <row r="20" spans="1:4">
      <c r="C20" s="826"/>
    </row>
    <row r="21" spans="1:4">
      <c r="A21" s="765" t="s">
        <v>450</v>
      </c>
      <c r="C21" s="666"/>
    </row>
    <row r="22" spans="1:4">
      <c r="A22" s="767" t="s">
        <v>451</v>
      </c>
      <c r="C22" s="826">
        <v>1.43</v>
      </c>
    </row>
    <row r="23" spans="1:4">
      <c r="A23" s="767" t="s">
        <v>452</v>
      </c>
      <c r="C23" s="826">
        <v>5</v>
      </c>
    </row>
    <row r="24" spans="1:4">
      <c r="A24" s="767" t="s">
        <v>453</v>
      </c>
      <c r="C24" s="826">
        <v>20</v>
      </c>
    </row>
    <row r="25" spans="1:4">
      <c r="A25" s="767" t="s">
        <v>200</v>
      </c>
      <c r="C25" s="826">
        <v>5.25</v>
      </c>
    </row>
    <row r="26" spans="1:4">
      <c r="A26" s="767" t="s">
        <v>201</v>
      </c>
      <c r="C26" s="826">
        <v>5</v>
      </c>
    </row>
    <row r="27" spans="1:4">
      <c r="A27" s="767" t="s">
        <v>454</v>
      </c>
      <c r="C27" s="826">
        <v>5</v>
      </c>
    </row>
    <row r="28" spans="1:4">
      <c r="A28" s="767" t="s">
        <v>202</v>
      </c>
      <c r="C28" s="826">
        <v>6.58</v>
      </c>
    </row>
    <row r="29" spans="1:4">
      <c r="A29" s="767" t="s">
        <v>455</v>
      </c>
      <c r="C29" s="826">
        <v>5</v>
      </c>
    </row>
    <row r="30" spans="1:4">
      <c r="A30" s="767" t="s">
        <v>456</v>
      </c>
      <c r="C30" s="826">
        <v>6.67</v>
      </c>
    </row>
    <row r="31" spans="1:4">
      <c r="A31" s="767" t="s">
        <v>457</v>
      </c>
      <c r="C31" s="826">
        <v>6.67</v>
      </c>
    </row>
    <row r="34" spans="8:8">
      <c r="H34" s="768"/>
    </row>
  </sheetData>
  <mergeCells count="2">
    <mergeCell ref="A2:E2"/>
    <mergeCell ref="A3:E3"/>
  </mergeCells>
  <phoneticPr fontId="73" type="noConversion"/>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241"/>
  <sheetViews>
    <sheetView zoomScale="85" zoomScaleNormal="85" zoomScaleSheetLayoutView="75" workbookViewId="0">
      <selection activeCell="A12" sqref="A12"/>
    </sheetView>
  </sheetViews>
  <sheetFormatPr defaultColWidth="9.140625" defaultRowHeight="11.25"/>
  <cols>
    <col min="1" max="1" width="44.140625" style="446" customWidth="1"/>
    <col min="2" max="2" width="12" style="446" customWidth="1"/>
    <col min="3" max="3" width="12.85546875" style="446" bestFit="1" customWidth="1"/>
    <col min="4" max="4" width="12.140625" style="446" bestFit="1" customWidth="1"/>
    <col min="5" max="5" width="12" style="446" customWidth="1"/>
    <col min="6" max="6" width="12.5703125" style="446" customWidth="1"/>
    <col min="7" max="7" width="12.140625" style="446" customWidth="1"/>
    <col min="8" max="8" width="12.42578125" style="446" customWidth="1"/>
    <col min="9" max="9" width="13.7109375" style="446" bestFit="1" customWidth="1"/>
    <col min="10" max="10" width="11.140625" style="446" customWidth="1"/>
    <col min="11" max="11" width="14.140625" style="446" customWidth="1"/>
    <col min="12" max="12" width="11.5703125" style="446" customWidth="1"/>
    <col min="13" max="13" width="19.7109375" style="446" customWidth="1"/>
    <col min="14" max="16384" width="9.140625" style="446"/>
  </cols>
  <sheetData>
    <row r="1" spans="1:13" ht="16.5" thickBot="1">
      <c r="A1" s="76" t="s">
        <v>545</v>
      </c>
    </row>
    <row r="2" spans="1:13">
      <c r="B2" s="1519"/>
      <c r="C2" s="461"/>
      <c r="D2" s="1115" t="s">
        <v>976</v>
      </c>
      <c r="E2" s="1109" t="s">
        <v>437</v>
      </c>
      <c r="F2" s="1115" t="s">
        <v>438</v>
      </c>
    </row>
    <row r="3" spans="1:13">
      <c r="C3" s="534" t="s">
        <v>994</v>
      </c>
      <c r="D3" s="1111">
        <f>'ATT H-1 '!J26</f>
        <v>0.17688058103606302</v>
      </c>
      <c r="E3" s="1108">
        <f>'ATT H-1 '!K26</f>
        <v>3.9632912016556547E-3</v>
      </c>
      <c r="F3" s="1111">
        <f>'ATT H-1 '!L26</f>
        <v>7.4173598988516469E-3</v>
      </c>
    </row>
    <row r="4" spans="1:13" ht="12" thickBot="1">
      <c r="A4" s="446" t="s">
        <v>660</v>
      </c>
      <c r="C4" s="1110" t="s">
        <v>426</v>
      </c>
      <c r="D4" s="1657">
        <f>'ATT H-1 '!J13</f>
        <v>0.14184700966165151</v>
      </c>
      <c r="E4" s="1658">
        <f>'ATT H-1 '!K13</f>
        <v>0</v>
      </c>
      <c r="F4" s="1657">
        <f>'ATT H-1 '!L13</f>
        <v>0</v>
      </c>
    </row>
    <row r="5" spans="1:13" ht="12" thickBot="1">
      <c r="A5" s="461" t="s">
        <v>845</v>
      </c>
      <c r="B5" s="463" t="s">
        <v>136</v>
      </c>
      <c r="D5" s="1112"/>
      <c r="F5" s="1112"/>
      <c r="H5" s="461" t="s">
        <v>464</v>
      </c>
      <c r="I5" s="462"/>
      <c r="J5" s="462"/>
      <c r="K5" s="462"/>
      <c r="L5" s="463"/>
    </row>
    <row r="6" spans="1:13" ht="12" thickBot="1">
      <c r="A6" s="1659" t="s">
        <v>292</v>
      </c>
      <c r="B6" s="1660">
        <v>7234632.75</v>
      </c>
      <c r="C6" s="1661"/>
      <c r="D6" s="1113">
        <f>B6*L10</f>
        <v>3697918.170598797</v>
      </c>
      <c r="E6" s="1662">
        <v>0</v>
      </c>
      <c r="F6" s="1663">
        <v>0</v>
      </c>
      <c r="H6" s="336"/>
      <c r="I6" s="415"/>
      <c r="J6" s="415"/>
      <c r="K6" s="415" t="s">
        <v>410</v>
      </c>
      <c r="L6" s="338"/>
    </row>
    <row r="7" spans="1:13" ht="12" thickBot="1">
      <c r="A7" s="336" t="s">
        <v>293</v>
      </c>
      <c r="B7" s="535">
        <v>4010673</v>
      </c>
      <c r="D7" s="1114"/>
      <c r="E7" s="1519"/>
      <c r="F7" s="1114"/>
      <c r="H7" s="1116" t="s">
        <v>474</v>
      </c>
      <c r="I7" s="415"/>
      <c r="J7" s="415"/>
      <c r="K7" s="415"/>
      <c r="L7" s="338"/>
    </row>
    <row r="8" spans="1:13" ht="12" thickBot="1">
      <c r="A8" s="1659" t="s">
        <v>590</v>
      </c>
      <c r="B8" s="1660">
        <v>272348.63</v>
      </c>
      <c r="C8" s="1661"/>
      <c r="D8" s="1664">
        <f>$B$8*D3</f>
        <v>48173.183918775743</v>
      </c>
      <c r="E8" s="1665">
        <f>$B$8*E3</f>
        <v>1079.3969290619714</v>
      </c>
      <c r="F8" s="1664">
        <f>$B$8*F3</f>
        <v>2020.1078066691846</v>
      </c>
      <c r="H8" s="336" t="s">
        <v>797</v>
      </c>
      <c r="I8" s="415"/>
      <c r="J8" s="415"/>
      <c r="K8" s="464">
        <v>92279886</v>
      </c>
      <c r="L8" s="465"/>
    </row>
    <row r="9" spans="1:13" ht="12" thickBot="1">
      <c r="A9" s="1659" t="s">
        <v>591</v>
      </c>
      <c r="B9" s="1660">
        <v>7557314.6399999997</v>
      </c>
      <c r="C9" s="1661"/>
      <c r="D9" s="1664">
        <f>$B$9*D3</f>
        <v>1336742.2045955453</v>
      </c>
      <c r="E9" s="1665">
        <f>$B$9*E3</f>
        <v>29951.838620855469</v>
      </c>
      <c r="F9" s="1664">
        <f>$B$9*F3</f>
        <v>56055.322553740465</v>
      </c>
      <c r="H9" s="534" t="s">
        <v>1342</v>
      </c>
      <c r="I9" s="415"/>
      <c r="J9" s="415"/>
      <c r="K9" s="464">
        <v>440701872</v>
      </c>
      <c r="L9" s="465"/>
      <c r="M9" s="1519" t="s">
        <v>1148</v>
      </c>
    </row>
    <row r="10" spans="1:13">
      <c r="A10" s="336" t="s">
        <v>592</v>
      </c>
      <c r="B10" s="535">
        <v>311768.81</v>
      </c>
      <c r="D10" s="1112"/>
      <c r="F10" s="1112"/>
      <c r="H10" s="336"/>
      <c r="I10" s="415"/>
      <c r="J10" s="415"/>
      <c r="K10" s="466">
        <f>SUM(K8:K9)</f>
        <v>532981758</v>
      </c>
      <c r="L10" s="473">
        <f>K10/K15</f>
        <v>0.51114110396257462</v>
      </c>
    </row>
    <row r="11" spans="1:13">
      <c r="A11" s="534"/>
      <c r="B11" s="535"/>
      <c r="D11" s="1902"/>
      <c r="E11" s="415"/>
      <c r="F11" s="415"/>
      <c r="H11" s="336"/>
      <c r="I11" s="415"/>
      <c r="J11" s="415"/>
      <c r="K11" s="415"/>
      <c r="L11" s="338"/>
    </row>
    <row r="12" spans="1:13">
      <c r="A12" s="534"/>
      <c r="B12" s="535"/>
      <c r="D12" s="1902"/>
      <c r="E12" s="415"/>
      <c r="F12" s="415"/>
      <c r="H12" s="1116" t="s">
        <v>977</v>
      </c>
      <c r="I12" s="415"/>
      <c r="J12" s="415"/>
      <c r="K12" s="464"/>
      <c r="L12" s="338"/>
    </row>
    <row r="13" spans="1:13">
      <c r="A13" s="336"/>
      <c r="B13" s="1837"/>
      <c r="D13" s="1902"/>
      <c r="E13" s="415"/>
      <c r="F13" s="415"/>
      <c r="H13" s="336" t="s">
        <v>798</v>
      </c>
      <c r="I13" s="415"/>
      <c r="J13" s="415"/>
      <c r="K13" s="464">
        <v>509747449</v>
      </c>
      <c r="L13" s="473">
        <f>K13/K15</f>
        <v>0.48885889603742538</v>
      </c>
    </row>
    <row r="14" spans="1:13">
      <c r="A14" s="336" t="s">
        <v>851</v>
      </c>
      <c r="B14" s="539">
        <f>SUM(B6:B13)</f>
        <v>19386737.829999998</v>
      </c>
      <c r="C14" s="475"/>
      <c r="D14" s="1903"/>
      <c r="E14" s="1903"/>
      <c r="F14" s="415"/>
      <c r="H14" s="336"/>
      <c r="I14" s="415"/>
      <c r="J14" s="415"/>
      <c r="K14" s="415"/>
      <c r="L14" s="338"/>
    </row>
    <row r="15" spans="1:13">
      <c r="A15" s="336" t="s">
        <v>157</v>
      </c>
      <c r="B15" s="535">
        <v>19386738</v>
      </c>
      <c r="D15" s="1902"/>
      <c r="E15" s="415"/>
      <c r="F15" s="415"/>
      <c r="H15" s="469" t="s">
        <v>94</v>
      </c>
      <c r="I15" s="470"/>
      <c r="J15" s="470"/>
      <c r="K15" s="471">
        <f>+K10+K13</f>
        <v>1042729207</v>
      </c>
      <c r="L15" s="472">
        <f>+K15/K15</f>
        <v>1</v>
      </c>
    </row>
    <row r="16" spans="1:13" ht="12" thickBot="1">
      <c r="A16" s="476" t="s">
        <v>294</v>
      </c>
      <c r="B16" s="540">
        <f>B14-B15</f>
        <v>-0.17000000178813934</v>
      </c>
      <c r="D16" s="415"/>
      <c r="E16" s="415"/>
      <c r="F16" s="415"/>
      <c r="H16" s="467"/>
      <c r="I16" s="451"/>
      <c r="J16" s="451"/>
      <c r="K16" s="451"/>
      <c r="L16" s="468"/>
    </row>
    <row r="17" spans="1:17">
      <c r="B17" s="1666"/>
      <c r="D17" s="415"/>
      <c r="E17" s="415"/>
      <c r="F17" s="415"/>
      <c r="H17" s="469" t="s">
        <v>95</v>
      </c>
      <c r="I17" s="470"/>
      <c r="J17" s="470"/>
      <c r="K17" s="471">
        <f>+K10</f>
        <v>532981758</v>
      </c>
      <c r="L17" s="474">
        <f>+K17/K15</f>
        <v>0.51114110396257462</v>
      </c>
    </row>
    <row r="18" spans="1:17" ht="12" thickBot="1">
      <c r="A18" s="446" t="s">
        <v>846</v>
      </c>
      <c r="C18" s="415"/>
      <c r="D18" s="1904"/>
      <c r="E18" s="415"/>
      <c r="F18" s="415"/>
      <c r="H18" s="336"/>
      <c r="I18" s="415"/>
      <c r="J18" s="415"/>
      <c r="K18" s="415"/>
      <c r="L18" s="338"/>
    </row>
    <row r="19" spans="1:17">
      <c r="A19" s="461" t="s">
        <v>845</v>
      </c>
      <c r="B19" s="463" t="s">
        <v>136</v>
      </c>
      <c r="C19" s="533"/>
      <c r="D19" s="533"/>
      <c r="E19" s="415"/>
      <c r="F19" s="415"/>
      <c r="H19" s="336"/>
      <c r="I19" s="415"/>
      <c r="J19" s="415"/>
      <c r="K19" s="415"/>
      <c r="L19" s="338"/>
    </row>
    <row r="20" spans="1:17" ht="12" thickBot="1">
      <c r="A20" s="1956" t="s">
        <v>1301</v>
      </c>
      <c r="B20" s="535">
        <v>-16844164.780000001</v>
      </c>
      <c r="C20" s="415"/>
      <c r="D20" s="645"/>
      <c r="E20" s="645"/>
      <c r="F20" s="645"/>
      <c r="G20" s="645"/>
      <c r="H20" s="476"/>
      <c r="I20" s="477"/>
      <c r="J20" s="477"/>
      <c r="K20" s="477"/>
      <c r="L20" s="478"/>
    </row>
    <row r="21" spans="1:17">
      <c r="A21" s="534" t="s">
        <v>1147</v>
      </c>
      <c r="B21" s="535">
        <v>6204629.9800000004</v>
      </c>
      <c r="C21" s="415"/>
      <c r="D21" s="645"/>
      <c r="E21" s="645"/>
      <c r="F21" s="645"/>
      <c r="G21" s="645"/>
      <c r="H21" s="415"/>
      <c r="I21" s="415"/>
      <c r="J21" s="415"/>
      <c r="K21" s="415"/>
      <c r="L21" s="415"/>
    </row>
    <row r="22" spans="1:17">
      <c r="A22" s="534" t="s">
        <v>1219</v>
      </c>
      <c r="B22" s="535">
        <v>4065803.0000000005</v>
      </c>
      <c r="C22" s="415"/>
      <c r="D22" s="645"/>
      <c r="E22" s="645"/>
      <c r="F22" s="645"/>
      <c r="G22" s="645"/>
      <c r="H22" s="415"/>
      <c r="I22" s="415"/>
      <c r="J22" s="415"/>
      <c r="K22" s="415"/>
      <c r="L22" s="415"/>
    </row>
    <row r="23" spans="1:17">
      <c r="A23" s="534" t="s">
        <v>577</v>
      </c>
      <c r="B23" s="535">
        <v>-1748334.4</v>
      </c>
      <c r="C23" s="415"/>
      <c r="D23" s="645"/>
      <c r="E23" s="645"/>
      <c r="F23" s="645"/>
      <c r="G23" s="645"/>
      <c r="H23" s="415"/>
      <c r="I23" s="415"/>
      <c r="J23" s="415"/>
      <c r="K23" s="415"/>
      <c r="L23" s="415"/>
    </row>
    <row r="24" spans="1:17">
      <c r="A24" s="534" t="s">
        <v>578</v>
      </c>
      <c r="B24" s="535">
        <v>302075402.47000003</v>
      </c>
      <c r="C24" s="415"/>
      <c r="D24" s="645"/>
      <c r="E24" s="645"/>
      <c r="F24" s="645"/>
      <c r="G24" s="645"/>
      <c r="H24" s="415"/>
      <c r="I24" s="415"/>
      <c r="J24" s="415"/>
      <c r="K24" s="415"/>
      <c r="L24" s="415"/>
    </row>
    <row r="25" spans="1:17">
      <c r="A25" s="534" t="s">
        <v>579</v>
      </c>
      <c r="B25" s="535">
        <v>-191051050.36000001</v>
      </c>
      <c r="C25" s="415"/>
      <c r="D25" s="645"/>
      <c r="E25" s="645"/>
      <c r="F25" s="645"/>
      <c r="G25" s="645"/>
      <c r="H25" s="415"/>
      <c r="I25" s="415"/>
      <c r="J25" s="415"/>
      <c r="K25" s="415"/>
      <c r="L25" s="415"/>
    </row>
    <row r="26" spans="1:17">
      <c r="A26" s="534" t="s">
        <v>1343</v>
      </c>
      <c r="B26" s="535">
        <v>312779</v>
      </c>
      <c r="C26" s="415"/>
      <c r="D26" s="645"/>
      <c r="E26" s="645"/>
      <c r="F26" s="645"/>
      <c r="G26" s="645"/>
      <c r="H26" s="415"/>
      <c r="I26" s="415"/>
      <c r="J26" s="415"/>
      <c r="K26" s="415"/>
      <c r="L26" s="415"/>
      <c r="O26" s="1519"/>
      <c r="P26" s="1519"/>
      <c r="Q26" s="1519"/>
    </row>
    <row r="27" spans="1:17">
      <c r="A27" s="534" t="s">
        <v>580</v>
      </c>
      <c r="B27" s="535">
        <v>591427.92000000004</v>
      </c>
      <c r="C27" s="415"/>
      <c r="D27" s="645"/>
      <c r="E27" s="645"/>
      <c r="F27" s="645"/>
      <c r="G27" s="645"/>
      <c r="H27" s="415"/>
      <c r="I27" s="415"/>
      <c r="J27" s="415"/>
      <c r="K27" s="415"/>
      <c r="L27" s="415"/>
    </row>
    <row r="28" spans="1:17">
      <c r="A28" s="534" t="s">
        <v>1220</v>
      </c>
      <c r="B28" s="535">
        <v>-51112105.570000008</v>
      </c>
      <c r="D28" s="645"/>
      <c r="E28" s="1730"/>
      <c r="F28" s="645"/>
      <c r="G28" s="645"/>
      <c r="H28" s="415"/>
      <c r="I28" s="415"/>
      <c r="J28" s="415"/>
      <c r="K28" s="415"/>
      <c r="L28" s="415"/>
      <c r="M28" s="1791"/>
    </row>
    <row r="29" spans="1:17">
      <c r="A29" s="534" t="s">
        <v>1221</v>
      </c>
      <c r="B29" s="535">
        <v>17337.349999999999</v>
      </c>
      <c r="C29" s="415"/>
      <c r="D29" s="645"/>
      <c r="E29" s="645"/>
      <c r="F29" s="645"/>
      <c r="G29" s="645"/>
      <c r="H29" s="415"/>
      <c r="I29" s="415"/>
      <c r="J29" s="415"/>
      <c r="K29" s="415"/>
      <c r="L29" s="415"/>
      <c r="M29" s="1791"/>
    </row>
    <row r="30" spans="1:17">
      <c r="A30" s="534"/>
      <c r="B30" s="535"/>
      <c r="C30" s="415"/>
      <c r="D30" s="645"/>
      <c r="E30" s="645"/>
      <c r="F30" s="645"/>
      <c r="G30" s="645"/>
      <c r="H30" s="415"/>
      <c r="I30" s="415"/>
      <c r="J30" s="415"/>
      <c r="K30" s="415"/>
      <c r="L30" s="415"/>
    </row>
    <row r="31" spans="1:17">
      <c r="A31" s="534"/>
      <c r="B31" s="535"/>
      <c r="C31" s="415"/>
      <c r="D31" s="645"/>
      <c r="E31" s="645"/>
      <c r="F31" s="645"/>
      <c r="G31" s="645"/>
      <c r="H31" s="415"/>
      <c r="I31" s="415"/>
      <c r="J31" s="415"/>
      <c r="K31" s="415"/>
      <c r="L31" s="415"/>
      <c r="M31" s="1792"/>
    </row>
    <row r="32" spans="1:17">
      <c r="A32" s="534"/>
      <c r="B32" s="535"/>
      <c r="C32" s="415"/>
      <c r="D32" s="645"/>
      <c r="E32" s="645"/>
      <c r="F32" s="645"/>
      <c r="G32" s="645"/>
      <c r="H32" s="415"/>
      <c r="I32" s="415"/>
      <c r="J32" s="415"/>
      <c r="K32" s="415"/>
      <c r="L32" s="415"/>
    </row>
    <row r="33" spans="1:14">
      <c r="A33" s="336" t="s">
        <v>851</v>
      </c>
      <c r="B33" s="536">
        <f>SUM(B20:B32)</f>
        <v>52511724.610000022</v>
      </c>
      <c r="C33" s="337"/>
      <c r="D33" s="337"/>
      <c r="E33" s="415"/>
    </row>
    <row r="34" spans="1:14">
      <c r="A34" s="336" t="s">
        <v>158</v>
      </c>
      <c r="B34" s="535">
        <v>52511725</v>
      </c>
      <c r="C34" s="415"/>
      <c r="D34" s="415"/>
      <c r="E34" s="415"/>
    </row>
    <row r="35" spans="1:14" ht="12" thickBot="1">
      <c r="A35" s="476" t="s">
        <v>294</v>
      </c>
      <c r="B35" s="537">
        <f>B33-B34</f>
        <v>-0.38999997824430466</v>
      </c>
      <c r="C35" s="415"/>
      <c r="D35" s="415"/>
    </row>
    <row r="36" spans="1:14">
      <c r="H36" s="415"/>
      <c r="I36" s="415"/>
      <c r="J36" s="415"/>
      <c r="K36" s="415"/>
      <c r="L36" s="415"/>
    </row>
    <row r="37" spans="1:14" ht="12" thickBot="1">
      <c r="A37" s="446" t="s">
        <v>847</v>
      </c>
      <c r="H37" s="415"/>
      <c r="I37" s="415"/>
      <c r="J37" s="415"/>
      <c r="K37" s="415"/>
      <c r="L37" s="415"/>
    </row>
    <row r="38" spans="1:14" ht="22.5">
      <c r="A38" s="1511" t="s">
        <v>159</v>
      </c>
      <c r="B38" s="1717" t="s">
        <v>299</v>
      </c>
      <c r="C38" s="1512" t="s">
        <v>848</v>
      </c>
      <c r="D38" s="1512" t="s">
        <v>297</v>
      </c>
      <c r="E38" s="1512" t="s">
        <v>296</v>
      </c>
      <c r="F38" s="1512" t="s">
        <v>295</v>
      </c>
      <c r="G38" s="1513"/>
      <c r="H38" s="1514"/>
      <c r="I38" s="1514"/>
      <c r="J38" s="1514"/>
      <c r="K38" s="1515" t="s">
        <v>298</v>
      </c>
      <c r="L38" s="1519"/>
    </row>
    <row r="39" spans="1:14" ht="12.75">
      <c r="A39" s="1905" t="s">
        <v>148</v>
      </c>
      <c r="B39" s="1905" t="s">
        <v>289</v>
      </c>
      <c r="C39" s="1905"/>
      <c r="D39" s="1906"/>
      <c r="E39" s="1907">
        <v>600</v>
      </c>
      <c r="F39" s="1754">
        <f>SUM(C39:E39)</f>
        <v>600</v>
      </c>
      <c r="G39" s="1724"/>
      <c r="H39" s="1726"/>
      <c r="I39" s="1726"/>
      <c r="J39" s="1726"/>
      <c r="K39" s="1721"/>
      <c r="L39" s="2"/>
      <c r="M39"/>
      <c r="N39"/>
    </row>
    <row r="40" spans="1:14" ht="12.75">
      <c r="A40" s="1905" t="s">
        <v>148</v>
      </c>
      <c r="B40" s="1905" t="s">
        <v>287</v>
      </c>
      <c r="C40" s="1907">
        <v>11026</v>
      </c>
      <c r="D40" s="1906"/>
      <c r="E40" s="1907">
        <v>600</v>
      </c>
      <c r="F40" s="1754">
        <f t="shared" ref="F40:F105" si="0">SUM(C40:E40)</f>
        <v>11626</v>
      </c>
      <c r="G40" s="1724"/>
      <c r="H40" s="1722"/>
      <c r="I40" s="1722"/>
      <c r="J40" s="1722"/>
      <c r="K40" s="1725"/>
      <c r="L40" s="2"/>
      <c r="M40"/>
      <c r="N40"/>
    </row>
    <row r="41" spans="1:14" ht="12.75">
      <c r="A41" s="1905" t="s">
        <v>148</v>
      </c>
      <c r="B41" s="1905" t="s">
        <v>287</v>
      </c>
      <c r="C41" s="1907">
        <v>1533</v>
      </c>
      <c r="D41" s="1906"/>
      <c r="E41" s="1907">
        <v>600</v>
      </c>
      <c r="F41" s="1754">
        <f t="shared" si="0"/>
        <v>2133</v>
      </c>
      <c r="G41" s="1724"/>
      <c r="H41" s="1726"/>
      <c r="I41" s="1726"/>
      <c r="J41" s="1726"/>
      <c r="K41" s="1721"/>
      <c r="L41" s="2"/>
      <c r="M41"/>
      <c r="N41"/>
    </row>
    <row r="42" spans="1:14" ht="12.75">
      <c r="A42" s="1905" t="s">
        <v>149</v>
      </c>
      <c r="B42" s="1905" t="s">
        <v>289</v>
      </c>
      <c r="C42" s="1905"/>
      <c r="D42" s="1906"/>
      <c r="E42" s="1907">
        <v>4576</v>
      </c>
      <c r="F42" s="1754">
        <f t="shared" si="0"/>
        <v>4576</v>
      </c>
      <c r="G42" s="1724"/>
      <c r="H42" s="1722"/>
      <c r="I42" s="1722"/>
      <c r="J42" s="1722"/>
      <c r="K42" s="1725"/>
      <c r="L42" s="2"/>
      <c r="M42"/>
      <c r="N42"/>
    </row>
    <row r="43" spans="1:14" ht="12.75">
      <c r="A43" s="1753" t="s">
        <v>522</v>
      </c>
      <c r="B43" s="1753" t="s">
        <v>522</v>
      </c>
      <c r="C43" s="1754"/>
      <c r="D43" s="1754"/>
      <c r="E43" s="1754"/>
      <c r="F43" s="1754">
        <f t="shared" si="0"/>
        <v>0</v>
      </c>
      <c r="G43" s="1724"/>
      <c r="H43" s="1722"/>
      <c r="I43" s="1722"/>
      <c r="J43" s="1722"/>
      <c r="K43" s="1721"/>
      <c r="L43" s="2"/>
      <c r="M43"/>
      <c r="N43"/>
    </row>
    <row r="44" spans="1:14" ht="12.75">
      <c r="A44" s="1753" t="s">
        <v>523</v>
      </c>
      <c r="B44" s="1753" t="s">
        <v>285</v>
      </c>
      <c r="C44" s="1907">
        <v>379825</v>
      </c>
      <c r="D44" s="1906"/>
      <c r="E44" s="1907">
        <v>378306</v>
      </c>
      <c r="F44" s="1754">
        <f t="shared" si="0"/>
        <v>758131</v>
      </c>
      <c r="G44" s="1724"/>
      <c r="H44" s="1722"/>
      <c r="I44" s="1722"/>
      <c r="J44" s="1722"/>
      <c r="K44" s="1725"/>
      <c r="L44" s="2"/>
      <c r="M44"/>
      <c r="N44"/>
    </row>
    <row r="45" spans="1:14" ht="12.75">
      <c r="A45" s="1753" t="s">
        <v>523</v>
      </c>
      <c r="B45" s="1753" t="s">
        <v>285</v>
      </c>
      <c r="C45" s="1907">
        <v>139383</v>
      </c>
      <c r="D45" s="1906"/>
      <c r="E45" s="1907">
        <v>295288</v>
      </c>
      <c r="F45" s="1754">
        <f t="shared" si="0"/>
        <v>434671</v>
      </c>
      <c r="G45" s="1724"/>
      <c r="H45" s="1726"/>
      <c r="I45" s="1726"/>
      <c r="J45" s="1726"/>
      <c r="K45" s="1725"/>
      <c r="L45" s="2"/>
      <c r="M45"/>
      <c r="N45"/>
    </row>
    <row r="46" spans="1:14" ht="12.75">
      <c r="A46" s="1753" t="s">
        <v>523</v>
      </c>
      <c r="B46" s="1753" t="s">
        <v>285</v>
      </c>
      <c r="C46" s="1907">
        <v>117967</v>
      </c>
      <c r="D46" s="1906"/>
      <c r="E46" s="1907">
        <v>109710</v>
      </c>
      <c r="F46" s="1754">
        <f t="shared" si="0"/>
        <v>227677</v>
      </c>
      <c r="G46" s="1724"/>
      <c r="H46" s="1726"/>
      <c r="I46" s="1726"/>
      <c r="J46" s="1726"/>
      <c r="K46" s="1723"/>
      <c r="L46" s="2"/>
      <c r="M46"/>
      <c r="N46"/>
    </row>
    <row r="47" spans="1:14" ht="12.75">
      <c r="A47" s="1753" t="s">
        <v>523</v>
      </c>
      <c r="B47" s="1753" t="s">
        <v>285</v>
      </c>
      <c r="C47" s="1907">
        <v>1222401</v>
      </c>
      <c r="D47" s="1906"/>
      <c r="E47" s="1907">
        <v>601983</v>
      </c>
      <c r="F47" s="1754">
        <f t="shared" si="0"/>
        <v>1824384</v>
      </c>
      <c r="G47" s="1724"/>
      <c r="H47" s="1722"/>
      <c r="I47" s="1722"/>
      <c r="J47" s="1722"/>
      <c r="K47" s="1725"/>
      <c r="L47" s="2"/>
      <c r="M47"/>
      <c r="N47"/>
    </row>
    <row r="48" spans="1:14" ht="12.75">
      <c r="A48" s="1753" t="s">
        <v>523</v>
      </c>
      <c r="B48" s="1753" t="s">
        <v>285</v>
      </c>
      <c r="C48" s="1906">
        <v>106549</v>
      </c>
      <c r="D48" s="1906"/>
      <c r="E48" s="1906">
        <v>75609</v>
      </c>
      <c r="F48" s="1754">
        <f t="shared" si="0"/>
        <v>182158</v>
      </c>
      <c r="G48" s="1724"/>
      <c r="H48" s="1722"/>
      <c r="I48" s="1722"/>
      <c r="J48" s="1722"/>
      <c r="K48" s="1725"/>
      <c r="L48" s="2"/>
      <c r="M48"/>
      <c r="N48"/>
    </row>
    <row r="49" spans="1:14" ht="12.75">
      <c r="A49" s="1753" t="s">
        <v>523</v>
      </c>
      <c r="B49" s="1753" t="s">
        <v>285</v>
      </c>
      <c r="C49" s="1907">
        <v>85010</v>
      </c>
      <c r="D49" s="1905"/>
      <c r="E49" s="1907">
        <v>87344</v>
      </c>
      <c r="F49" s="1754">
        <f t="shared" si="0"/>
        <v>172354</v>
      </c>
      <c r="G49" s="1724"/>
      <c r="H49" s="1722"/>
      <c r="I49" s="1722"/>
      <c r="J49" s="1722"/>
      <c r="K49" s="1725"/>
      <c r="L49" s="2"/>
      <c r="M49"/>
      <c r="N49"/>
    </row>
    <row r="50" spans="1:14" ht="12.75">
      <c r="A50" s="1753" t="s">
        <v>523</v>
      </c>
      <c r="B50" s="1753" t="s">
        <v>285</v>
      </c>
      <c r="C50" s="1907">
        <v>86159</v>
      </c>
      <c r="D50" s="1905"/>
      <c r="E50" s="1907">
        <v>144477</v>
      </c>
      <c r="F50" s="1754">
        <f t="shared" si="0"/>
        <v>230636</v>
      </c>
      <c r="G50" s="1724"/>
      <c r="H50" s="1722"/>
      <c r="I50" s="1722"/>
      <c r="J50" s="1722"/>
      <c r="K50" s="1725"/>
      <c r="L50" s="2"/>
      <c r="M50"/>
      <c r="N50"/>
    </row>
    <row r="51" spans="1:14" ht="12.75">
      <c r="A51" s="1753" t="s">
        <v>523</v>
      </c>
      <c r="B51" s="1753" t="s">
        <v>285</v>
      </c>
      <c r="C51" s="1907">
        <v>500346</v>
      </c>
      <c r="D51" s="1905"/>
      <c r="E51" s="1907">
        <v>512890</v>
      </c>
      <c r="F51" s="1754">
        <f t="shared" si="0"/>
        <v>1013236</v>
      </c>
      <c r="G51" s="1724"/>
      <c r="H51" s="1722"/>
      <c r="I51" s="1722"/>
      <c r="J51" s="1722"/>
      <c r="K51" s="1725"/>
      <c r="L51" s="2"/>
      <c r="M51"/>
      <c r="N51"/>
    </row>
    <row r="52" spans="1:14" ht="12.75">
      <c r="A52" s="1753" t="s">
        <v>523</v>
      </c>
      <c r="B52" s="1753" t="s">
        <v>285</v>
      </c>
      <c r="C52" s="1907">
        <v>8189</v>
      </c>
      <c r="D52" s="1905"/>
      <c r="E52" s="1907">
        <v>9597</v>
      </c>
      <c r="F52" s="1754">
        <f t="shared" si="0"/>
        <v>17786</v>
      </c>
      <c r="G52" s="1724"/>
      <c r="H52" s="1722"/>
      <c r="I52" s="1722"/>
      <c r="J52" s="1722"/>
      <c r="K52" s="1725"/>
      <c r="L52" s="2"/>
      <c r="M52" s="1814"/>
      <c r="N52"/>
    </row>
    <row r="53" spans="1:14" ht="12.75">
      <c r="A53" s="1753" t="s">
        <v>522</v>
      </c>
      <c r="B53" s="1753" t="s">
        <v>522</v>
      </c>
      <c r="C53" s="1754"/>
      <c r="D53" s="1754"/>
      <c r="E53" s="1754"/>
      <c r="F53" s="1754"/>
      <c r="G53" s="1724"/>
      <c r="H53" s="1726"/>
      <c r="I53" s="1726"/>
      <c r="J53" s="1726"/>
      <c r="K53" s="1725"/>
      <c r="L53" s="2"/>
      <c r="M53" s="1814"/>
      <c r="N53" s="2"/>
    </row>
    <row r="54" spans="1:14" ht="12.75">
      <c r="A54" s="1753" t="s">
        <v>525</v>
      </c>
      <c r="B54" s="1753" t="s">
        <v>286</v>
      </c>
      <c r="C54" s="1907">
        <v>899510</v>
      </c>
      <c r="D54" s="1905"/>
      <c r="E54" s="1907">
        <v>874810</v>
      </c>
      <c r="F54" s="1754">
        <f t="shared" si="0"/>
        <v>1774320</v>
      </c>
      <c r="G54" s="1724"/>
      <c r="H54" s="1722"/>
      <c r="I54" s="1722"/>
      <c r="J54" s="1722"/>
      <c r="K54" s="1725"/>
      <c r="L54" s="1753"/>
      <c r="M54" s="1814"/>
      <c r="N54" s="2"/>
    </row>
    <row r="55" spans="1:14" ht="12.75">
      <c r="A55" s="1753" t="s">
        <v>525</v>
      </c>
      <c r="B55" s="1753" t="s">
        <v>286</v>
      </c>
      <c r="C55" s="1907">
        <v>2576699</v>
      </c>
      <c r="D55" s="1905"/>
      <c r="E55" s="1907">
        <v>2607368</v>
      </c>
      <c r="F55" s="1754">
        <f t="shared" si="0"/>
        <v>5184067</v>
      </c>
      <c r="G55" s="1724"/>
      <c r="H55" s="1722"/>
      <c r="I55" s="1722"/>
      <c r="J55" s="1722"/>
      <c r="K55" s="1725"/>
      <c r="L55" s="1753"/>
      <c r="M55" s="1814"/>
      <c r="N55" s="2"/>
    </row>
    <row r="56" spans="1:14" ht="12.75">
      <c r="A56" s="1753" t="s">
        <v>291</v>
      </c>
      <c r="B56" s="1753" t="s">
        <v>286</v>
      </c>
      <c r="C56" s="1907">
        <v>2014329</v>
      </c>
      <c r="D56" s="1905"/>
      <c r="E56" s="1907">
        <v>1003350</v>
      </c>
      <c r="F56" s="1754">
        <f t="shared" si="0"/>
        <v>3017679</v>
      </c>
      <c r="G56" s="1724"/>
      <c r="H56" s="1726"/>
      <c r="I56" s="1726"/>
      <c r="J56" s="1726"/>
      <c r="K56" s="1725">
        <v>22435</v>
      </c>
      <c r="L56" s="2" t="s">
        <v>1303</v>
      </c>
      <c r="M56" s="2"/>
      <c r="N56" s="2"/>
    </row>
    <row r="57" spans="1:14" ht="12.75">
      <c r="A57" s="1753" t="s">
        <v>291</v>
      </c>
      <c r="B57" s="1753" t="s">
        <v>286</v>
      </c>
      <c r="C57" s="1905"/>
      <c r="D57" s="1905"/>
      <c r="E57" s="1907">
        <v>20445</v>
      </c>
      <c r="F57" s="1754">
        <f t="shared" si="0"/>
        <v>20445</v>
      </c>
      <c r="G57" s="1724"/>
      <c r="H57" s="1722"/>
      <c r="I57" s="1722"/>
      <c r="J57" s="1793"/>
      <c r="K57" s="1725"/>
      <c r="L57" s="1753"/>
      <c r="M57" s="2"/>
      <c r="N57" s="2"/>
    </row>
    <row r="58" spans="1:14" ht="12.75">
      <c r="A58" s="1753" t="s">
        <v>1287</v>
      </c>
      <c r="B58" s="1753" t="s">
        <v>286</v>
      </c>
      <c r="C58" s="1907">
        <v>2520760</v>
      </c>
      <c r="D58" s="1905"/>
      <c r="E58" s="1907">
        <v>1211810</v>
      </c>
      <c r="F58" s="1754">
        <f t="shared" si="0"/>
        <v>3732570</v>
      </c>
      <c r="G58" s="1724"/>
      <c r="H58" s="1722"/>
      <c r="I58" s="1722"/>
      <c r="J58" s="1722"/>
      <c r="K58" s="1725"/>
      <c r="L58" s="1753"/>
      <c r="M58" s="2"/>
      <c r="N58" s="2"/>
    </row>
    <row r="59" spans="1:14" ht="12.75">
      <c r="A59" s="1753" t="s">
        <v>147</v>
      </c>
      <c r="B59" s="1753" t="s">
        <v>286</v>
      </c>
      <c r="C59" s="1907">
        <v>458320</v>
      </c>
      <c r="D59" s="1905"/>
      <c r="E59" s="1907">
        <v>37696</v>
      </c>
      <c r="F59" s="1754">
        <f t="shared" si="0"/>
        <v>496016</v>
      </c>
      <c r="G59" s="1724"/>
      <c r="H59" s="1722"/>
      <c r="I59" s="1722"/>
      <c r="J59" s="1722"/>
      <c r="K59" s="1725"/>
      <c r="L59" s="1753"/>
      <c r="M59" s="1899"/>
      <c r="N59" s="2"/>
    </row>
    <row r="60" spans="1:14" ht="12.75">
      <c r="A60" s="1753" t="s">
        <v>529</v>
      </c>
      <c r="B60" s="1753" t="s">
        <v>286</v>
      </c>
      <c r="C60" s="1907">
        <v>674633</v>
      </c>
      <c r="D60" s="1905"/>
      <c r="E60" s="1907">
        <v>486960</v>
      </c>
      <c r="F60" s="1754">
        <f t="shared" si="0"/>
        <v>1161593</v>
      </c>
      <c r="G60" s="1724"/>
      <c r="H60" s="1722"/>
      <c r="I60" s="1722"/>
      <c r="J60" s="1722"/>
      <c r="K60" s="1725"/>
      <c r="L60" s="1753"/>
      <c r="M60"/>
      <c r="N60"/>
    </row>
    <row r="61" spans="1:14" ht="12.75">
      <c r="A61" s="1753" t="s">
        <v>1075</v>
      </c>
      <c r="B61" s="1753" t="s">
        <v>286</v>
      </c>
      <c r="C61" s="1907">
        <v>1351</v>
      </c>
      <c r="D61" s="1905"/>
      <c r="E61" s="1907">
        <v>55</v>
      </c>
      <c r="F61" s="1754">
        <f t="shared" si="0"/>
        <v>1406</v>
      </c>
      <c r="G61" s="1724"/>
      <c r="H61" s="1722"/>
      <c r="I61" s="1722"/>
      <c r="J61" s="1722"/>
      <c r="K61" s="1725"/>
      <c r="L61" s="1753"/>
      <c r="M61"/>
      <c r="N61"/>
    </row>
    <row r="62" spans="1:14" ht="12.75">
      <c r="A62" s="1908" t="s">
        <v>530</v>
      </c>
      <c r="B62" s="1753" t="s">
        <v>286</v>
      </c>
      <c r="C62" s="1907">
        <v>57290</v>
      </c>
      <c r="D62" s="1905"/>
      <c r="E62" s="1907">
        <v>27972</v>
      </c>
      <c r="F62" s="1754">
        <f>SUM(C62:E62)</f>
        <v>85262</v>
      </c>
      <c r="G62" s="1724"/>
      <c r="H62" s="1722"/>
      <c r="I62" s="1722"/>
      <c r="J62" s="1722"/>
      <c r="K62" s="1725"/>
      <c r="L62" s="1747"/>
      <c r="M62"/>
      <c r="N62"/>
    </row>
    <row r="63" spans="1:14" ht="12.75">
      <c r="A63" s="1753" t="s">
        <v>522</v>
      </c>
      <c r="B63" s="1753" t="s">
        <v>522</v>
      </c>
      <c r="C63" s="1754"/>
      <c r="D63" s="1754"/>
      <c r="E63" s="1754"/>
      <c r="F63" s="1754"/>
      <c r="G63" s="1724"/>
      <c r="H63" s="1722"/>
      <c r="I63" s="1722"/>
      <c r="J63" s="1722"/>
      <c r="K63" s="1725"/>
      <c r="L63" s="2"/>
      <c r="M63"/>
      <c r="N63"/>
    </row>
    <row r="64" spans="1:14" ht="12.75">
      <c r="A64" s="1905" t="s">
        <v>1218</v>
      </c>
      <c r="B64" s="1753" t="s">
        <v>290</v>
      </c>
      <c r="C64" s="1907">
        <v>77117</v>
      </c>
      <c r="D64" s="1905"/>
      <c r="E64" s="1907">
        <v>8151</v>
      </c>
      <c r="F64" s="1754">
        <f t="shared" si="0"/>
        <v>85268</v>
      </c>
      <c r="G64" s="1724"/>
      <c r="H64" s="1722"/>
      <c r="I64" s="1722"/>
      <c r="J64" s="1722"/>
      <c r="K64" s="1815">
        <f>C64</f>
        <v>77117</v>
      </c>
      <c r="L64" s="1753" t="s">
        <v>1302</v>
      </c>
      <c r="M64"/>
      <c r="N64"/>
    </row>
    <row r="65" spans="1:14" ht="12.75">
      <c r="A65" s="1905" t="s">
        <v>526</v>
      </c>
      <c r="B65" s="1753" t="s">
        <v>290</v>
      </c>
      <c r="C65" s="1907">
        <v>140379</v>
      </c>
      <c r="D65" s="1905"/>
      <c r="E65" s="1907">
        <v>182869</v>
      </c>
      <c r="F65" s="1754">
        <f t="shared" si="0"/>
        <v>323248</v>
      </c>
      <c r="G65" s="1724"/>
      <c r="H65" s="1722"/>
      <c r="I65" s="1722"/>
      <c r="J65" s="1722"/>
      <c r="K65" s="1815">
        <f t="shared" ref="K65:K72" si="1">C65</f>
        <v>140379</v>
      </c>
      <c r="L65" s="1753" t="s">
        <v>1302</v>
      </c>
      <c r="M65"/>
      <c r="N65"/>
    </row>
    <row r="66" spans="1:14" ht="12.75">
      <c r="A66" s="1905" t="s">
        <v>1288</v>
      </c>
      <c r="B66" s="1753" t="s">
        <v>290</v>
      </c>
      <c r="C66" s="1907">
        <v>350</v>
      </c>
      <c r="D66" s="1905"/>
      <c r="E66" s="1907">
        <v>850</v>
      </c>
      <c r="F66" s="1754">
        <f t="shared" si="0"/>
        <v>1200</v>
      </c>
      <c r="G66" s="1724"/>
      <c r="H66" s="1722"/>
      <c r="I66" s="1722"/>
      <c r="J66" s="1722"/>
      <c r="K66" s="1815">
        <f t="shared" si="1"/>
        <v>350</v>
      </c>
      <c r="L66" s="1753" t="s">
        <v>1303</v>
      </c>
      <c r="M66"/>
      <c r="N66"/>
    </row>
    <row r="67" spans="1:14" ht="12.75">
      <c r="A67" s="1905" t="s">
        <v>1332</v>
      </c>
      <c r="B67" s="1753" t="s">
        <v>290</v>
      </c>
      <c r="C67" s="1907">
        <v>329</v>
      </c>
      <c r="D67" s="1905"/>
      <c r="E67" s="1907">
        <v>189</v>
      </c>
      <c r="F67" s="1754">
        <f t="shared" si="0"/>
        <v>518</v>
      </c>
      <c r="G67" s="1724"/>
      <c r="H67" s="1722"/>
      <c r="I67" s="1722"/>
      <c r="J67" s="1722"/>
      <c r="K67" s="1815">
        <f t="shared" si="1"/>
        <v>329</v>
      </c>
      <c r="L67" s="1753" t="s">
        <v>1303</v>
      </c>
      <c r="M67"/>
      <c r="N67"/>
    </row>
    <row r="68" spans="1:14" ht="12.75">
      <c r="A68" s="1905" t="s">
        <v>1333</v>
      </c>
      <c r="B68" s="1753" t="s">
        <v>290</v>
      </c>
      <c r="C68" s="1907">
        <v>9521</v>
      </c>
      <c r="D68" s="1905"/>
      <c r="E68" s="1907">
        <v>1375</v>
      </c>
      <c r="F68" s="1754">
        <f t="shared" si="0"/>
        <v>10896</v>
      </c>
      <c r="G68" s="1724"/>
      <c r="H68" s="1722"/>
      <c r="I68" s="1722"/>
      <c r="J68" s="1722"/>
      <c r="K68" s="1815">
        <f t="shared" si="1"/>
        <v>9521</v>
      </c>
      <c r="L68" s="1753" t="s">
        <v>1303</v>
      </c>
      <c r="M68"/>
      <c r="N68"/>
    </row>
    <row r="69" spans="1:14" ht="12.75">
      <c r="A69" s="1905" t="s">
        <v>291</v>
      </c>
      <c r="B69" s="1753" t="s">
        <v>290</v>
      </c>
      <c r="C69" s="1907">
        <v>822</v>
      </c>
      <c r="D69" s="1905"/>
      <c r="E69" s="1907">
        <v>116</v>
      </c>
      <c r="F69" s="1754">
        <f t="shared" si="0"/>
        <v>938</v>
      </c>
      <c r="G69" s="1724"/>
      <c r="H69" s="1722"/>
      <c r="I69" s="1722"/>
      <c r="J69" s="1722"/>
      <c r="K69" s="1815">
        <f t="shared" si="1"/>
        <v>822</v>
      </c>
      <c r="L69" s="1753" t="s">
        <v>1303</v>
      </c>
      <c r="M69"/>
      <c r="N69"/>
    </row>
    <row r="70" spans="1:14" ht="12.75">
      <c r="A70" s="1905" t="s">
        <v>291</v>
      </c>
      <c r="B70" s="1753" t="s">
        <v>290</v>
      </c>
      <c r="C70" s="1907">
        <v>47948</v>
      </c>
      <c r="D70" s="1905"/>
      <c r="E70" s="1907">
        <v>8434</v>
      </c>
      <c r="F70" s="1754">
        <f t="shared" si="0"/>
        <v>56382</v>
      </c>
      <c r="G70" s="1724"/>
      <c r="H70" s="1722"/>
      <c r="I70" s="1722"/>
      <c r="J70" s="1722"/>
      <c r="K70" s="1815">
        <f t="shared" si="1"/>
        <v>47948</v>
      </c>
      <c r="L70" s="1753" t="s">
        <v>1302</v>
      </c>
      <c r="M70"/>
      <c r="N70"/>
    </row>
    <row r="71" spans="1:14" ht="12.75">
      <c r="A71" s="1905" t="s">
        <v>148</v>
      </c>
      <c r="B71" s="1753" t="s">
        <v>290</v>
      </c>
      <c r="C71" s="1907">
        <v>38931</v>
      </c>
      <c r="D71" s="1905"/>
      <c r="E71" s="1907">
        <v>16431</v>
      </c>
      <c r="F71" s="1754">
        <f t="shared" si="0"/>
        <v>55362</v>
      </c>
      <c r="G71" s="1724"/>
      <c r="H71" s="1722"/>
      <c r="I71" s="1722"/>
      <c r="J71" s="1722"/>
      <c r="K71" s="1815">
        <f t="shared" si="1"/>
        <v>38931</v>
      </c>
      <c r="L71" s="1753" t="s">
        <v>1302</v>
      </c>
      <c r="M71"/>
      <c r="N71"/>
    </row>
    <row r="72" spans="1:14" ht="12.75">
      <c r="A72" s="1905" t="s">
        <v>528</v>
      </c>
      <c r="B72" s="1753" t="s">
        <v>290</v>
      </c>
      <c r="C72" s="1907">
        <v>0</v>
      </c>
      <c r="D72" s="1905"/>
      <c r="E72" s="1907">
        <v>-6433</v>
      </c>
      <c r="F72" s="1754">
        <f t="shared" si="0"/>
        <v>-6433</v>
      </c>
      <c r="G72" s="1724"/>
      <c r="H72" s="1722"/>
      <c r="I72" s="1722"/>
      <c r="J72" s="1722"/>
      <c r="K72" s="1815">
        <f t="shared" si="1"/>
        <v>0</v>
      </c>
      <c r="L72" s="1753"/>
      <c r="M72"/>
      <c r="N72"/>
    </row>
    <row r="73" spans="1:14" ht="12.75">
      <c r="A73" s="1753" t="s">
        <v>522</v>
      </c>
      <c r="B73" s="1753"/>
      <c r="C73" s="1754"/>
      <c r="D73" s="1754"/>
      <c r="E73" s="1754"/>
      <c r="F73" s="1754"/>
      <c r="G73" s="1724"/>
      <c r="H73" s="1722"/>
      <c r="I73" s="1722"/>
      <c r="J73" s="1722"/>
      <c r="K73" s="1725"/>
      <c r="L73" s="1753"/>
      <c r="M73"/>
      <c r="N73"/>
    </row>
    <row r="74" spans="1:14" ht="12.75">
      <c r="A74" s="1953" t="s">
        <v>1334</v>
      </c>
      <c r="B74" s="1753" t="s">
        <v>288</v>
      </c>
      <c r="C74" s="1754"/>
      <c r="D74" s="1954">
        <v>772</v>
      </c>
      <c r="E74" s="1954">
        <v>964</v>
      </c>
      <c r="F74" s="1754">
        <f t="shared" si="0"/>
        <v>1736</v>
      </c>
      <c r="G74" s="1724"/>
      <c r="H74" s="1722"/>
      <c r="I74" s="1722"/>
      <c r="J74" s="1722"/>
      <c r="K74" s="1725">
        <f t="shared" ref="K74:K100" si="2">D74</f>
        <v>772</v>
      </c>
      <c r="L74" s="1753" t="s">
        <v>1303</v>
      </c>
      <c r="M74"/>
      <c r="N74"/>
    </row>
    <row r="75" spans="1:14" ht="12.75">
      <c r="A75" s="1905" t="s">
        <v>1218</v>
      </c>
      <c r="B75" s="1908" t="s">
        <v>288</v>
      </c>
      <c r="C75" s="1906"/>
      <c r="D75" s="1907">
        <v>1207</v>
      </c>
      <c r="E75" s="1907">
        <v>1064</v>
      </c>
      <c r="F75" s="1754">
        <f t="shared" si="0"/>
        <v>2271</v>
      </c>
      <c r="G75" s="1724"/>
      <c r="H75" s="1722"/>
      <c r="I75" s="1722"/>
      <c r="J75" s="1722"/>
      <c r="K75" s="1725">
        <f t="shared" si="2"/>
        <v>1207</v>
      </c>
      <c r="L75" s="1753" t="s">
        <v>1303</v>
      </c>
      <c r="M75"/>
      <c r="N75"/>
    </row>
    <row r="76" spans="1:14" ht="12.75">
      <c r="A76" s="1905" t="s">
        <v>1218</v>
      </c>
      <c r="B76" s="1908" t="s">
        <v>288</v>
      </c>
      <c r="C76" s="1906"/>
      <c r="D76" s="1907">
        <v>205</v>
      </c>
      <c r="E76" s="1907">
        <v>75</v>
      </c>
      <c r="F76" s="1754">
        <f t="shared" si="0"/>
        <v>280</v>
      </c>
      <c r="G76" s="1724"/>
      <c r="H76" s="1722"/>
      <c r="I76" s="1722"/>
      <c r="J76" s="1722"/>
      <c r="K76" s="1725">
        <f t="shared" si="2"/>
        <v>205</v>
      </c>
      <c r="L76" s="1753" t="s">
        <v>1302</v>
      </c>
      <c r="M76"/>
      <c r="N76"/>
    </row>
    <row r="77" spans="1:14" ht="12.75">
      <c r="A77" s="1905" t="s">
        <v>526</v>
      </c>
      <c r="B77" s="1908" t="s">
        <v>288</v>
      </c>
      <c r="C77" s="1906"/>
      <c r="D77" s="1907">
        <v>31475</v>
      </c>
      <c r="E77" s="1907">
        <v>25096</v>
      </c>
      <c r="F77" s="1754">
        <f t="shared" si="0"/>
        <v>56571</v>
      </c>
      <c r="G77" s="1724"/>
      <c r="H77" s="1722"/>
      <c r="I77" s="1722"/>
      <c r="J77" s="1722"/>
      <c r="K77" s="1725">
        <f t="shared" si="2"/>
        <v>31475</v>
      </c>
      <c r="L77" s="1753" t="s">
        <v>1303</v>
      </c>
      <c r="M77" s="2"/>
      <c r="N77" s="2"/>
    </row>
    <row r="78" spans="1:14" ht="12.75">
      <c r="A78" s="1905" t="s">
        <v>526</v>
      </c>
      <c r="B78" s="1908" t="s">
        <v>288</v>
      </c>
      <c r="C78" s="1906"/>
      <c r="D78" s="1907">
        <v>567629</v>
      </c>
      <c r="E78" s="1907">
        <v>425560</v>
      </c>
      <c r="F78" s="1754">
        <f t="shared" si="0"/>
        <v>993189</v>
      </c>
      <c r="G78" s="1724"/>
      <c r="H78" s="1722"/>
      <c r="I78" s="1722"/>
      <c r="J78" s="1722"/>
      <c r="K78" s="1725">
        <f t="shared" si="2"/>
        <v>567629</v>
      </c>
      <c r="L78" s="1753" t="s">
        <v>1302</v>
      </c>
      <c r="M78"/>
      <c r="N78"/>
    </row>
    <row r="79" spans="1:14" ht="12.75">
      <c r="A79" s="1905" t="s">
        <v>1304</v>
      </c>
      <c r="B79" s="1908" t="s">
        <v>288</v>
      </c>
      <c r="C79" s="1906"/>
      <c r="D79" s="1907">
        <v>139134</v>
      </c>
      <c r="E79" s="1907">
        <v>71993</v>
      </c>
      <c r="F79" s="1754">
        <f t="shared" si="0"/>
        <v>211127</v>
      </c>
      <c r="G79" s="1724"/>
      <c r="H79" s="1722"/>
      <c r="I79" s="1722"/>
      <c r="J79" s="1722"/>
      <c r="K79" s="1725">
        <f t="shared" si="2"/>
        <v>139134</v>
      </c>
      <c r="L79" s="1753" t="s">
        <v>1303</v>
      </c>
      <c r="M79"/>
      <c r="N79"/>
    </row>
    <row r="80" spans="1:14" ht="12.75">
      <c r="A80" s="1905" t="s">
        <v>1304</v>
      </c>
      <c r="B80" s="1908" t="s">
        <v>288</v>
      </c>
      <c r="C80" s="1906"/>
      <c r="D80" s="1907">
        <v>1333</v>
      </c>
      <c r="E80" s="1907">
        <v>748</v>
      </c>
      <c r="F80" s="1754">
        <f t="shared" si="0"/>
        <v>2081</v>
      </c>
      <c r="G80" s="1724"/>
      <c r="H80" s="1722"/>
      <c r="I80" s="1722"/>
      <c r="J80" s="1722"/>
      <c r="K80" s="1725">
        <f t="shared" si="2"/>
        <v>1333</v>
      </c>
      <c r="L80" s="1753" t="s">
        <v>1302</v>
      </c>
      <c r="M80" s="2"/>
      <c r="N80" s="2"/>
    </row>
    <row r="81" spans="1:14" ht="12.75">
      <c r="A81" s="1905" t="s">
        <v>1335</v>
      </c>
      <c r="B81" s="1908" t="s">
        <v>288</v>
      </c>
      <c r="C81" s="1906"/>
      <c r="D81" s="1907">
        <v>2</v>
      </c>
      <c r="E81" s="1907">
        <v>1</v>
      </c>
      <c r="F81" s="1754">
        <f t="shared" si="0"/>
        <v>3</v>
      </c>
      <c r="G81" s="1724"/>
      <c r="H81" s="1722"/>
      <c r="I81" s="1722"/>
      <c r="J81" s="1722"/>
      <c r="K81" s="1725">
        <f t="shared" si="2"/>
        <v>2</v>
      </c>
      <c r="L81" s="1753" t="s">
        <v>1303</v>
      </c>
      <c r="M81"/>
      <c r="N81"/>
    </row>
    <row r="82" spans="1:14" ht="12.75">
      <c r="A82" s="1905" t="s">
        <v>1288</v>
      </c>
      <c r="B82" s="1908" t="s">
        <v>288</v>
      </c>
      <c r="C82" s="1906"/>
      <c r="D82" s="1907">
        <v>24561</v>
      </c>
      <c r="E82" s="1907">
        <v>18950</v>
      </c>
      <c r="F82" s="1754">
        <f t="shared" si="0"/>
        <v>43511</v>
      </c>
      <c r="G82" s="1724"/>
      <c r="H82" s="1726"/>
      <c r="I82" s="1726"/>
      <c r="J82" s="1726"/>
      <c r="K82" s="1725">
        <f t="shared" si="2"/>
        <v>24561</v>
      </c>
      <c r="L82" s="1753" t="s">
        <v>1303</v>
      </c>
      <c r="M82"/>
      <c r="N82"/>
    </row>
    <row r="83" spans="1:14" ht="12.75">
      <c r="A83" s="1905" t="s">
        <v>1288</v>
      </c>
      <c r="B83" s="1908" t="s">
        <v>288</v>
      </c>
      <c r="C83" s="1906"/>
      <c r="D83" s="1907">
        <v>469</v>
      </c>
      <c r="E83" s="1907">
        <v>69</v>
      </c>
      <c r="F83" s="1754">
        <f t="shared" si="0"/>
        <v>538</v>
      </c>
      <c r="G83" s="1724"/>
      <c r="H83" s="1726"/>
      <c r="I83" s="1726"/>
      <c r="J83" s="1726"/>
      <c r="K83" s="1725">
        <f t="shared" si="2"/>
        <v>469</v>
      </c>
      <c r="L83" s="1753" t="s">
        <v>1302</v>
      </c>
      <c r="M83"/>
      <c r="N83"/>
    </row>
    <row r="84" spans="1:14" ht="12.75">
      <c r="A84" s="1905" t="s">
        <v>1332</v>
      </c>
      <c r="B84" s="1908" t="s">
        <v>288</v>
      </c>
      <c r="C84" s="1906"/>
      <c r="D84" s="1907">
        <v>120748</v>
      </c>
      <c r="E84" s="1907">
        <v>52831</v>
      </c>
      <c r="F84" s="1754">
        <f t="shared" si="0"/>
        <v>173579</v>
      </c>
      <c r="G84" s="1724"/>
      <c r="H84" s="1726"/>
      <c r="I84" s="1726"/>
      <c r="J84" s="1726"/>
      <c r="K84" s="1725">
        <f t="shared" si="2"/>
        <v>120748</v>
      </c>
      <c r="L84" s="1753" t="s">
        <v>1303</v>
      </c>
      <c r="M84"/>
      <c r="N84"/>
    </row>
    <row r="85" spans="1:14" ht="12.75">
      <c r="A85" s="1905" t="s">
        <v>1332</v>
      </c>
      <c r="B85" s="1908" t="s">
        <v>288</v>
      </c>
      <c r="C85" s="1906"/>
      <c r="D85" s="1907">
        <v>457</v>
      </c>
      <c r="E85" s="1907">
        <v>359</v>
      </c>
      <c r="F85" s="1754">
        <f t="shared" si="0"/>
        <v>816</v>
      </c>
      <c r="G85" s="1724"/>
      <c r="H85" s="1726"/>
      <c r="I85" s="1726"/>
      <c r="J85" s="1726"/>
      <c r="K85" s="1725">
        <f t="shared" si="2"/>
        <v>457</v>
      </c>
      <c r="L85" s="1753" t="s">
        <v>1302</v>
      </c>
      <c r="M85"/>
      <c r="N85"/>
    </row>
    <row r="86" spans="1:14" ht="12.75">
      <c r="A86" s="1905" t="s">
        <v>524</v>
      </c>
      <c r="B86" s="1908" t="s">
        <v>288</v>
      </c>
      <c r="C86" s="1906"/>
      <c r="D86" s="1907">
        <v>7709</v>
      </c>
      <c r="E86" s="1907">
        <v>9511</v>
      </c>
      <c r="F86" s="1754">
        <f t="shared" si="0"/>
        <v>17220</v>
      </c>
      <c r="G86" s="1724"/>
      <c r="H86" s="1726"/>
      <c r="I86" s="1726"/>
      <c r="J86" s="1726"/>
      <c r="K86" s="1725">
        <f t="shared" si="2"/>
        <v>7709</v>
      </c>
      <c r="L86" s="1753" t="s">
        <v>1303</v>
      </c>
      <c r="M86"/>
      <c r="N86"/>
    </row>
    <row r="87" spans="1:14" ht="12.75">
      <c r="A87" s="1905" t="s">
        <v>1336</v>
      </c>
      <c r="B87" s="1908" t="s">
        <v>288</v>
      </c>
      <c r="C87" s="1906"/>
      <c r="D87" s="1907">
        <v>79774</v>
      </c>
      <c r="E87" s="1907">
        <v>55299</v>
      </c>
      <c r="F87" s="1754">
        <f t="shared" si="0"/>
        <v>135073</v>
      </c>
      <c r="G87" s="1724"/>
      <c r="H87" s="1726"/>
      <c r="I87" s="1726"/>
      <c r="J87" s="1726"/>
      <c r="K87" s="1725">
        <f t="shared" si="2"/>
        <v>79774</v>
      </c>
      <c r="L87" s="1753" t="s">
        <v>1303</v>
      </c>
      <c r="M87"/>
      <c r="N87"/>
    </row>
    <row r="88" spans="1:14" ht="12.75">
      <c r="A88" s="1905" t="s">
        <v>1305</v>
      </c>
      <c r="B88" s="1908" t="s">
        <v>288</v>
      </c>
      <c r="C88" s="1906"/>
      <c r="D88" s="1907">
        <v>16103</v>
      </c>
      <c r="E88" s="1907">
        <v>86502</v>
      </c>
      <c r="F88" s="1754">
        <f t="shared" si="0"/>
        <v>102605</v>
      </c>
      <c r="G88" s="1724"/>
      <c r="H88" s="1722"/>
      <c r="I88" s="1722"/>
      <c r="J88" s="1722"/>
      <c r="K88" s="1725">
        <f t="shared" si="2"/>
        <v>16103</v>
      </c>
      <c r="L88" s="1753" t="s">
        <v>1303</v>
      </c>
      <c r="M88"/>
      <c r="N88"/>
    </row>
    <row r="89" spans="1:14" ht="12.75">
      <c r="A89" s="1905" t="s">
        <v>1306</v>
      </c>
      <c r="B89" s="1908" t="s">
        <v>288</v>
      </c>
      <c r="C89" s="1906"/>
      <c r="D89" s="1907">
        <v>138628</v>
      </c>
      <c r="E89" s="1907">
        <v>96974</v>
      </c>
      <c r="F89" s="1754">
        <f t="shared" si="0"/>
        <v>235602</v>
      </c>
      <c r="G89" s="1724"/>
      <c r="H89" s="1722"/>
      <c r="I89" s="1722"/>
      <c r="J89" s="1722"/>
      <c r="K89" s="1725">
        <f t="shared" si="2"/>
        <v>138628</v>
      </c>
      <c r="L89" s="1753" t="s">
        <v>1303</v>
      </c>
      <c r="M89"/>
      <c r="N89"/>
    </row>
    <row r="90" spans="1:14" ht="12.75">
      <c r="A90" s="1905" t="s">
        <v>291</v>
      </c>
      <c r="B90" s="1908" t="s">
        <v>288</v>
      </c>
      <c r="C90" s="1906"/>
      <c r="D90" s="1907">
        <v>136926</v>
      </c>
      <c r="E90" s="1907">
        <v>65141</v>
      </c>
      <c r="F90" s="1754">
        <f t="shared" si="0"/>
        <v>202067</v>
      </c>
      <c r="G90" s="1724"/>
      <c r="H90" s="1722"/>
      <c r="I90" s="1722"/>
      <c r="J90" s="1722"/>
      <c r="K90" s="1725">
        <f t="shared" si="2"/>
        <v>136926</v>
      </c>
      <c r="L90" s="1753" t="s">
        <v>1303</v>
      </c>
      <c r="M90"/>
      <c r="N90"/>
    </row>
    <row r="91" spans="1:14" ht="12.75">
      <c r="A91" s="1905" t="s">
        <v>291</v>
      </c>
      <c r="B91" s="1908" t="s">
        <v>288</v>
      </c>
      <c r="C91" s="1906"/>
      <c r="D91" s="1907">
        <v>132518</v>
      </c>
      <c r="E91" s="1907">
        <v>77400</v>
      </c>
      <c r="F91" s="1754">
        <f t="shared" si="0"/>
        <v>209918</v>
      </c>
      <c r="G91" s="1724"/>
      <c r="H91" s="1722"/>
      <c r="I91" s="1722"/>
      <c r="J91" s="1722"/>
      <c r="K91" s="1725">
        <f t="shared" si="2"/>
        <v>132518</v>
      </c>
      <c r="L91" s="1753" t="s">
        <v>1302</v>
      </c>
      <c r="M91"/>
      <c r="N91"/>
    </row>
    <row r="92" spans="1:14" ht="12.75">
      <c r="A92" s="1905" t="s">
        <v>1337</v>
      </c>
      <c r="B92" s="1908" t="s">
        <v>288</v>
      </c>
      <c r="C92" s="1906"/>
      <c r="D92" s="1907">
        <v>33447</v>
      </c>
      <c r="E92" s="1907">
        <v>41255</v>
      </c>
      <c r="F92" s="1754">
        <f t="shared" si="0"/>
        <v>74702</v>
      </c>
      <c r="G92" s="1724"/>
      <c r="H92" s="1722"/>
      <c r="I92" s="1722"/>
      <c r="J92" s="1722"/>
      <c r="K92" s="1725">
        <f t="shared" si="2"/>
        <v>33447</v>
      </c>
      <c r="L92" s="1753" t="s">
        <v>1303</v>
      </c>
      <c r="M92"/>
      <c r="N92"/>
    </row>
    <row r="93" spans="1:14" ht="12.75">
      <c r="A93" s="1905" t="s">
        <v>147</v>
      </c>
      <c r="B93" s="1908" t="s">
        <v>288</v>
      </c>
      <c r="C93" s="1906"/>
      <c r="D93" s="1907">
        <v>296</v>
      </c>
      <c r="E93" s="1907">
        <v>36</v>
      </c>
      <c r="F93" s="1754">
        <f t="shared" si="0"/>
        <v>332</v>
      </c>
      <c r="G93" s="1724"/>
      <c r="H93" s="1722"/>
      <c r="I93" s="1722"/>
      <c r="J93" s="1722"/>
      <c r="K93" s="1725">
        <f t="shared" si="2"/>
        <v>296</v>
      </c>
      <c r="L93" s="1753" t="s">
        <v>1303</v>
      </c>
      <c r="M93"/>
      <c r="N93"/>
    </row>
    <row r="94" spans="1:14" ht="12.75">
      <c r="A94" s="1905" t="s">
        <v>148</v>
      </c>
      <c r="B94" s="1908" t="s">
        <v>288</v>
      </c>
      <c r="C94" s="1906"/>
      <c r="D94" s="1907">
        <v>19306</v>
      </c>
      <c r="E94" s="1907">
        <v>8774</v>
      </c>
      <c r="F94" s="1754">
        <f t="shared" si="0"/>
        <v>28080</v>
      </c>
      <c r="G94" s="1724"/>
      <c r="H94" s="1722"/>
      <c r="I94" s="1722"/>
      <c r="J94" s="1722"/>
      <c r="K94" s="1725">
        <f t="shared" si="2"/>
        <v>19306</v>
      </c>
      <c r="L94" s="1753" t="s">
        <v>1302</v>
      </c>
      <c r="M94"/>
      <c r="N94"/>
    </row>
    <row r="95" spans="1:14" ht="12.75">
      <c r="A95" s="1905" t="s">
        <v>528</v>
      </c>
      <c r="B95" s="1908" t="s">
        <v>288</v>
      </c>
      <c r="C95" s="1906"/>
      <c r="D95" s="1907">
        <v>245873</v>
      </c>
      <c r="E95" s="1907">
        <v>344399</v>
      </c>
      <c r="F95" s="1754">
        <f t="shared" si="0"/>
        <v>590272</v>
      </c>
      <c r="G95" s="1724"/>
      <c r="H95" s="1722"/>
      <c r="I95" s="1722"/>
      <c r="J95" s="1722"/>
      <c r="K95" s="1725">
        <f t="shared" si="2"/>
        <v>245873</v>
      </c>
      <c r="L95" s="1753" t="s">
        <v>1303</v>
      </c>
      <c r="M95"/>
      <c r="N95"/>
    </row>
    <row r="96" spans="1:14" ht="12.75">
      <c r="A96" s="1905" t="s">
        <v>528</v>
      </c>
      <c r="B96" s="1908" t="s">
        <v>288</v>
      </c>
      <c r="C96" s="1906"/>
      <c r="D96" s="1907">
        <v>1810</v>
      </c>
      <c r="E96" s="1907">
        <v>2650</v>
      </c>
      <c r="F96" s="1754">
        <f t="shared" si="0"/>
        <v>4460</v>
      </c>
      <c r="G96" s="1724"/>
      <c r="H96" s="1722"/>
      <c r="I96" s="1722"/>
      <c r="J96" s="1722"/>
      <c r="K96" s="1725">
        <f t="shared" si="2"/>
        <v>1810</v>
      </c>
      <c r="L96" s="1753" t="s">
        <v>1302</v>
      </c>
      <c r="M96"/>
      <c r="N96"/>
    </row>
    <row r="97" spans="1:14" ht="12.75">
      <c r="A97" s="1905" t="s">
        <v>529</v>
      </c>
      <c r="B97" s="1908" t="s">
        <v>288</v>
      </c>
      <c r="C97" s="1906"/>
      <c r="D97" s="1907">
        <v>10918</v>
      </c>
      <c r="E97" s="1907">
        <v>8190</v>
      </c>
      <c r="F97" s="1754">
        <f t="shared" si="0"/>
        <v>19108</v>
      </c>
      <c r="G97" s="1724"/>
      <c r="H97" s="1726"/>
      <c r="I97" s="1726"/>
      <c r="J97" s="1726"/>
      <c r="K97" s="1725">
        <f t="shared" si="2"/>
        <v>10918</v>
      </c>
      <c r="L97" s="1753" t="s">
        <v>1303</v>
      </c>
      <c r="M97"/>
      <c r="N97"/>
    </row>
    <row r="98" spans="1:14" ht="12.75">
      <c r="A98" s="1905" t="s">
        <v>529</v>
      </c>
      <c r="B98" s="1908" t="s">
        <v>288</v>
      </c>
      <c r="C98" s="1906"/>
      <c r="D98" s="1907">
        <v>5</v>
      </c>
      <c r="E98" s="1907">
        <v>2</v>
      </c>
      <c r="F98" s="1754">
        <f t="shared" si="0"/>
        <v>7</v>
      </c>
      <c r="G98" s="1724"/>
      <c r="H98" s="1726"/>
      <c r="I98" s="1726"/>
      <c r="J98" s="1726"/>
      <c r="K98" s="1725">
        <f t="shared" si="2"/>
        <v>5</v>
      </c>
      <c r="L98" s="1753" t="s">
        <v>1302</v>
      </c>
      <c r="M98"/>
      <c r="N98"/>
    </row>
    <row r="99" spans="1:14" ht="12.75">
      <c r="A99" s="1905" t="s">
        <v>587</v>
      </c>
      <c r="B99" s="1908" t="s">
        <v>288</v>
      </c>
      <c r="C99" s="1906"/>
      <c r="D99" s="1907">
        <v>2</v>
      </c>
      <c r="E99" s="1907">
        <v>1</v>
      </c>
      <c r="F99" s="1754">
        <f t="shared" si="0"/>
        <v>3</v>
      </c>
      <c r="G99" s="1724"/>
      <c r="H99" s="1726"/>
      <c r="I99" s="1726"/>
      <c r="J99" s="1726"/>
      <c r="K99" s="1725">
        <f t="shared" si="2"/>
        <v>2</v>
      </c>
      <c r="L99" s="1753" t="s">
        <v>1303</v>
      </c>
      <c r="M99"/>
      <c r="N99"/>
    </row>
    <row r="100" spans="1:14" ht="12.75">
      <c r="A100" s="1905" t="s">
        <v>1338</v>
      </c>
      <c r="B100" s="1908" t="s">
        <v>288</v>
      </c>
      <c r="C100" s="1906"/>
      <c r="D100" s="1907">
        <v>16946</v>
      </c>
      <c r="E100" s="1907">
        <v>17502</v>
      </c>
      <c r="F100" s="1754">
        <f t="shared" si="0"/>
        <v>34448</v>
      </c>
      <c r="G100" s="1724"/>
      <c r="H100" s="1726"/>
      <c r="I100" s="1726"/>
      <c r="J100" s="1726"/>
      <c r="K100" s="1725">
        <f t="shared" si="2"/>
        <v>16946</v>
      </c>
      <c r="L100" s="1753" t="s">
        <v>1303</v>
      </c>
      <c r="M100"/>
      <c r="N100"/>
    </row>
    <row r="101" spans="1:14" ht="12.75">
      <c r="A101" s="1753" t="s">
        <v>522</v>
      </c>
      <c r="B101" s="1753"/>
      <c r="C101" s="1754"/>
      <c r="D101" s="1754"/>
      <c r="E101" s="1754"/>
      <c r="F101" s="1754"/>
      <c r="G101" s="1724"/>
      <c r="H101" s="1722"/>
      <c r="I101" s="1722"/>
      <c r="J101" s="1722"/>
      <c r="K101" s="1725"/>
      <c r="L101" s="1753"/>
      <c r="M101"/>
      <c r="N101"/>
    </row>
    <row r="102" spans="1:14" ht="12.75">
      <c r="A102" s="1905" t="s">
        <v>150</v>
      </c>
      <c r="B102" s="1753" t="s">
        <v>285</v>
      </c>
      <c r="C102" s="1907">
        <v>241762</v>
      </c>
      <c r="D102" s="1905"/>
      <c r="E102" s="1907">
        <v>186416</v>
      </c>
      <c r="F102" s="1754">
        <f t="shared" si="0"/>
        <v>428178</v>
      </c>
      <c r="G102" s="1724"/>
      <c r="H102" s="1722"/>
      <c r="I102" s="1722"/>
      <c r="J102" s="1722"/>
      <c r="K102" s="1725"/>
      <c r="L102" s="1753"/>
      <c r="M102"/>
      <c r="N102"/>
    </row>
    <row r="103" spans="1:14" ht="12.75">
      <c r="A103" s="1905" t="s">
        <v>734</v>
      </c>
      <c r="B103" s="1753" t="s">
        <v>285</v>
      </c>
      <c r="C103" s="1907">
        <v>144626</v>
      </c>
      <c r="D103" s="1905"/>
      <c r="E103" s="1907">
        <v>128129</v>
      </c>
      <c r="F103" s="1754">
        <f t="shared" si="0"/>
        <v>272755</v>
      </c>
      <c r="G103" s="1724"/>
      <c r="H103" s="1722"/>
      <c r="I103" s="1722"/>
      <c r="J103" s="1722"/>
      <c r="K103" s="1725"/>
      <c r="L103" s="1753"/>
      <c r="M103"/>
      <c r="N103"/>
    </row>
    <row r="104" spans="1:14" ht="12.75">
      <c r="A104" s="1905" t="s">
        <v>1071</v>
      </c>
      <c r="B104" s="1753" t="s">
        <v>285</v>
      </c>
      <c r="C104" s="1907">
        <v>137804</v>
      </c>
      <c r="D104" s="1905"/>
      <c r="E104" s="1907">
        <v>181785</v>
      </c>
      <c r="F104" s="1754">
        <f t="shared" si="0"/>
        <v>319589</v>
      </c>
      <c r="G104" s="1724"/>
      <c r="H104" s="1722"/>
      <c r="I104" s="1722"/>
      <c r="J104" s="1722"/>
      <c r="K104" s="1725"/>
      <c r="L104" s="1753"/>
      <c r="M104"/>
      <c r="N104"/>
    </row>
    <row r="105" spans="1:14" ht="12.75">
      <c r="A105" s="1905" t="s">
        <v>589</v>
      </c>
      <c r="B105" s="1753" t="s">
        <v>285</v>
      </c>
      <c r="C105" s="1907">
        <v>71129</v>
      </c>
      <c r="D105" s="1905"/>
      <c r="E105" s="1907">
        <v>57533</v>
      </c>
      <c r="F105" s="1754">
        <f t="shared" si="0"/>
        <v>128662</v>
      </c>
      <c r="G105" s="1724"/>
      <c r="H105" s="1722"/>
      <c r="I105" s="1722"/>
      <c r="J105" s="1722"/>
      <c r="K105" s="1725"/>
      <c r="L105" s="1753"/>
      <c r="M105"/>
      <c r="N105"/>
    </row>
    <row r="106" spans="1:14" ht="12.75">
      <c r="A106" s="1905" t="s">
        <v>588</v>
      </c>
      <c r="B106" s="1753" t="s">
        <v>285</v>
      </c>
      <c r="C106" s="1907">
        <v>68074</v>
      </c>
      <c r="D106" s="1905"/>
      <c r="E106" s="1907">
        <v>54351</v>
      </c>
      <c r="F106" s="1754">
        <f t="shared" ref="F106:F126" si="3">SUM(C106:E106)</f>
        <v>122425</v>
      </c>
      <c r="G106" s="1724"/>
      <c r="H106" s="1722"/>
      <c r="I106" s="1722"/>
      <c r="J106" s="1722"/>
      <c r="K106" s="1725"/>
      <c r="L106" s="1753"/>
      <c r="M106"/>
      <c r="N106"/>
    </row>
    <row r="107" spans="1:14" ht="12.75">
      <c r="A107" s="1905" t="s">
        <v>151</v>
      </c>
      <c r="B107" s="1753" t="s">
        <v>285</v>
      </c>
      <c r="C107" s="1907">
        <v>1257760</v>
      </c>
      <c r="D107" s="1905"/>
      <c r="E107" s="1907">
        <v>1123522</v>
      </c>
      <c r="F107" s="1754">
        <f t="shared" si="3"/>
        <v>2381282</v>
      </c>
      <c r="G107" s="1724"/>
      <c r="H107" s="1722"/>
      <c r="I107" s="1722"/>
      <c r="J107" s="1722"/>
      <c r="K107" s="1725"/>
      <c r="L107" s="1753"/>
      <c r="M107"/>
      <c r="N107"/>
    </row>
    <row r="108" spans="1:14" ht="12.75">
      <c r="A108" s="1905" t="s">
        <v>1289</v>
      </c>
      <c r="B108" s="1753" t="s">
        <v>285</v>
      </c>
      <c r="C108" s="1907">
        <v>2655189</v>
      </c>
      <c r="D108" s="1905"/>
      <c r="E108" s="1907">
        <v>2077314</v>
      </c>
      <c r="F108" s="1754">
        <f t="shared" si="3"/>
        <v>4732503</v>
      </c>
      <c r="G108" s="1724"/>
      <c r="H108" s="1722"/>
      <c r="I108" s="1722"/>
      <c r="J108" s="1722"/>
      <c r="K108" s="1725"/>
      <c r="L108" s="1753"/>
      <c r="M108"/>
      <c r="N108"/>
    </row>
    <row r="109" spans="1:14" ht="12.75">
      <c r="A109" s="1905" t="s">
        <v>1307</v>
      </c>
      <c r="B109" s="1753" t="s">
        <v>285</v>
      </c>
      <c r="C109" s="1907">
        <v>14716</v>
      </c>
      <c r="D109" s="1905"/>
      <c r="E109" s="1907">
        <v>18800</v>
      </c>
      <c r="F109" s="1754">
        <f t="shared" si="3"/>
        <v>33516</v>
      </c>
      <c r="G109" s="1724"/>
      <c r="H109" s="1722"/>
      <c r="I109" s="1722"/>
      <c r="J109" s="1722"/>
      <c r="K109" s="1725"/>
      <c r="L109" s="1753"/>
      <c r="M109"/>
      <c r="N109"/>
    </row>
    <row r="110" spans="1:14" ht="12.75">
      <c r="A110" s="1905" t="s">
        <v>1308</v>
      </c>
      <c r="B110" s="1753" t="s">
        <v>285</v>
      </c>
      <c r="C110" s="1907">
        <v>1048867</v>
      </c>
      <c r="D110" s="1905"/>
      <c r="E110" s="1907">
        <v>1020398</v>
      </c>
      <c r="F110" s="1754">
        <f t="shared" si="3"/>
        <v>2069265</v>
      </c>
      <c r="G110" s="1724"/>
      <c r="H110" s="1722"/>
      <c r="I110" s="1722"/>
      <c r="J110" s="1722"/>
      <c r="K110" s="1725"/>
      <c r="L110" s="1753"/>
      <c r="M110"/>
      <c r="N110"/>
    </row>
    <row r="111" spans="1:14" ht="12.75">
      <c r="A111" s="1905" t="s">
        <v>1072</v>
      </c>
      <c r="B111" s="1753" t="s">
        <v>285</v>
      </c>
      <c r="C111" s="1907"/>
      <c r="D111" s="1905"/>
      <c r="E111" s="1907">
        <v>-293</v>
      </c>
      <c r="F111" s="1754">
        <f t="shared" si="3"/>
        <v>-293</v>
      </c>
      <c r="G111" s="1724"/>
      <c r="H111" s="1722"/>
      <c r="I111" s="1722"/>
      <c r="J111" s="1722"/>
      <c r="K111" s="1725"/>
      <c r="L111" s="1753"/>
      <c r="M111"/>
      <c r="N111"/>
    </row>
    <row r="112" spans="1:14" ht="12.75">
      <c r="A112" s="1905" t="s">
        <v>1309</v>
      </c>
      <c r="B112" s="1753" t="s">
        <v>285</v>
      </c>
      <c r="C112" s="1907">
        <v>914076</v>
      </c>
      <c r="D112" s="1905"/>
      <c r="E112" s="1907">
        <v>807487</v>
      </c>
      <c r="F112" s="1754">
        <f t="shared" si="3"/>
        <v>1721563</v>
      </c>
      <c r="G112" s="1724"/>
      <c r="H112" s="1722"/>
      <c r="I112" s="1722"/>
      <c r="J112" s="1722"/>
      <c r="K112" s="1725"/>
      <c r="L112" s="1753"/>
      <c r="M112"/>
      <c r="N112"/>
    </row>
    <row r="113" spans="1:14" ht="12.75">
      <c r="A113" s="1753" t="s">
        <v>522</v>
      </c>
      <c r="B113" s="1753" t="s">
        <v>522</v>
      </c>
      <c r="C113" s="1754"/>
      <c r="D113" s="1754"/>
      <c r="E113" s="1754"/>
      <c r="F113" s="1754"/>
      <c r="G113" s="1724"/>
      <c r="H113" s="1722"/>
      <c r="I113" s="1722"/>
      <c r="J113" s="1722"/>
      <c r="K113" s="1725"/>
      <c r="L113" s="1753"/>
      <c r="M113"/>
      <c r="N113"/>
    </row>
    <row r="114" spans="1:14" ht="12.75">
      <c r="A114" s="1753" t="s">
        <v>150</v>
      </c>
      <c r="B114" s="1753" t="s">
        <v>160</v>
      </c>
      <c r="C114" s="1754"/>
      <c r="D114" s="1754"/>
      <c r="E114" s="1907">
        <v>-1</v>
      </c>
      <c r="F114" s="1754">
        <f t="shared" si="3"/>
        <v>-1</v>
      </c>
      <c r="G114" s="1724"/>
      <c r="H114" s="1722"/>
      <c r="I114" s="1722"/>
      <c r="J114" s="1722"/>
      <c r="K114" s="1725"/>
      <c r="L114" s="1753"/>
      <c r="M114"/>
      <c r="N114"/>
    </row>
    <row r="115" spans="1:14" ht="12.75">
      <c r="A115" s="1753" t="s">
        <v>1289</v>
      </c>
      <c r="B115" s="1753" t="s">
        <v>160</v>
      </c>
      <c r="C115" s="1754"/>
      <c r="D115" s="1754"/>
      <c r="E115" s="1907">
        <v>-7</v>
      </c>
      <c r="F115" s="1754">
        <f t="shared" si="3"/>
        <v>-7</v>
      </c>
      <c r="G115" s="1724"/>
      <c r="H115" s="1722"/>
      <c r="I115" s="1722"/>
      <c r="J115" s="1722"/>
      <c r="K115" s="1725"/>
      <c r="L115" s="1753"/>
      <c r="M115"/>
      <c r="N115"/>
    </row>
    <row r="116" spans="1:14" ht="12.75">
      <c r="A116" s="1753" t="s">
        <v>151</v>
      </c>
      <c r="B116" s="1753" t="s">
        <v>160</v>
      </c>
      <c r="C116" s="1754"/>
      <c r="D116" s="1754"/>
      <c r="E116" s="1907">
        <v>-4</v>
      </c>
      <c r="F116" s="1754">
        <f t="shared" si="3"/>
        <v>-4</v>
      </c>
      <c r="G116" s="1724"/>
      <c r="H116" s="1722"/>
      <c r="I116" s="1722"/>
      <c r="J116" s="1722"/>
      <c r="K116" s="1725"/>
      <c r="L116" s="1753"/>
      <c r="M116"/>
      <c r="N116"/>
    </row>
    <row r="117" spans="1:14" ht="12.75">
      <c r="A117" s="1753" t="s">
        <v>1076</v>
      </c>
      <c r="B117" s="1753" t="s">
        <v>160</v>
      </c>
      <c r="C117" s="1754"/>
      <c r="D117" s="1754"/>
      <c r="E117" s="1907">
        <v>-7</v>
      </c>
      <c r="F117" s="1754">
        <f t="shared" si="3"/>
        <v>-7</v>
      </c>
      <c r="G117" s="1724"/>
      <c r="H117" s="1722"/>
      <c r="I117" s="1722"/>
      <c r="J117" s="1722"/>
      <c r="K117" s="1725"/>
      <c r="L117" s="1753"/>
      <c r="M117"/>
    </row>
    <row r="118" spans="1:14" ht="12.75">
      <c r="A118" s="1753" t="s">
        <v>525</v>
      </c>
      <c r="B118" s="1753" t="s">
        <v>160</v>
      </c>
      <c r="C118" s="1754"/>
      <c r="D118" s="1754"/>
      <c r="E118" s="1907">
        <v>-14</v>
      </c>
      <c r="F118" s="1754">
        <f t="shared" si="3"/>
        <v>-14</v>
      </c>
      <c r="G118" s="1724"/>
      <c r="H118" s="1722"/>
      <c r="I118" s="1722"/>
      <c r="J118" s="1722"/>
      <c r="K118" s="1725"/>
      <c r="L118" s="1753"/>
      <c r="M118"/>
    </row>
    <row r="119" spans="1:14" ht="12.75">
      <c r="A119" s="1753" t="s">
        <v>1306</v>
      </c>
      <c r="B119" s="1753" t="s">
        <v>160</v>
      </c>
      <c r="C119" s="1754"/>
      <c r="D119" s="1754"/>
      <c r="E119" s="1907">
        <v>-1</v>
      </c>
      <c r="F119" s="1754">
        <f t="shared" si="3"/>
        <v>-1</v>
      </c>
      <c r="G119" s="1724"/>
      <c r="H119" s="1722"/>
      <c r="I119" s="1722"/>
      <c r="J119" s="1722"/>
      <c r="K119" s="1725"/>
      <c r="L119" s="1753"/>
      <c r="M119"/>
    </row>
    <row r="120" spans="1:14" ht="12.75">
      <c r="A120" s="1753" t="s">
        <v>291</v>
      </c>
      <c r="B120" s="1753" t="s">
        <v>160</v>
      </c>
      <c r="C120" s="1754"/>
      <c r="D120" s="1754"/>
      <c r="E120" s="1907">
        <v>-26</v>
      </c>
      <c r="F120" s="1754">
        <f t="shared" si="3"/>
        <v>-26</v>
      </c>
      <c r="G120" s="1724"/>
      <c r="H120" s="1722"/>
      <c r="I120" s="1722"/>
      <c r="J120" s="1722"/>
      <c r="K120" s="1725"/>
      <c r="L120" s="1753"/>
      <c r="M120"/>
    </row>
    <row r="121" spans="1:14" ht="12.75">
      <c r="A121" s="1753" t="s">
        <v>147</v>
      </c>
      <c r="B121" s="1753" t="s">
        <v>160</v>
      </c>
      <c r="C121" s="1754"/>
      <c r="D121" s="1754"/>
      <c r="E121" s="1907">
        <v>-1</v>
      </c>
      <c r="F121" s="1754">
        <f t="shared" si="3"/>
        <v>-1</v>
      </c>
      <c r="G121" s="1724"/>
      <c r="H121" s="1722"/>
      <c r="I121" s="1722"/>
      <c r="J121" s="1722"/>
      <c r="K121" s="1725"/>
      <c r="L121" s="1753"/>
      <c r="M121"/>
    </row>
    <row r="122" spans="1:14" ht="12.75">
      <c r="A122" s="1753" t="s">
        <v>1072</v>
      </c>
      <c r="B122" s="1753" t="s">
        <v>160</v>
      </c>
      <c r="C122" s="1754"/>
      <c r="D122" s="1754"/>
      <c r="E122" s="1907">
        <v>-3</v>
      </c>
      <c r="F122" s="1754">
        <f t="shared" si="3"/>
        <v>-3</v>
      </c>
      <c r="G122" s="1724"/>
      <c r="H122" s="1722"/>
      <c r="I122" s="1722"/>
      <c r="J122" s="1722"/>
      <c r="K122" s="1725"/>
      <c r="L122" s="1753"/>
      <c r="M122"/>
    </row>
    <row r="123" spans="1:14" ht="12.75">
      <c r="A123" s="1753" t="s">
        <v>527</v>
      </c>
      <c r="B123" s="1753" t="s">
        <v>160</v>
      </c>
      <c r="C123" s="1754"/>
      <c r="D123" s="1754"/>
      <c r="E123" s="1907">
        <v>-1</v>
      </c>
      <c r="F123" s="1754">
        <f t="shared" si="3"/>
        <v>-1</v>
      </c>
      <c r="G123" s="1724"/>
      <c r="H123" s="1722"/>
      <c r="I123" s="1722"/>
      <c r="J123" s="1722"/>
      <c r="K123" s="1725"/>
      <c r="L123" s="1753"/>
      <c r="M123"/>
    </row>
    <row r="124" spans="1:14" ht="12.75">
      <c r="A124" s="1753" t="s">
        <v>528</v>
      </c>
      <c r="B124" s="1753" t="s">
        <v>160</v>
      </c>
      <c r="C124" s="1754"/>
      <c r="D124" s="1754"/>
      <c r="E124" s="1907">
        <v>-1</v>
      </c>
      <c r="F124" s="1754">
        <f t="shared" si="3"/>
        <v>-1</v>
      </c>
      <c r="G124" s="1724"/>
      <c r="H124" s="1722"/>
      <c r="I124" s="1722"/>
      <c r="J124" s="1722"/>
      <c r="K124" s="1725"/>
      <c r="L124" s="1753"/>
      <c r="M124"/>
    </row>
    <row r="125" spans="1:14" ht="12.75">
      <c r="A125" s="1753" t="s">
        <v>529</v>
      </c>
      <c r="B125" s="1753" t="s">
        <v>160</v>
      </c>
      <c r="C125" s="1754"/>
      <c r="D125" s="1754"/>
      <c r="E125" s="1907">
        <v>-6</v>
      </c>
      <c r="F125" s="1754">
        <f t="shared" si="3"/>
        <v>-6</v>
      </c>
      <c r="G125" s="1724"/>
      <c r="H125" s="1722"/>
      <c r="I125" s="1722"/>
      <c r="J125" s="1722"/>
      <c r="K125" s="1725"/>
      <c r="L125" s="1753"/>
      <c r="M125"/>
    </row>
    <row r="126" spans="1:14" ht="12.75">
      <c r="A126" s="1753" t="s">
        <v>152</v>
      </c>
      <c r="B126" s="1753" t="s">
        <v>160</v>
      </c>
      <c r="C126" s="1754"/>
      <c r="D126" s="1754"/>
      <c r="E126" s="1907">
        <v>-2</v>
      </c>
      <c r="F126" s="1754">
        <f t="shared" si="3"/>
        <v>-2</v>
      </c>
      <c r="G126" s="1724"/>
      <c r="H126" s="1722"/>
      <c r="I126" s="1722"/>
      <c r="J126" s="1722"/>
      <c r="K126" s="1725"/>
      <c r="L126" s="1753"/>
      <c r="M126"/>
    </row>
    <row r="127" spans="1:14" ht="12.75">
      <c r="A127" s="1753" t="s">
        <v>522</v>
      </c>
      <c r="B127" s="1753"/>
      <c r="C127" s="1754"/>
      <c r="D127" s="1754"/>
      <c r="E127" s="1754"/>
      <c r="F127" s="1754"/>
      <c r="G127" s="1724"/>
      <c r="H127" s="1722"/>
      <c r="I127" s="1722"/>
      <c r="J127" s="1722"/>
      <c r="K127" s="1725"/>
      <c r="L127" s="1753"/>
      <c r="M127"/>
    </row>
    <row r="128" spans="1:14" ht="13.5" thickBot="1">
      <c r="A128" s="1110"/>
      <c r="B128" s="1566"/>
      <c r="C128" s="1522"/>
      <c r="D128" s="1522"/>
      <c r="E128" s="1522"/>
      <c r="F128" s="1522"/>
      <c r="G128" s="1523"/>
      <c r="H128" s="1523"/>
      <c r="I128" s="1523"/>
      <c r="J128" s="1523"/>
      <c r="K128" s="1667"/>
      <c r="L128" s="2"/>
      <c r="M128"/>
    </row>
    <row r="129" spans="1:12">
      <c r="A129" s="1524" t="s">
        <v>851</v>
      </c>
      <c r="B129" s="1525"/>
      <c r="C129" s="1548">
        <f>SUM(C39:C128)</f>
        <v>18730680</v>
      </c>
      <c r="D129" s="1548">
        <f>SUM(D39:D128)</f>
        <v>1728253</v>
      </c>
      <c r="E129" s="1548">
        <f>SUM(E39:E128)</f>
        <v>15770742</v>
      </c>
      <c r="F129" s="1548">
        <f>SUM(F39:F128)</f>
        <v>36229675</v>
      </c>
      <c r="G129" s="1548">
        <v>0</v>
      </c>
      <c r="H129" s="1548">
        <v>0</v>
      </c>
      <c r="I129" s="1548">
        <v>0</v>
      </c>
      <c r="J129" s="1548">
        <v>0</v>
      </c>
      <c r="K129" s="1549">
        <f>SUM(K39:K128)</f>
        <v>2066085</v>
      </c>
      <c r="L129" s="1519"/>
    </row>
    <row r="130" spans="1:12">
      <c r="A130" s="1516" t="s">
        <v>161</v>
      </c>
      <c r="B130" s="1517"/>
      <c r="C130" s="1517"/>
      <c r="D130" s="1517"/>
      <c r="E130" s="1517"/>
      <c r="F130" s="1521">
        <v>36229675</v>
      </c>
      <c r="G130" s="1517"/>
      <c r="H130" s="1526"/>
      <c r="I130" s="1526"/>
      <c r="J130" s="1526"/>
      <c r="K130" s="1518"/>
      <c r="L130" s="1519"/>
    </row>
    <row r="131" spans="1:12">
      <c r="A131" s="1516" t="s">
        <v>294</v>
      </c>
      <c r="B131" s="1517"/>
      <c r="C131" s="1517"/>
      <c r="D131" s="1517"/>
      <c r="E131" s="1517"/>
      <c r="F131" s="645">
        <f>F129-F130</f>
        <v>0</v>
      </c>
      <c r="G131" s="1517"/>
      <c r="H131" s="1526"/>
      <c r="I131" s="1526"/>
      <c r="J131" s="1526"/>
      <c r="K131" s="1518"/>
      <c r="L131" s="1519"/>
    </row>
    <row r="132" spans="1:12">
      <c r="A132" s="1516" t="s">
        <v>849</v>
      </c>
      <c r="B132" s="1526"/>
      <c r="C132" s="1526"/>
      <c r="D132" s="1526"/>
      <c r="E132" s="1526"/>
      <c r="F132" s="1526"/>
      <c r="G132" s="1526"/>
      <c r="H132" s="1526"/>
      <c r="I132" s="1526"/>
      <c r="J132" s="1526"/>
      <c r="K132" s="1527">
        <v>0</v>
      </c>
      <c r="L132" s="1519"/>
    </row>
    <row r="133" spans="1:12">
      <c r="A133" s="1516" t="s">
        <v>204</v>
      </c>
      <c r="B133" s="1526"/>
      <c r="C133" s="1526"/>
      <c r="D133" s="1526"/>
      <c r="E133" s="1526"/>
      <c r="F133" s="1526"/>
      <c r="G133" s="1526"/>
      <c r="H133" s="1526"/>
      <c r="I133" s="1526"/>
      <c r="J133" s="1526"/>
      <c r="K133" s="1520">
        <f>K98+K96+K94+K91+K85+K83+K80+K78+K76+K71+K70+K65+K64</f>
        <v>1028107</v>
      </c>
    </row>
    <row r="134" spans="1:12">
      <c r="A134" s="1516" t="s">
        <v>205</v>
      </c>
      <c r="B134" s="1526"/>
      <c r="C134" s="1526"/>
      <c r="D134" s="1526"/>
      <c r="E134" s="1526"/>
      <c r="F134" s="1526"/>
      <c r="G134" s="1526"/>
      <c r="H134" s="1526"/>
      <c r="I134" s="1526"/>
      <c r="J134" s="1526"/>
      <c r="K134" s="1527">
        <v>0</v>
      </c>
    </row>
    <row r="135" spans="1:12">
      <c r="A135" s="1516" t="s">
        <v>206</v>
      </c>
      <c r="B135" s="1526"/>
      <c r="C135" s="1526"/>
      <c r="D135" s="1526"/>
      <c r="E135" s="1526"/>
      <c r="F135" s="1526"/>
      <c r="G135" s="1526"/>
      <c r="H135" s="1526"/>
      <c r="I135" s="1526"/>
      <c r="J135" s="1526"/>
      <c r="K135" s="1527">
        <f>K100+K99+K97+K95+K93+K92+K90+K89+K88+K87+K86+K84+K82+K81+K79+K77+K75+K74+K69+K68+K67+K66+K56</f>
        <v>1037978</v>
      </c>
    </row>
    <row r="136" spans="1:12" ht="12" thickBot="1">
      <c r="A136" s="1528" t="s">
        <v>713</v>
      </c>
      <c r="B136" s="1566"/>
      <c r="C136" s="1566"/>
      <c r="D136" s="1566"/>
      <c r="E136" s="1566"/>
      <c r="F136" s="1566"/>
      <c r="G136" s="1566"/>
      <c r="H136" s="1566"/>
      <c r="I136" s="1566"/>
      <c r="J136" s="1566"/>
      <c r="K136" s="1529">
        <f>SUM(K132:K135)</f>
        <v>2066085</v>
      </c>
      <c r="L136" s="1519"/>
    </row>
    <row r="138" spans="1:12">
      <c r="K138" s="647"/>
    </row>
    <row r="139" spans="1:12">
      <c r="I139" s="1565"/>
      <c r="K139" s="647"/>
    </row>
    <row r="140" spans="1:12">
      <c r="I140" s="1565"/>
      <c r="K140" s="647"/>
    </row>
    <row r="141" spans="1:12">
      <c r="I141" s="1666"/>
      <c r="K141" s="647"/>
    </row>
    <row r="142" spans="1:12">
      <c r="I142" s="647"/>
      <c r="K142" s="647"/>
    </row>
    <row r="143" spans="1:12">
      <c r="I143" s="1666"/>
      <c r="K143" s="647"/>
    </row>
    <row r="147" spans="1:12" ht="12.75">
      <c r="A147" s="1753"/>
      <c r="B147" s="1753"/>
      <c r="C147" s="1754"/>
      <c r="D147" s="1754"/>
      <c r="E147" s="1754"/>
      <c r="F147" s="1754"/>
      <c r="G147" s="1724"/>
      <c r="H147" s="1726"/>
      <c r="I147" s="1726"/>
      <c r="J147" s="1726"/>
      <c r="K147" s="1721"/>
      <c r="L147" s="2"/>
    </row>
    <row r="148" spans="1:12" ht="12.75">
      <c r="A148" s="1753"/>
      <c r="B148" s="1753"/>
      <c r="C148" s="1754"/>
      <c r="D148" s="1754"/>
      <c r="E148" s="1754"/>
      <c r="F148" s="1754"/>
      <c r="G148" s="1724"/>
      <c r="H148" s="1722"/>
      <c r="I148" s="1722"/>
      <c r="J148" s="1722"/>
      <c r="K148" s="1725"/>
      <c r="L148" s="2"/>
    </row>
    <row r="149" spans="1:12" ht="12.75">
      <c r="A149" s="1753"/>
      <c r="B149" s="1753"/>
      <c r="C149" s="1754"/>
      <c r="D149" s="1754"/>
      <c r="E149" s="1754"/>
      <c r="F149" s="1754"/>
      <c r="G149" s="1724"/>
      <c r="H149" s="1726"/>
      <c r="I149" s="1726"/>
      <c r="J149" s="1726"/>
      <c r="K149" s="1721"/>
      <c r="L149" s="2"/>
    </row>
    <row r="150" spans="1:12" ht="12.75">
      <c r="A150" s="1753"/>
      <c r="B150" s="1753"/>
      <c r="C150" s="1754"/>
      <c r="D150" s="1754"/>
      <c r="E150" s="1754"/>
      <c r="F150" s="1754"/>
      <c r="G150" s="1724"/>
      <c r="H150" s="1722"/>
      <c r="I150" s="1722"/>
      <c r="J150" s="1722"/>
      <c r="K150" s="1725"/>
      <c r="L150" s="2"/>
    </row>
    <row r="151" spans="1:12" ht="12.75">
      <c r="A151" s="1753"/>
      <c r="B151" s="1753"/>
      <c r="C151" s="1754"/>
      <c r="D151" s="1754"/>
      <c r="E151" s="1754"/>
      <c r="F151" s="1754"/>
      <c r="G151" s="1724"/>
      <c r="H151" s="1722"/>
      <c r="I151" s="1722"/>
      <c r="J151" s="1722"/>
      <c r="K151" s="1721"/>
      <c r="L151" s="2"/>
    </row>
    <row r="152" spans="1:12" ht="12.75">
      <c r="A152" s="1753"/>
      <c r="B152" s="1753"/>
      <c r="C152" s="1754"/>
      <c r="D152" s="1754"/>
      <c r="E152" s="1754"/>
      <c r="F152" s="1754"/>
      <c r="G152" s="1724"/>
      <c r="H152" s="1722"/>
      <c r="I152" s="1722"/>
      <c r="J152" s="1722"/>
      <c r="K152" s="1725"/>
      <c r="L152" s="2"/>
    </row>
    <row r="153" spans="1:12" ht="12.75">
      <c r="A153" s="1753"/>
      <c r="B153" s="1753"/>
      <c r="C153" s="1754"/>
      <c r="D153" s="1754"/>
      <c r="E153" s="1754"/>
      <c r="F153" s="1754"/>
      <c r="G153" s="1724"/>
      <c r="H153" s="1726"/>
      <c r="I153" s="1726"/>
      <c r="J153" s="1726"/>
      <c r="K153" s="1725"/>
      <c r="L153" s="2"/>
    </row>
    <row r="154" spans="1:12" ht="12.75">
      <c r="A154" s="1753"/>
      <c r="B154" s="1753"/>
      <c r="C154" s="1754"/>
      <c r="D154" s="1754"/>
      <c r="E154" s="1754"/>
      <c r="F154" s="1754"/>
      <c r="G154" s="1724"/>
      <c r="H154" s="1726"/>
      <c r="I154" s="1726"/>
      <c r="J154" s="1726"/>
      <c r="K154" s="1723"/>
      <c r="L154" s="2"/>
    </row>
    <row r="155" spans="1:12" ht="12.75">
      <c r="A155" s="1753"/>
      <c r="B155" s="1753"/>
      <c r="C155" s="1754"/>
      <c r="D155" s="1754"/>
      <c r="E155" s="1754"/>
      <c r="F155" s="1754"/>
      <c r="G155" s="1724"/>
      <c r="H155" s="1722"/>
      <c r="I155" s="1722"/>
      <c r="J155" s="1722"/>
      <c r="K155" s="1725"/>
      <c r="L155" s="2"/>
    </row>
    <row r="156" spans="1:12" ht="12.75">
      <c r="A156" s="1753"/>
      <c r="B156" s="1753"/>
      <c r="C156" s="1754"/>
      <c r="D156" s="1754"/>
      <c r="E156" s="1754"/>
      <c r="F156" s="1754"/>
      <c r="G156" s="1724"/>
      <c r="H156" s="1722"/>
      <c r="I156" s="1722"/>
      <c r="J156" s="1722"/>
      <c r="K156" s="1725"/>
      <c r="L156" s="2"/>
    </row>
    <row r="157" spans="1:12" ht="12.75">
      <c r="A157" s="1753"/>
      <c r="B157" s="1753"/>
      <c r="C157" s="1754"/>
      <c r="D157" s="1754"/>
      <c r="E157" s="1754"/>
      <c r="F157" s="1754"/>
      <c r="G157" s="1724"/>
      <c r="H157" s="1722"/>
      <c r="I157" s="1722"/>
      <c r="J157" s="1722"/>
      <c r="K157" s="1725"/>
      <c r="L157" s="2"/>
    </row>
    <row r="158" spans="1:12" ht="12.75">
      <c r="A158" s="1753"/>
      <c r="B158" s="1753"/>
      <c r="C158" s="1754"/>
      <c r="D158" s="1754"/>
      <c r="E158" s="1754"/>
      <c r="F158" s="1754"/>
      <c r="G158" s="1724"/>
      <c r="H158" s="1726"/>
      <c r="I158" s="1726"/>
      <c r="J158" s="1726"/>
      <c r="K158" s="1725"/>
      <c r="L158" s="2"/>
    </row>
    <row r="159" spans="1:12">
      <c r="A159" s="1753"/>
      <c r="B159" s="1753"/>
      <c r="C159" s="1754"/>
      <c r="D159" s="1754"/>
      <c r="E159" s="1754"/>
      <c r="F159" s="1754"/>
      <c r="G159" s="1724"/>
      <c r="H159" s="1722"/>
      <c r="I159" s="1722"/>
      <c r="J159" s="1722"/>
      <c r="K159" s="1725"/>
      <c r="L159" s="1753"/>
    </row>
    <row r="160" spans="1:12">
      <c r="A160" s="1753"/>
      <c r="B160" s="1753"/>
      <c r="C160" s="1754"/>
      <c r="D160" s="1754"/>
      <c r="E160" s="1754"/>
      <c r="F160" s="1754"/>
      <c r="G160" s="1724"/>
      <c r="H160" s="1726"/>
      <c r="I160" s="1726"/>
      <c r="J160" s="1726"/>
      <c r="K160" s="1725"/>
      <c r="L160" s="1753"/>
    </row>
    <row r="161" spans="1:12">
      <c r="A161" s="1753"/>
      <c r="B161" s="1753"/>
      <c r="C161" s="1754"/>
      <c r="D161" s="1754"/>
      <c r="E161" s="1754"/>
      <c r="F161" s="1754"/>
      <c r="G161" s="1724"/>
      <c r="H161" s="1722"/>
      <c r="I161" s="1722"/>
      <c r="J161" s="1793"/>
      <c r="K161" s="1725"/>
      <c r="L161" s="1753"/>
    </row>
    <row r="162" spans="1:12">
      <c r="A162" s="1753"/>
      <c r="B162" s="1753"/>
      <c r="C162" s="1754"/>
      <c r="D162" s="1754"/>
      <c r="E162" s="1754"/>
      <c r="F162" s="1754"/>
      <c r="G162" s="1724"/>
      <c r="H162" s="1722"/>
      <c r="I162" s="1722"/>
      <c r="J162" s="1722"/>
      <c r="K162" s="1725"/>
      <c r="L162" s="1753"/>
    </row>
    <row r="163" spans="1:12">
      <c r="A163" s="1753"/>
      <c r="B163" s="1753"/>
      <c r="C163" s="1754"/>
      <c r="D163" s="1754"/>
      <c r="E163" s="1754"/>
      <c r="F163" s="1754"/>
      <c r="G163" s="1724"/>
      <c r="H163" s="1722"/>
      <c r="I163" s="1722"/>
      <c r="J163" s="1722"/>
      <c r="K163" s="1725"/>
      <c r="L163" s="1753"/>
    </row>
    <row r="164" spans="1:12">
      <c r="A164" s="1753"/>
      <c r="B164" s="1753"/>
      <c r="C164" s="1754"/>
      <c r="D164" s="1754"/>
      <c r="E164" s="1754"/>
      <c r="F164" s="1754"/>
      <c r="G164" s="1724"/>
      <c r="H164" s="1722"/>
      <c r="I164" s="1722"/>
      <c r="J164" s="1722"/>
      <c r="K164" s="1725"/>
      <c r="L164" s="1753"/>
    </row>
    <row r="165" spans="1:12">
      <c r="A165" s="1753"/>
      <c r="B165" s="1753"/>
      <c r="C165" s="1754"/>
      <c r="D165" s="1754"/>
      <c r="E165" s="1754"/>
      <c r="F165" s="1754"/>
      <c r="G165" s="1724"/>
      <c r="H165" s="1722"/>
      <c r="I165" s="1722"/>
      <c r="J165" s="1722"/>
      <c r="K165" s="1725"/>
      <c r="L165" s="1747"/>
    </row>
    <row r="166" spans="1:12" ht="12.75">
      <c r="A166" s="1753"/>
      <c r="B166" s="1753"/>
      <c r="C166" s="1754"/>
      <c r="D166" s="1754"/>
      <c r="E166" s="1754"/>
      <c r="F166" s="1754"/>
      <c r="G166" s="1724"/>
      <c r="H166" s="1722"/>
      <c r="I166" s="1722"/>
      <c r="J166" s="1722"/>
      <c r="K166" s="1725"/>
      <c r="L166" s="2"/>
    </row>
    <row r="167" spans="1:12">
      <c r="A167" s="1753"/>
      <c r="B167" s="1753"/>
      <c r="C167" s="1754"/>
      <c r="D167" s="1754"/>
      <c r="E167" s="1754"/>
      <c r="F167" s="1754"/>
      <c r="G167" s="1724"/>
      <c r="H167" s="1722"/>
      <c r="I167" s="1722"/>
      <c r="J167" s="1722"/>
      <c r="K167" s="1815"/>
      <c r="L167" s="1753"/>
    </row>
    <row r="168" spans="1:12">
      <c r="A168" s="1753"/>
      <c r="B168" s="1753"/>
      <c r="C168" s="1754"/>
      <c r="D168" s="1754"/>
      <c r="E168" s="1754"/>
      <c r="F168" s="1754"/>
      <c r="G168" s="1724"/>
      <c r="H168" s="1722"/>
      <c r="I168" s="1722"/>
      <c r="J168" s="1722"/>
      <c r="K168" s="1815"/>
      <c r="L168" s="1753"/>
    </row>
    <row r="169" spans="1:12">
      <c r="A169" s="1753"/>
      <c r="B169" s="1753"/>
      <c r="C169" s="1754"/>
      <c r="D169" s="1754"/>
      <c r="E169" s="1754"/>
      <c r="F169" s="1754"/>
      <c r="G169" s="1724"/>
      <c r="H169" s="1722"/>
      <c r="I169" s="1722"/>
      <c r="J169" s="1722"/>
      <c r="K169" s="1815"/>
      <c r="L169" s="1753"/>
    </row>
    <row r="170" spans="1:12">
      <c r="A170" s="1753"/>
      <c r="B170" s="1753"/>
      <c r="C170" s="1754"/>
      <c r="D170" s="1754"/>
      <c r="E170" s="1754"/>
      <c r="F170" s="1754"/>
      <c r="G170" s="1724"/>
      <c r="H170" s="1722"/>
      <c r="I170" s="1722"/>
      <c r="J170" s="1722"/>
      <c r="K170" s="1815"/>
      <c r="L170" s="1753"/>
    </row>
    <row r="171" spans="1:12">
      <c r="A171" s="1753"/>
      <c r="B171" s="1753"/>
      <c r="C171" s="1754"/>
      <c r="D171" s="1754"/>
      <c r="E171" s="1754"/>
      <c r="F171" s="1754"/>
      <c r="G171" s="1724"/>
      <c r="H171" s="1722"/>
      <c r="I171" s="1722"/>
      <c r="J171" s="1722"/>
      <c r="K171" s="1815"/>
      <c r="L171" s="1753"/>
    </row>
    <row r="172" spans="1:12">
      <c r="A172" s="1753"/>
      <c r="B172" s="1753"/>
      <c r="C172" s="1754"/>
      <c r="D172" s="1754"/>
      <c r="E172" s="1754"/>
      <c r="F172" s="1754"/>
      <c r="G172" s="1724"/>
      <c r="H172" s="1722"/>
      <c r="I172" s="1722"/>
      <c r="J172" s="1722"/>
      <c r="K172" s="1815"/>
      <c r="L172" s="1753"/>
    </row>
    <row r="173" spans="1:12">
      <c r="A173" s="1753"/>
      <c r="B173" s="1753"/>
      <c r="C173" s="1754"/>
      <c r="D173" s="1754"/>
      <c r="E173" s="1754"/>
      <c r="F173" s="1754"/>
      <c r="G173" s="1724"/>
      <c r="H173" s="1722"/>
      <c r="I173" s="1722"/>
      <c r="J173" s="1722"/>
      <c r="K173" s="1815"/>
      <c r="L173" s="1753"/>
    </row>
    <row r="174" spans="1:12">
      <c r="A174" s="1753"/>
      <c r="B174" s="1753"/>
      <c r="C174" s="1754"/>
      <c r="D174" s="1754"/>
      <c r="E174" s="1754"/>
      <c r="F174" s="1754"/>
      <c r="G174" s="1724"/>
      <c r="H174" s="1722"/>
      <c r="I174" s="1722"/>
      <c r="J174" s="1722"/>
      <c r="K174" s="1725"/>
      <c r="L174" s="1753"/>
    </row>
    <row r="175" spans="1:12">
      <c r="A175" s="1753"/>
      <c r="B175" s="1753"/>
      <c r="C175" s="1754"/>
      <c r="D175" s="1754"/>
      <c r="E175" s="1754"/>
      <c r="F175" s="1754"/>
      <c r="G175" s="1724"/>
      <c r="H175" s="1722"/>
      <c r="I175" s="1722"/>
      <c r="J175" s="1722"/>
      <c r="K175" s="1725"/>
      <c r="L175" s="1753"/>
    </row>
    <row r="176" spans="1:12">
      <c r="A176" s="1753"/>
      <c r="B176" s="1753"/>
      <c r="C176" s="1754"/>
      <c r="D176" s="1754"/>
      <c r="E176" s="1754"/>
      <c r="F176" s="1754"/>
      <c r="G176" s="1724"/>
      <c r="H176" s="1722"/>
      <c r="I176" s="1722"/>
      <c r="J176" s="1722"/>
      <c r="K176" s="1725"/>
      <c r="L176" s="1753"/>
    </row>
    <row r="177" spans="1:12">
      <c r="A177" s="1753"/>
      <c r="B177" s="1753"/>
      <c r="C177" s="1754"/>
      <c r="D177" s="1754"/>
      <c r="E177" s="1754"/>
      <c r="F177" s="1754"/>
      <c r="G177" s="1724"/>
      <c r="H177" s="1722"/>
      <c r="I177" s="1722"/>
      <c r="J177" s="1722"/>
      <c r="K177" s="1725"/>
      <c r="L177" s="1753"/>
    </row>
    <row r="178" spans="1:12">
      <c r="A178" s="1753"/>
      <c r="B178" s="1753"/>
      <c r="C178" s="1754"/>
      <c r="D178" s="1754"/>
      <c r="E178" s="1754"/>
      <c r="F178" s="1754"/>
      <c r="G178" s="1724"/>
      <c r="H178" s="1722"/>
      <c r="I178" s="1722"/>
      <c r="J178" s="1722"/>
      <c r="K178" s="1725"/>
      <c r="L178" s="1753"/>
    </row>
    <row r="179" spans="1:12">
      <c r="A179" s="1753"/>
      <c r="B179" s="1753"/>
      <c r="C179" s="1754"/>
      <c r="D179" s="1754"/>
      <c r="E179" s="1754"/>
      <c r="F179" s="1754"/>
      <c r="G179" s="1724"/>
      <c r="H179" s="1722"/>
      <c r="I179" s="1722"/>
      <c r="J179" s="1722"/>
      <c r="K179" s="1725"/>
      <c r="L179" s="1753"/>
    </row>
    <row r="180" spans="1:12">
      <c r="A180" s="1753"/>
      <c r="B180" s="1753"/>
      <c r="C180" s="1754"/>
      <c r="D180" s="1754"/>
      <c r="E180" s="1754"/>
      <c r="F180" s="1754"/>
      <c r="G180" s="1724"/>
      <c r="H180" s="1726"/>
      <c r="I180" s="1726"/>
      <c r="J180" s="1726"/>
      <c r="K180" s="1725"/>
      <c r="L180" s="1753"/>
    </row>
    <row r="181" spans="1:12">
      <c r="A181" s="1753"/>
      <c r="B181" s="1753"/>
      <c r="C181" s="1754"/>
      <c r="D181" s="1754"/>
      <c r="E181" s="1754"/>
      <c r="F181" s="1754"/>
      <c r="G181" s="1724"/>
      <c r="H181" s="1726"/>
      <c r="I181" s="1726"/>
      <c r="J181" s="1726"/>
      <c r="K181" s="1725"/>
      <c r="L181" s="1753"/>
    </row>
    <row r="182" spans="1:12">
      <c r="A182" s="1753"/>
      <c r="B182" s="1753"/>
      <c r="C182" s="1754"/>
      <c r="D182" s="1754"/>
      <c r="E182" s="1754"/>
      <c r="F182" s="1754"/>
      <c r="G182" s="1724"/>
      <c r="H182" s="1722"/>
      <c r="I182" s="1722"/>
      <c r="J182" s="1722"/>
      <c r="K182" s="1725"/>
      <c r="L182" s="1753"/>
    </row>
    <row r="183" spans="1:12">
      <c r="A183" s="1753"/>
      <c r="B183" s="1753"/>
      <c r="C183" s="1754"/>
      <c r="D183" s="1754"/>
      <c r="E183" s="1754"/>
      <c r="F183" s="1754"/>
      <c r="G183" s="1724"/>
      <c r="H183" s="1722"/>
      <c r="I183" s="1722"/>
      <c r="J183" s="1722"/>
      <c r="K183" s="1725"/>
      <c r="L183" s="1753"/>
    </row>
    <row r="184" spans="1:12">
      <c r="A184" s="1753"/>
      <c r="B184" s="1753"/>
      <c r="C184" s="1754"/>
      <c r="D184" s="1754"/>
      <c r="E184" s="1754"/>
      <c r="F184" s="1754"/>
      <c r="G184" s="1724"/>
      <c r="H184" s="1722"/>
      <c r="I184" s="1722"/>
      <c r="J184" s="1722"/>
      <c r="K184" s="1725"/>
      <c r="L184" s="1753"/>
    </row>
    <row r="185" spans="1:12">
      <c r="A185" s="1753"/>
      <c r="B185" s="1753"/>
      <c r="C185" s="1754"/>
      <c r="D185" s="1754"/>
      <c r="E185" s="1754"/>
      <c r="F185" s="1754"/>
      <c r="G185" s="1724"/>
      <c r="H185" s="1722"/>
      <c r="I185" s="1722"/>
      <c r="J185" s="1722"/>
      <c r="K185" s="1725"/>
      <c r="L185" s="1753"/>
    </row>
    <row r="186" spans="1:12">
      <c r="A186" s="1753"/>
      <c r="B186" s="1753"/>
      <c r="C186" s="1754"/>
      <c r="D186" s="1754"/>
      <c r="E186" s="1754"/>
      <c r="F186" s="1754"/>
      <c r="G186" s="1724"/>
      <c r="H186" s="1722"/>
      <c r="I186" s="1722"/>
      <c r="J186" s="1722"/>
      <c r="K186" s="1725"/>
      <c r="L186" s="1753"/>
    </row>
    <row r="187" spans="1:12">
      <c r="A187" s="1753"/>
      <c r="B187" s="1753"/>
      <c r="C187" s="1754"/>
      <c r="D187" s="1754"/>
      <c r="E187" s="1754"/>
      <c r="F187" s="1754"/>
      <c r="G187" s="1724"/>
      <c r="H187" s="1722"/>
      <c r="I187" s="1722"/>
      <c r="J187" s="1722"/>
      <c r="K187" s="1725"/>
      <c r="L187" s="1753"/>
    </row>
    <row r="188" spans="1:12">
      <c r="A188" s="1753"/>
      <c r="B188" s="1753"/>
      <c r="C188" s="1754"/>
      <c r="D188" s="1754"/>
      <c r="E188" s="1754"/>
      <c r="F188" s="1754"/>
      <c r="G188" s="1724"/>
      <c r="H188" s="1722"/>
      <c r="I188" s="1722"/>
      <c r="J188" s="1722"/>
      <c r="K188" s="1725"/>
      <c r="L188" s="1753"/>
    </row>
    <row r="189" spans="1:12">
      <c r="A189" s="1753"/>
      <c r="B189" s="1753"/>
      <c r="C189" s="1754"/>
      <c r="D189" s="1754"/>
      <c r="E189" s="1754"/>
      <c r="F189" s="1754"/>
      <c r="G189" s="1724"/>
      <c r="H189" s="1722"/>
      <c r="I189" s="1722"/>
      <c r="J189" s="1722"/>
      <c r="K189" s="1725"/>
      <c r="L189" s="1753"/>
    </row>
    <row r="190" spans="1:12">
      <c r="A190" s="1753"/>
      <c r="B190" s="1753"/>
      <c r="C190" s="1754"/>
      <c r="D190" s="1754"/>
      <c r="E190" s="1754"/>
      <c r="F190" s="1754"/>
      <c r="G190" s="1724"/>
      <c r="H190" s="1722"/>
      <c r="I190" s="1722"/>
      <c r="J190" s="1722"/>
      <c r="K190" s="1725"/>
      <c r="L190" s="1753"/>
    </row>
    <row r="191" spans="1:12">
      <c r="A191" s="1753"/>
      <c r="B191" s="1753"/>
      <c r="C191" s="1754"/>
      <c r="D191" s="1754"/>
      <c r="E191" s="1754"/>
      <c r="F191" s="1754"/>
      <c r="G191" s="1724"/>
      <c r="H191" s="1722"/>
      <c r="I191" s="1722"/>
      <c r="J191" s="1722"/>
      <c r="K191" s="1725"/>
      <c r="L191" s="1753"/>
    </row>
    <row r="192" spans="1:12">
      <c r="A192" s="1753"/>
      <c r="B192" s="1753"/>
      <c r="C192" s="1754"/>
      <c r="D192" s="1754"/>
      <c r="E192" s="1754"/>
      <c r="F192" s="1754"/>
      <c r="G192" s="1724"/>
      <c r="H192" s="1726"/>
      <c r="I192" s="1726"/>
      <c r="J192" s="1726"/>
      <c r="K192" s="1725"/>
      <c r="L192" s="1753"/>
    </row>
    <row r="193" spans="1:12">
      <c r="A193" s="1753"/>
      <c r="B193" s="1753"/>
      <c r="C193" s="1754"/>
      <c r="D193" s="1754"/>
      <c r="E193" s="1754"/>
      <c r="F193" s="1754"/>
      <c r="G193" s="1724"/>
      <c r="H193" s="1726"/>
      <c r="I193" s="1726"/>
      <c r="J193" s="1726"/>
      <c r="K193" s="1725"/>
      <c r="L193" s="1753"/>
    </row>
    <row r="194" spans="1:12">
      <c r="A194" s="1753"/>
      <c r="B194" s="1753"/>
      <c r="C194" s="1754"/>
      <c r="D194" s="1754"/>
      <c r="E194" s="1754"/>
      <c r="F194" s="1754"/>
      <c r="G194" s="1724"/>
      <c r="H194" s="1722"/>
      <c r="I194" s="1722"/>
      <c r="J194" s="1722"/>
      <c r="K194" s="1725"/>
      <c r="L194" s="1753"/>
    </row>
    <row r="195" spans="1:12">
      <c r="A195" s="1753"/>
      <c r="B195" s="1753"/>
      <c r="C195" s="1754"/>
      <c r="D195" s="1754"/>
      <c r="E195" s="1754"/>
      <c r="F195" s="1754"/>
      <c r="G195" s="1724"/>
      <c r="H195" s="1722"/>
      <c r="I195" s="1722"/>
      <c r="J195" s="1722"/>
      <c r="K195" s="1725"/>
      <c r="L195" s="1753"/>
    </row>
    <row r="196" spans="1:12">
      <c r="A196" s="1753"/>
      <c r="B196" s="1753"/>
      <c r="C196" s="1754"/>
      <c r="D196" s="1754"/>
      <c r="E196" s="1754"/>
      <c r="F196" s="1754"/>
      <c r="G196" s="1724"/>
      <c r="H196" s="1722"/>
      <c r="I196" s="1722"/>
      <c r="J196" s="1722"/>
      <c r="K196" s="1725"/>
      <c r="L196" s="1753"/>
    </row>
    <row r="197" spans="1:12">
      <c r="A197" s="1753"/>
      <c r="B197" s="1753"/>
      <c r="C197" s="1754"/>
      <c r="D197" s="1754"/>
      <c r="E197" s="1754"/>
      <c r="F197" s="1754"/>
      <c r="G197" s="1724"/>
      <c r="H197" s="1722"/>
      <c r="I197" s="1722"/>
      <c r="J197" s="1722"/>
      <c r="K197" s="1725"/>
      <c r="L197" s="1753"/>
    </row>
    <row r="198" spans="1:12">
      <c r="A198" s="1753"/>
      <c r="B198" s="1753"/>
      <c r="C198" s="1754"/>
      <c r="D198" s="1754"/>
      <c r="E198" s="1754"/>
      <c r="F198" s="1754"/>
      <c r="G198" s="1724"/>
      <c r="H198" s="1722"/>
      <c r="I198" s="1722"/>
      <c r="J198" s="1722"/>
      <c r="K198" s="1725"/>
      <c r="L198" s="1753"/>
    </row>
    <row r="199" spans="1:12">
      <c r="A199" s="1753"/>
      <c r="B199" s="1753"/>
      <c r="C199" s="1754"/>
      <c r="D199" s="1754"/>
      <c r="E199" s="1754"/>
      <c r="F199" s="1754"/>
      <c r="G199" s="1724"/>
      <c r="H199" s="1722"/>
      <c r="I199" s="1722"/>
      <c r="J199" s="1722"/>
      <c r="K199" s="1725"/>
      <c r="L199" s="1753"/>
    </row>
    <row r="200" spans="1:12">
      <c r="A200" s="1753"/>
      <c r="B200" s="1753"/>
      <c r="C200" s="1754"/>
      <c r="D200" s="1754"/>
      <c r="E200" s="1754"/>
      <c r="F200" s="1754"/>
      <c r="G200" s="1724"/>
      <c r="H200" s="1722"/>
      <c r="I200" s="1722"/>
      <c r="J200" s="1722"/>
      <c r="K200" s="1725"/>
      <c r="L200" s="1753"/>
    </row>
    <row r="201" spans="1:12">
      <c r="A201" s="1753"/>
      <c r="B201" s="1753"/>
      <c r="C201" s="1754"/>
      <c r="D201" s="1754"/>
      <c r="E201" s="1754"/>
      <c r="F201" s="1754"/>
      <c r="G201" s="1724"/>
      <c r="H201" s="1722"/>
      <c r="I201" s="1722"/>
      <c r="J201" s="1722"/>
      <c r="K201" s="1725"/>
      <c r="L201" s="1753"/>
    </row>
    <row r="202" spans="1:12">
      <c r="A202" s="1753"/>
      <c r="B202" s="1753"/>
      <c r="C202" s="1754"/>
      <c r="D202" s="1754"/>
      <c r="E202" s="1754"/>
      <c r="F202" s="1754"/>
      <c r="G202" s="1724"/>
      <c r="H202" s="1722"/>
      <c r="I202" s="1722"/>
      <c r="J202" s="1722"/>
      <c r="K202" s="1725"/>
      <c r="L202" s="1753"/>
    </row>
    <row r="203" spans="1:12">
      <c r="A203" s="1753"/>
      <c r="B203" s="1753"/>
      <c r="C203" s="1754"/>
      <c r="D203" s="1754"/>
      <c r="E203" s="1754"/>
      <c r="F203" s="1754"/>
      <c r="G203" s="1724"/>
      <c r="H203" s="1722"/>
      <c r="I203" s="1722"/>
      <c r="J203" s="1722"/>
      <c r="K203" s="1725"/>
      <c r="L203" s="1753"/>
    </row>
    <row r="204" spans="1:12">
      <c r="A204" s="1753"/>
      <c r="B204" s="1753"/>
      <c r="C204" s="1754"/>
      <c r="D204" s="1754"/>
      <c r="E204" s="1754"/>
      <c r="F204" s="1754"/>
      <c r="G204" s="1724"/>
      <c r="H204" s="1722"/>
      <c r="I204" s="1722"/>
      <c r="J204" s="1722"/>
      <c r="K204" s="1725"/>
      <c r="L204" s="1753"/>
    </row>
    <row r="205" spans="1:12">
      <c r="A205" s="1753"/>
      <c r="B205" s="1753"/>
      <c r="C205" s="1754"/>
      <c r="D205" s="1754"/>
      <c r="E205" s="1754"/>
      <c r="F205" s="1754"/>
      <c r="G205" s="1724"/>
      <c r="H205" s="1722"/>
      <c r="I205" s="1722"/>
      <c r="J205" s="1722"/>
      <c r="K205" s="1725"/>
      <c r="L205" s="1753"/>
    </row>
    <row r="206" spans="1:12">
      <c r="A206" s="1753"/>
      <c r="B206" s="1753"/>
      <c r="C206" s="1754"/>
      <c r="D206" s="1754"/>
      <c r="E206" s="1754"/>
      <c r="F206" s="1754"/>
      <c r="G206" s="1724"/>
      <c r="H206" s="1722"/>
      <c r="I206" s="1722"/>
      <c r="J206" s="1722"/>
      <c r="K206" s="1725"/>
      <c r="L206" s="1753"/>
    </row>
    <row r="207" spans="1:12">
      <c r="A207" s="1753"/>
      <c r="B207" s="1753"/>
      <c r="C207" s="1754"/>
      <c r="D207" s="1754"/>
      <c r="E207" s="1754"/>
      <c r="F207" s="1754"/>
      <c r="G207" s="1724"/>
      <c r="H207" s="1722"/>
      <c r="I207" s="1722"/>
      <c r="J207" s="1722"/>
      <c r="K207" s="1725"/>
      <c r="L207" s="1753"/>
    </row>
    <row r="208" spans="1:12">
      <c r="A208" s="1753"/>
      <c r="B208" s="1753"/>
      <c r="C208" s="1754"/>
      <c r="D208" s="1754"/>
      <c r="E208" s="1754"/>
      <c r="F208" s="1754"/>
      <c r="G208" s="1724"/>
      <c r="H208" s="1726"/>
      <c r="I208" s="1726"/>
      <c r="J208" s="1726"/>
      <c r="K208" s="1725"/>
      <c r="L208" s="1753"/>
    </row>
    <row r="209" spans="1:12">
      <c r="A209" s="1753"/>
      <c r="B209" s="1753"/>
      <c r="C209" s="1754"/>
      <c r="D209" s="1754"/>
      <c r="E209" s="1754"/>
      <c r="F209" s="1754"/>
      <c r="G209" s="1724"/>
      <c r="H209" s="1726"/>
      <c r="I209" s="1726"/>
      <c r="J209" s="1726"/>
      <c r="K209" s="1725"/>
      <c r="L209" s="1753"/>
    </row>
    <row r="210" spans="1:12">
      <c r="A210" s="1753"/>
      <c r="B210" s="1753"/>
      <c r="C210" s="1754"/>
      <c r="D210" s="1754"/>
      <c r="E210" s="1754"/>
      <c r="F210" s="1754"/>
      <c r="G210" s="1724"/>
      <c r="H210" s="1722"/>
      <c r="I210" s="1722"/>
      <c r="J210" s="1722"/>
      <c r="K210" s="1725"/>
      <c r="L210" s="1753"/>
    </row>
    <row r="211" spans="1:12">
      <c r="A211" s="1753"/>
      <c r="B211" s="1753"/>
      <c r="C211" s="1754"/>
      <c r="D211" s="1754"/>
      <c r="E211" s="1754"/>
      <c r="F211" s="1754"/>
      <c r="G211" s="1724"/>
      <c r="H211" s="1722"/>
      <c r="I211" s="1722"/>
      <c r="J211" s="1722"/>
      <c r="K211" s="1725"/>
      <c r="L211" s="1753"/>
    </row>
    <row r="212" spans="1:12">
      <c r="A212" s="1753"/>
      <c r="B212" s="1753"/>
      <c r="C212" s="1754"/>
      <c r="D212" s="1754"/>
      <c r="E212" s="1754"/>
      <c r="F212" s="1754"/>
      <c r="G212" s="1724"/>
      <c r="H212" s="1722"/>
      <c r="I212" s="1722"/>
      <c r="J212" s="1722"/>
      <c r="K212" s="1725"/>
      <c r="L212" s="1753"/>
    </row>
    <row r="213" spans="1:12">
      <c r="A213" s="1753"/>
      <c r="B213" s="1753"/>
      <c r="C213" s="1754"/>
      <c r="D213" s="1754"/>
      <c r="E213" s="1754"/>
      <c r="F213" s="1754"/>
      <c r="G213" s="1724"/>
      <c r="H213" s="1722"/>
      <c r="I213" s="1722"/>
      <c r="J213" s="1722"/>
      <c r="K213" s="1725"/>
      <c r="L213" s="1753"/>
    </row>
    <row r="214" spans="1:12">
      <c r="A214" s="1753"/>
      <c r="B214" s="1753"/>
      <c r="C214" s="1754"/>
      <c r="D214" s="1754"/>
      <c r="E214" s="1754"/>
      <c r="F214" s="1754"/>
      <c r="G214" s="1724"/>
      <c r="H214" s="1722"/>
      <c r="I214" s="1722"/>
      <c r="J214" s="1722"/>
      <c r="K214" s="1725"/>
      <c r="L214" s="1753"/>
    </row>
    <row r="215" spans="1:12">
      <c r="A215" s="1753"/>
      <c r="B215" s="1753"/>
      <c r="C215" s="1754"/>
      <c r="D215" s="1754"/>
      <c r="E215" s="1754"/>
      <c r="F215" s="1754"/>
      <c r="G215" s="1724"/>
      <c r="H215" s="1722"/>
      <c r="I215" s="1722"/>
      <c r="J215" s="1722"/>
      <c r="K215" s="1725"/>
      <c r="L215" s="1753"/>
    </row>
    <row r="216" spans="1:12">
      <c r="A216" s="1753"/>
      <c r="B216" s="1753"/>
      <c r="C216" s="1754"/>
      <c r="D216" s="1754"/>
      <c r="E216" s="1754"/>
      <c r="F216" s="1754"/>
      <c r="G216" s="1724"/>
      <c r="H216" s="1722"/>
      <c r="I216" s="1722"/>
      <c r="J216" s="1722"/>
      <c r="K216" s="1725"/>
      <c r="L216" s="1753"/>
    </row>
    <row r="217" spans="1:12">
      <c r="A217" s="1753"/>
      <c r="B217" s="1753"/>
      <c r="C217" s="1754"/>
      <c r="D217" s="1754"/>
      <c r="E217" s="1754"/>
      <c r="F217" s="1754"/>
      <c r="G217" s="1724"/>
      <c r="H217" s="1722"/>
      <c r="I217" s="1722"/>
      <c r="J217" s="1722"/>
      <c r="K217" s="1725"/>
      <c r="L217" s="1753"/>
    </row>
    <row r="218" spans="1:12">
      <c r="A218" s="1753"/>
      <c r="B218" s="1753"/>
      <c r="C218" s="1754"/>
      <c r="D218" s="1754"/>
      <c r="E218" s="1754"/>
      <c r="F218" s="1754"/>
      <c r="G218" s="1724"/>
      <c r="H218" s="1722"/>
      <c r="I218" s="1722"/>
      <c r="J218" s="1722"/>
      <c r="K218" s="1725"/>
      <c r="L218" s="1753"/>
    </row>
    <row r="219" spans="1:12">
      <c r="A219" s="1753"/>
      <c r="B219" s="1753"/>
      <c r="C219" s="1754"/>
      <c r="D219" s="1754"/>
      <c r="E219" s="1754"/>
      <c r="F219" s="1754"/>
      <c r="G219" s="1724"/>
      <c r="H219" s="1722"/>
      <c r="I219" s="1722"/>
      <c r="J219" s="1722"/>
      <c r="K219" s="1725"/>
      <c r="L219" s="1753"/>
    </row>
    <row r="220" spans="1:12">
      <c r="A220" s="1753"/>
      <c r="B220" s="1753"/>
      <c r="C220" s="1754"/>
      <c r="D220" s="1754"/>
      <c r="E220" s="1754"/>
      <c r="F220" s="1754"/>
      <c r="G220" s="1724"/>
      <c r="H220" s="1722"/>
      <c r="I220" s="1722"/>
      <c r="J220" s="1722"/>
      <c r="K220" s="1725"/>
      <c r="L220" s="1753"/>
    </row>
    <row r="221" spans="1:12">
      <c r="A221" s="1753"/>
      <c r="B221" s="1753"/>
      <c r="C221" s="1754"/>
      <c r="D221" s="1754"/>
      <c r="E221" s="1754"/>
      <c r="F221" s="1754"/>
      <c r="G221" s="1724"/>
      <c r="H221" s="1722"/>
      <c r="I221" s="1722"/>
      <c r="J221" s="1722"/>
      <c r="K221" s="1725"/>
      <c r="L221" s="1753"/>
    </row>
    <row r="222" spans="1:12">
      <c r="A222" s="1753"/>
      <c r="B222" s="1753"/>
      <c r="C222" s="1754"/>
      <c r="D222" s="1754"/>
      <c r="E222" s="1754"/>
      <c r="F222" s="1754"/>
      <c r="G222" s="1724"/>
      <c r="H222" s="1722"/>
      <c r="I222" s="1722"/>
      <c r="J222" s="1722"/>
      <c r="K222" s="1725"/>
      <c r="L222" s="1753"/>
    </row>
    <row r="223" spans="1:12">
      <c r="A223" s="1753"/>
      <c r="B223" s="1753"/>
      <c r="C223" s="1754"/>
      <c r="D223" s="1754"/>
      <c r="E223" s="1754"/>
      <c r="F223" s="1754"/>
      <c r="G223" s="1724"/>
      <c r="H223" s="1722"/>
      <c r="I223" s="1722"/>
      <c r="J223" s="1722"/>
      <c r="K223" s="1725"/>
      <c r="L223" s="1753"/>
    </row>
    <row r="224" spans="1:12">
      <c r="A224" s="1753"/>
      <c r="B224" s="1753"/>
      <c r="C224" s="1754"/>
      <c r="D224" s="1754"/>
      <c r="E224" s="1754"/>
      <c r="F224" s="1754"/>
      <c r="G224" s="1724"/>
      <c r="H224" s="1722"/>
      <c r="I224" s="1722"/>
      <c r="J224" s="1722"/>
      <c r="K224" s="1725"/>
      <c r="L224" s="1753"/>
    </row>
    <row r="225" spans="1:12">
      <c r="A225" s="1753"/>
      <c r="B225" s="1753"/>
      <c r="C225" s="1754"/>
      <c r="D225" s="1754"/>
      <c r="E225" s="1754"/>
      <c r="F225" s="1754"/>
      <c r="G225" s="1724"/>
      <c r="H225" s="1722"/>
      <c r="I225" s="1722"/>
      <c r="J225" s="1722"/>
      <c r="K225" s="1725"/>
      <c r="L225" s="1753"/>
    </row>
    <row r="226" spans="1:12">
      <c r="A226" s="1753"/>
      <c r="B226" s="1753"/>
      <c r="C226" s="1754"/>
      <c r="D226" s="1754"/>
      <c r="E226" s="1754"/>
      <c r="F226" s="1754"/>
      <c r="G226" s="1724"/>
      <c r="H226" s="1722"/>
      <c r="I226" s="1722"/>
      <c r="J226" s="1722"/>
      <c r="K226" s="1725"/>
      <c r="L226" s="1753"/>
    </row>
    <row r="227" spans="1:12">
      <c r="A227" s="1753"/>
      <c r="B227" s="1753"/>
      <c r="C227" s="1754"/>
      <c r="D227" s="1754"/>
      <c r="E227" s="1754"/>
      <c r="F227" s="1754"/>
      <c r="G227" s="1724"/>
      <c r="H227" s="1722"/>
      <c r="I227" s="1722"/>
      <c r="J227" s="1722"/>
      <c r="K227" s="1725"/>
      <c r="L227" s="1753"/>
    </row>
    <row r="228" spans="1:12">
      <c r="A228" s="1753"/>
      <c r="B228" s="1753"/>
      <c r="C228" s="1754"/>
      <c r="D228" s="1754"/>
      <c r="E228" s="1754"/>
      <c r="F228" s="1754"/>
      <c r="G228" s="1724"/>
      <c r="H228" s="1722"/>
      <c r="I228" s="1722"/>
      <c r="J228" s="1722"/>
      <c r="K228" s="1725"/>
      <c r="L228" s="1753"/>
    </row>
    <row r="229" spans="1:12">
      <c r="A229" s="1753"/>
      <c r="B229" s="1753"/>
      <c r="C229" s="1754"/>
      <c r="D229" s="1754"/>
      <c r="E229" s="1754"/>
      <c r="F229" s="1754"/>
      <c r="G229" s="1724"/>
      <c r="H229" s="1722"/>
      <c r="I229" s="1722"/>
      <c r="J229" s="1722"/>
      <c r="K229" s="1725"/>
      <c r="L229" s="1753"/>
    </row>
    <row r="230" spans="1:12">
      <c r="A230" s="1753"/>
      <c r="B230" s="1753"/>
      <c r="C230" s="1754"/>
      <c r="D230" s="1754"/>
      <c r="E230" s="1754"/>
      <c r="F230" s="1754"/>
      <c r="G230" s="1724"/>
      <c r="H230" s="1722"/>
      <c r="I230" s="1722"/>
      <c r="J230" s="1722"/>
      <c r="K230" s="1725"/>
      <c r="L230" s="1753"/>
    </row>
    <row r="231" spans="1:12">
      <c r="A231" s="1753"/>
      <c r="B231" s="1753"/>
      <c r="C231" s="1754"/>
      <c r="D231" s="1754"/>
      <c r="E231" s="1754"/>
      <c r="F231" s="1754"/>
      <c r="G231" s="1724"/>
      <c r="H231" s="1722"/>
      <c r="I231" s="1722"/>
      <c r="J231" s="1722"/>
      <c r="K231" s="1725"/>
      <c r="L231" s="1753"/>
    </row>
    <row r="232" spans="1:12">
      <c r="A232" s="1753"/>
      <c r="B232" s="1753"/>
      <c r="C232" s="1754"/>
      <c r="D232" s="1754"/>
      <c r="E232" s="1754"/>
      <c r="F232" s="1754"/>
      <c r="G232" s="1724"/>
      <c r="H232" s="1722"/>
      <c r="I232" s="1722"/>
      <c r="J232" s="1722"/>
      <c r="K232" s="1725"/>
      <c r="L232" s="1753"/>
    </row>
    <row r="233" spans="1:12">
      <c r="A233" s="1753"/>
      <c r="B233" s="1753"/>
      <c r="C233" s="1754"/>
      <c r="D233" s="1754"/>
      <c r="E233" s="1754"/>
      <c r="F233" s="1754"/>
      <c r="G233" s="1724"/>
      <c r="H233" s="1722"/>
      <c r="I233" s="1722"/>
      <c r="J233" s="1722"/>
      <c r="K233" s="1725"/>
      <c r="L233" s="1753"/>
    </row>
    <row r="234" spans="1:12">
      <c r="A234" s="1753"/>
      <c r="B234" s="1753"/>
      <c r="C234" s="1754"/>
      <c r="D234" s="1754"/>
      <c r="E234" s="1754"/>
      <c r="F234" s="1754"/>
      <c r="G234" s="1724"/>
      <c r="H234" s="1722"/>
      <c r="I234" s="1722"/>
      <c r="J234" s="1722"/>
      <c r="K234" s="1725"/>
      <c r="L234" s="1753"/>
    </row>
    <row r="235" spans="1:12">
      <c r="A235" s="1753"/>
      <c r="B235" s="1753"/>
      <c r="C235" s="1754"/>
      <c r="D235" s="1754"/>
      <c r="E235" s="1754"/>
      <c r="F235" s="1754"/>
      <c r="G235" s="1724"/>
      <c r="H235" s="1722"/>
      <c r="I235" s="1722"/>
      <c r="J235" s="1722"/>
      <c r="K235" s="1725"/>
      <c r="L235" s="1753"/>
    </row>
    <row r="236" spans="1:12">
      <c r="A236" s="1753"/>
      <c r="B236" s="1753"/>
      <c r="C236" s="1754"/>
      <c r="D236" s="1754"/>
      <c r="E236" s="1754"/>
      <c r="F236" s="1754"/>
      <c r="G236" s="1724"/>
      <c r="H236" s="1722"/>
      <c r="I236" s="1722"/>
      <c r="J236" s="1722"/>
      <c r="K236" s="1725"/>
      <c r="L236" s="1753"/>
    </row>
    <row r="237" spans="1:12">
      <c r="A237" s="1753"/>
      <c r="B237" s="1753"/>
      <c r="C237" s="1754"/>
      <c r="D237" s="1754"/>
      <c r="E237" s="1754"/>
      <c r="F237" s="1754"/>
      <c r="G237" s="1724"/>
      <c r="H237" s="1722"/>
      <c r="I237" s="1722"/>
      <c r="J237" s="1722"/>
      <c r="K237" s="1725"/>
      <c r="L237" s="1753"/>
    </row>
    <row r="238" spans="1:12">
      <c r="A238" s="1753"/>
      <c r="B238" s="1753"/>
      <c r="C238" s="1754"/>
      <c r="D238" s="1754"/>
      <c r="E238" s="1754"/>
      <c r="F238" s="1754"/>
      <c r="G238" s="1724"/>
      <c r="H238" s="1722"/>
      <c r="I238" s="1722"/>
      <c r="J238" s="1722"/>
      <c r="K238" s="1725"/>
      <c r="L238" s="1753"/>
    </row>
    <row r="239" spans="1:12">
      <c r="A239" s="1753"/>
      <c r="B239" s="1753"/>
      <c r="C239" s="1754"/>
      <c r="D239" s="1754"/>
      <c r="E239" s="1754"/>
      <c r="F239" s="1754"/>
      <c r="G239" s="1724"/>
      <c r="H239" s="1722"/>
      <c r="I239" s="1722"/>
      <c r="J239" s="1722"/>
      <c r="K239" s="1725"/>
      <c r="L239" s="1753"/>
    </row>
    <row r="240" spans="1:12">
      <c r="A240" s="1753"/>
      <c r="B240" s="1753"/>
      <c r="C240" s="1754"/>
      <c r="D240" s="1754"/>
      <c r="E240" s="1754"/>
      <c r="F240" s="1754"/>
      <c r="G240" s="1724"/>
      <c r="H240" s="1722"/>
      <c r="I240" s="1722"/>
      <c r="J240" s="1722"/>
      <c r="K240" s="1725"/>
      <c r="L240" s="1753"/>
    </row>
    <row r="241" spans="1:12">
      <c r="A241" s="1753"/>
      <c r="B241" s="1753"/>
      <c r="C241" s="1754"/>
      <c r="D241" s="1754"/>
      <c r="E241" s="1754"/>
      <c r="F241" s="1754"/>
      <c r="G241" s="1724"/>
      <c r="H241" s="1722"/>
      <c r="I241" s="1722"/>
      <c r="J241" s="1722"/>
      <c r="K241" s="1725"/>
      <c r="L241" s="1753"/>
    </row>
  </sheetData>
  <phoneticPr fontId="49" type="noConversion"/>
  <pageMargins left="0.18" right="0.7" top="0.17" bottom="0.22" header="0.3" footer="0.3"/>
  <pageSetup scale="70" fitToHeight="2" orientation="landscape" r:id="rId1"/>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R44"/>
  <sheetViews>
    <sheetView zoomScale="65" zoomScaleNormal="65" workbookViewId="0">
      <pane xSplit="3" ySplit="4" topLeftCell="E5" activePane="bottomRight" state="frozen"/>
      <selection pane="topRight" activeCell="D1" sqref="D1"/>
      <selection pane="bottomLeft" activeCell="A5" sqref="A5"/>
      <selection pane="bottomRight" activeCell="W19" sqref="W19:W20"/>
    </sheetView>
  </sheetViews>
  <sheetFormatPr defaultRowHeight="12.75"/>
  <cols>
    <col min="1" max="1" width="7.140625" customWidth="1"/>
    <col min="2" max="2" width="15.5703125" style="81" customWidth="1"/>
    <col min="3" max="3" width="41.42578125" customWidth="1"/>
    <col min="4" max="7" width="15.7109375" style="486" bestFit="1" customWidth="1"/>
    <col min="8" max="8" width="15.28515625" style="486" bestFit="1" customWidth="1"/>
    <col min="9" max="9" width="15.7109375" style="486" bestFit="1" customWidth="1"/>
    <col min="10" max="11" width="15.28515625" style="486" bestFit="1" customWidth="1"/>
    <col min="12" max="16" width="15.7109375" style="486" bestFit="1" customWidth="1"/>
    <col min="17" max="17" width="20.85546875" style="486" bestFit="1" customWidth="1"/>
    <col min="18" max="18" width="4" style="486" customWidth="1"/>
    <col min="19" max="19" width="8.28515625" bestFit="1" customWidth="1"/>
    <col min="20" max="20" width="15.5703125" customWidth="1"/>
    <col min="21" max="21" width="16.85546875" customWidth="1"/>
    <col min="22" max="22" width="12.28515625" bestFit="1" customWidth="1"/>
    <col min="23" max="23" width="17.140625" customWidth="1"/>
    <col min="25" max="25" width="11.28515625" style="2" bestFit="1" customWidth="1"/>
    <col min="26" max="26" width="13.7109375" style="2" customWidth="1"/>
    <col min="27" max="27" width="36.42578125" style="2" customWidth="1"/>
    <col min="28" max="38" width="16.42578125" style="2" customWidth="1"/>
    <col min="39" max="40" width="14.28515625" style="2" bestFit="1" customWidth="1"/>
    <col min="41" max="41" width="2.7109375" style="2" customWidth="1"/>
    <col min="42" max="44" width="9.140625" style="2"/>
  </cols>
  <sheetData>
    <row r="1" spans="1:44" ht="15.75">
      <c r="A1" s="1" t="s">
        <v>544</v>
      </c>
      <c r="P1" s="428"/>
      <c r="AO1"/>
      <c r="AP1"/>
      <c r="AQ1"/>
      <c r="AR1"/>
    </row>
    <row r="2" spans="1:44">
      <c r="B2" s="1729"/>
      <c r="D2" s="839" t="s">
        <v>184</v>
      </c>
      <c r="E2" s="839" t="s">
        <v>475</v>
      </c>
      <c r="F2" s="839" t="s">
        <v>476</v>
      </c>
      <c r="G2" s="839" t="s">
        <v>477</v>
      </c>
      <c r="H2" s="839" t="s">
        <v>626</v>
      </c>
      <c r="I2" s="839" t="s">
        <v>627</v>
      </c>
      <c r="J2" s="839" t="s">
        <v>628</v>
      </c>
      <c r="K2" s="839" t="s">
        <v>478</v>
      </c>
      <c r="L2" s="839" t="s">
        <v>479</v>
      </c>
      <c r="M2" s="839" t="s">
        <v>480</v>
      </c>
      <c r="N2" s="839" t="s">
        <v>481</v>
      </c>
      <c r="O2" s="839" t="s">
        <v>482</v>
      </c>
      <c r="P2" s="839" t="s">
        <v>184</v>
      </c>
      <c r="Q2" s="839" t="s">
        <v>413</v>
      </c>
      <c r="AO2"/>
      <c r="AP2"/>
      <c r="AQ2"/>
      <c r="AR2"/>
    </row>
    <row r="3" spans="1:44">
      <c r="A3" s="480" t="s">
        <v>187</v>
      </c>
      <c r="B3" s="480" t="s">
        <v>188</v>
      </c>
      <c r="C3" s="480" t="s">
        <v>189</v>
      </c>
      <c r="D3" s="493">
        <v>2021</v>
      </c>
      <c r="E3" s="492">
        <v>2022</v>
      </c>
      <c r="F3" s="492">
        <v>2022</v>
      </c>
      <c r="G3" s="492">
        <v>2022</v>
      </c>
      <c r="H3" s="492">
        <v>2022</v>
      </c>
      <c r="I3" s="492">
        <v>2022</v>
      </c>
      <c r="J3" s="492">
        <v>2022</v>
      </c>
      <c r="K3" s="492">
        <v>2022</v>
      </c>
      <c r="L3" s="492">
        <v>2022</v>
      </c>
      <c r="M3" s="492">
        <v>2022</v>
      </c>
      <c r="N3" s="492">
        <v>2022</v>
      </c>
      <c r="O3" s="492">
        <v>2022</v>
      </c>
      <c r="P3" s="492">
        <v>2022</v>
      </c>
      <c r="Q3" s="840" t="s">
        <v>215</v>
      </c>
      <c r="R3" s="494"/>
      <c r="T3" s="898" t="s">
        <v>190</v>
      </c>
      <c r="U3" s="898" t="s">
        <v>191</v>
      </c>
      <c r="V3" s="898" t="s">
        <v>192</v>
      </c>
      <c r="W3" s="898" t="s">
        <v>117</v>
      </c>
      <c r="AO3"/>
      <c r="AP3"/>
      <c r="AQ3"/>
      <c r="AR3"/>
    </row>
    <row r="4" spans="1:44">
      <c r="B4" s="488" t="s">
        <v>212</v>
      </c>
      <c r="C4" s="487"/>
      <c r="D4" s="428"/>
      <c r="E4" s="428"/>
      <c r="F4" s="428"/>
      <c r="G4" s="428"/>
      <c r="H4" s="428"/>
      <c r="I4" s="428"/>
      <c r="J4" s="428"/>
      <c r="K4" s="428"/>
      <c r="L4" s="428"/>
      <c r="M4" s="428"/>
      <c r="N4" s="428"/>
      <c r="O4" s="428"/>
      <c r="P4" s="428"/>
      <c r="Q4" s="494"/>
      <c r="R4" s="494"/>
      <c r="AO4"/>
      <c r="AP4"/>
      <c r="AQ4"/>
      <c r="AR4"/>
    </row>
    <row r="5" spans="1:44">
      <c r="A5" s="497" t="s">
        <v>126</v>
      </c>
      <c r="B5" s="497" t="s">
        <v>1290</v>
      </c>
      <c r="C5" s="183" t="s">
        <v>1291</v>
      </c>
      <c r="D5" s="1900">
        <v>300974.21999999997</v>
      </c>
      <c r="E5" s="1900">
        <v>286313.2</v>
      </c>
      <c r="F5" s="1900">
        <v>271652.18</v>
      </c>
      <c r="G5" s="1900">
        <v>256991.16</v>
      </c>
      <c r="H5" s="1900">
        <v>798670.30999999994</v>
      </c>
      <c r="I5" s="1900">
        <v>672741.25</v>
      </c>
      <c r="J5" s="1900">
        <v>546812.19000000006</v>
      </c>
      <c r="K5" s="1900">
        <v>420883.13</v>
      </c>
      <c r="L5" s="1900">
        <v>294954.07</v>
      </c>
      <c r="M5" s="1900">
        <v>322381.26</v>
      </c>
      <c r="N5" s="1900">
        <v>307513.21999999997</v>
      </c>
      <c r="O5" s="1900">
        <v>292645.18000000005</v>
      </c>
      <c r="P5" s="1900">
        <v>277777.14</v>
      </c>
      <c r="Q5" s="665">
        <f>AVERAGE(D5:P5)</f>
        <v>388485.2699999999</v>
      </c>
      <c r="R5" s="485"/>
      <c r="S5" s="176" t="s">
        <v>1242</v>
      </c>
      <c r="V5" s="483">
        <f t="shared" ref="V5" si="0">+Q5</f>
        <v>388485.2699999999</v>
      </c>
      <c r="AO5"/>
      <c r="AP5"/>
      <c r="AQ5"/>
      <c r="AR5"/>
    </row>
    <row r="6" spans="1:44">
      <c r="B6" s="489" t="s">
        <v>131</v>
      </c>
      <c r="C6" s="490"/>
      <c r="D6" s="495">
        <f t="shared" ref="D6:Q6" si="1">SUM(D5:D5)</f>
        <v>300974.21999999997</v>
      </c>
      <c r="E6" s="495">
        <f t="shared" si="1"/>
        <v>286313.2</v>
      </c>
      <c r="F6" s="495">
        <f t="shared" si="1"/>
        <v>271652.18</v>
      </c>
      <c r="G6" s="495">
        <f t="shared" si="1"/>
        <v>256991.16</v>
      </c>
      <c r="H6" s="495">
        <f t="shared" si="1"/>
        <v>798670.30999999994</v>
      </c>
      <c r="I6" s="495">
        <f t="shared" si="1"/>
        <v>672741.25</v>
      </c>
      <c r="J6" s="495">
        <f t="shared" si="1"/>
        <v>546812.19000000006</v>
      </c>
      <c r="K6" s="495">
        <f t="shared" si="1"/>
        <v>420883.13</v>
      </c>
      <c r="L6" s="495">
        <f t="shared" si="1"/>
        <v>294954.07</v>
      </c>
      <c r="M6" s="495">
        <f t="shared" si="1"/>
        <v>322381.26</v>
      </c>
      <c r="N6" s="495">
        <f t="shared" si="1"/>
        <v>307513.21999999997</v>
      </c>
      <c r="O6" s="495">
        <f t="shared" si="1"/>
        <v>292645.18000000005</v>
      </c>
      <c r="P6" s="495">
        <f t="shared" si="1"/>
        <v>277777.14</v>
      </c>
      <c r="Q6" s="495">
        <f t="shared" si="1"/>
        <v>388485.2699999999</v>
      </c>
      <c r="R6" s="496"/>
      <c r="S6" s="491"/>
      <c r="T6" s="491"/>
      <c r="U6" s="491"/>
      <c r="V6" s="897">
        <f>SUM(V5:V5)</f>
        <v>388485.2699999999</v>
      </c>
      <c r="AB6" s="838"/>
      <c r="AC6" s="838"/>
      <c r="AD6" s="838"/>
      <c r="AE6" s="838"/>
      <c r="AF6" s="838"/>
      <c r="AG6" s="838"/>
      <c r="AH6" s="838"/>
      <c r="AI6" s="838"/>
      <c r="AJ6" s="838"/>
      <c r="AK6" s="838"/>
      <c r="AL6" s="838"/>
      <c r="AN6" s="838"/>
      <c r="AO6"/>
      <c r="AP6"/>
      <c r="AQ6"/>
      <c r="AR6"/>
    </row>
    <row r="7" spans="1:44">
      <c r="B7" s="487"/>
      <c r="C7" s="487"/>
      <c r="D7" s="1804"/>
      <c r="E7" s="1804"/>
      <c r="F7" s="1804"/>
      <c r="G7" s="1804"/>
      <c r="H7" s="1804"/>
      <c r="I7" s="1804"/>
      <c r="J7" s="1804"/>
      <c r="K7" s="1804"/>
      <c r="L7" s="1804"/>
      <c r="M7" s="1804"/>
      <c r="N7" s="1804"/>
      <c r="O7" s="1804"/>
      <c r="P7" s="1805"/>
      <c r="Q7" s="494"/>
      <c r="R7" s="485"/>
      <c r="S7" s="183"/>
      <c r="V7" s="483"/>
      <c r="AB7" s="838"/>
      <c r="AC7" s="838"/>
      <c r="AD7" s="838"/>
      <c r="AE7" s="838"/>
      <c r="AF7" s="838"/>
      <c r="AG7" s="838"/>
      <c r="AH7" s="838"/>
      <c r="AI7" s="838"/>
      <c r="AJ7" s="838"/>
      <c r="AK7" s="838"/>
      <c r="AL7" s="838"/>
      <c r="AM7" s="838"/>
      <c r="AN7" s="838"/>
      <c r="AO7"/>
      <c r="AP7"/>
      <c r="AQ7"/>
      <c r="AR7"/>
    </row>
    <row r="8" spans="1:44">
      <c r="B8" s="487"/>
      <c r="C8" s="487"/>
      <c r="D8" s="1804"/>
      <c r="E8" s="1804"/>
      <c r="F8" s="1804"/>
      <c r="G8" s="1804"/>
      <c r="H8" s="1804"/>
      <c r="I8" s="1804"/>
      <c r="J8" s="1804"/>
      <c r="K8" s="1804"/>
      <c r="L8" s="1804"/>
      <c r="M8" s="1804"/>
      <c r="N8" s="1804"/>
      <c r="O8" s="1804"/>
      <c r="P8" s="1805"/>
      <c r="Q8" s="494"/>
      <c r="AB8" s="838"/>
      <c r="AC8" s="838"/>
      <c r="AD8" s="838"/>
      <c r="AF8" s="838"/>
      <c r="AG8" s="838"/>
      <c r="AH8" s="838"/>
      <c r="AI8" s="838"/>
      <c r="AJ8" s="838"/>
      <c r="AK8" s="838"/>
      <c r="AL8" s="838"/>
      <c r="AM8" s="838"/>
      <c r="AN8" s="838"/>
      <c r="AO8"/>
      <c r="AP8"/>
      <c r="AQ8"/>
      <c r="AR8"/>
    </row>
    <row r="9" spans="1:44">
      <c r="B9" s="488" t="s">
        <v>213</v>
      </c>
      <c r="C9" s="487"/>
      <c r="D9" s="1804"/>
      <c r="E9" s="1804"/>
      <c r="F9" s="1804"/>
      <c r="G9" s="1804"/>
      <c r="H9" s="1804"/>
      <c r="I9" s="1804"/>
      <c r="J9" s="1804"/>
      <c r="K9" s="1804"/>
      <c r="L9" s="1804"/>
      <c r="M9" s="1804"/>
      <c r="N9" s="1804"/>
      <c r="O9" s="1804"/>
      <c r="P9" s="1805"/>
      <c r="Q9" s="494"/>
      <c r="R9" s="494"/>
      <c r="AB9" s="838"/>
      <c r="AC9" s="838"/>
      <c r="AD9" s="838"/>
      <c r="AE9" s="838"/>
      <c r="AF9" s="838"/>
      <c r="AG9" s="838"/>
      <c r="AH9" s="838"/>
      <c r="AI9" s="838"/>
      <c r="AJ9" s="838"/>
      <c r="AK9" s="838"/>
      <c r="AL9" s="838"/>
      <c r="AN9" s="838"/>
      <c r="AO9"/>
      <c r="AP9"/>
      <c r="AQ9"/>
      <c r="AR9"/>
    </row>
    <row r="10" spans="1:44">
      <c r="A10" s="498" t="s">
        <v>129</v>
      </c>
      <c r="B10" t="s">
        <v>1067</v>
      </c>
      <c r="C10" t="s">
        <v>832</v>
      </c>
      <c r="D10" s="1759">
        <v>27940.25</v>
      </c>
      <c r="E10" s="1759">
        <v>6286.12</v>
      </c>
      <c r="F10" s="1759">
        <v>1266.67</v>
      </c>
      <c r="G10" s="1759">
        <v>10998.61</v>
      </c>
      <c r="H10" s="1759">
        <v>0</v>
      </c>
      <c r="I10" s="1759">
        <v>0</v>
      </c>
      <c r="J10" s="1759">
        <v>46034.71</v>
      </c>
      <c r="K10" s="1759">
        <v>38659.74</v>
      </c>
      <c r="L10" s="1759">
        <v>33206.410000000003</v>
      </c>
      <c r="M10" s="1759">
        <v>65176.02</v>
      </c>
      <c r="N10" s="1759">
        <v>244270.09</v>
      </c>
      <c r="O10" s="1759">
        <v>1041202.79</v>
      </c>
      <c r="P10" s="1759">
        <v>586830.54</v>
      </c>
      <c r="Q10" s="665">
        <f t="shared" ref="Q10:Q11" si="2">AVERAGE(D10:P10)</f>
        <v>161682.45769230771</v>
      </c>
      <c r="R10" s="482"/>
      <c r="S10" s="183" t="s">
        <v>414</v>
      </c>
      <c r="W10" s="483">
        <f t="shared" ref="W10" si="3">+Q10</f>
        <v>161682.45769230771</v>
      </c>
      <c r="AB10" s="838"/>
      <c r="AC10" s="838"/>
      <c r="AD10" s="838"/>
      <c r="AE10" s="838"/>
      <c r="AJ10" s="838"/>
      <c r="AK10" s="838"/>
      <c r="AL10" s="838"/>
      <c r="AM10" s="838"/>
      <c r="AN10" s="838"/>
      <c r="AO10"/>
      <c r="AP10"/>
      <c r="AQ10"/>
      <c r="AR10"/>
    </row>
    <row r="11" spans="1:44">
      <c r="A11" s="498" t="s">
        <v>129</v>
      </c>
      <c r="B11" t="s">
        <v>1068</v>
      </c>
      <c r="C11" t="s">
        <v>1216</v>
      </c>
      <c r="D11" s="1759">
        <v>22715.94</v>
      </c>
      <c r="E11" s="1759">
        <v>49660.94</v>
      </c>
      <c r="F11" s="1759">
        <v>47910.94</v>
      </c>
      <c r="G11" s="1759">
        <v>46410.94</v>
      </c>
      <c r="H11" s="1759">
        <v>45910.94</v>
      </c>
      <c r="I11" s="1759">
        <v>44160.94</v>
      </c>
      <c r="J11" s="1759">
        <v>41010.94</v>
      </c>
      <c r="K11" s="1759">
        <v>39260.94</v>
      </c>
      <c r="L11" s="1759">
        <v>37510.94</v>
      </c>
      <c r="M11" s="1759">
        <v>35760.94</v>
      </c>
      <c r="N11" s="1759">
        <v>35260.94</v>
      </c>
      <c r="O11" s="1759">
        <v>34260.94</v>
      </c>
      <c r="P11" s="1759">
        <v>34010.94</v>
      </c>
      <c r="Q11" s="665">
        <f t="shared" si="2"/>
        <v>39526.709230769236</v>
      </c>
      <c r="R11" s="485"/>
      <c r="S11" s="183" t="s">
        <v>414</v>
      </c>
      <c r="T11" s="500"/>
      <c r="U11" s="2"/>
      <c r="V11" s="2"/>
      <c r="W11" s="483">
        <f t="shared" ref="W11:W15" si="4">+Q11</f>
        <v>39526.709230769236</v>
      </c>
      <c r="AB11" s="838"/>
      <c r="AC11" s="838"/>
      <c r="AD11" s="838"/>
      <c r="AE11" s="838"/>
      <c r="AJ11" s="838"/>
      <c r="AK11" s="838"/>
      <c r="AL11" s="838"/>
      <c r="AM11" s="838"/>
      <c r="AN11" s="838"/>
      <c r="AO11"/>
      <c r="AP11"/>
      <c r="AQ11"/>
      <c r="AR11"/>
    </row>
    <row r="12" spans="1:44" s="2" customFormat="1">
      <c r="A12" s="498" t="s">
        <v>129</v>
      </c>
      <c r="B12" t="s">
        <v>1226</v>
      </c>
      <c r="C12" t="s">
        <v>1227</v>
      </c>
      <c r="D12" s="1759">
        <v>10020343.23</v>
      </c>
      <c r="E12" s="1759">
        <v>8790993.5800000001</v>
      </c>
      <c r="F12" s="1759">
        <v>7561643.9299999997</v>
      </c>
      <c r="G12" s="1759">
        <v>6332294.2599999998</v>
      </c>
      <c r="H12" s="1759">
        <v>9766201.4000000004</v>
      </c>
      <c r="I12" s="1759">
        <v>9599584.3000000007</v>
      </c>
      <c r="J12" s="1759">
        <v>8687905.9900000002</v>
      </c>
      <c r="K12" s="1759">
        <v>7387647.9500000002</v>
      </c>
      <c r="L12" s="1759">
        <v>6087389.9100000001</v>
      </c>
      <c r="M12" s="1759">
        <v>4787131.87</v>
      </c>
      <c r="N12" s="1759">
        <v>3486873.83</v>
      </c>
      <c r="O12" s="1759">
        <v>2186615.79</v>
      </c>
      <c r="P12" s="1759">
        <v>11136133.23</v>
      </c>
      <c r="Q12" s="665">
        <f t="shared" ref="Q12:Q20" si="5">AVERAGE(D12:P12)</f>
        <v>7371596.866923078</v>
      </c>
      <c r="R12" s="485"/>
      <c r="S12" s="183" t="s">
        <v>415</v>
      </c>
      <c r="T12" s="483"/>
      <c r="U12" s="176"/>
      <c r="V12" s="176"/>
      <c r="W12" s="483">
        <f t="shared" si="4"/>
        <v>7371596.866923078</v>
      </c>
      <c r="AB12" s="838"/>
      <c r="AC12" s="838"/>
      <c r="AD12" s="838"/>
      <c r="AE12" s="838"/>
      <c r="AJ12" s="838"/>
      <c r="AK12" s="838"/>
      <c r="AL12" s="838"/>
      <c r="AM12" s="838"/>
      <c r="AN12" s="838"/>
    </row>
    <row r="13" spans="1:44">
      <c r="A13" s="498" t="s">
        <v>129</v>
      </c>
      <c r="B13" t="s">
        <v>1228</v>
      </c>
      <c r="C13" t="s">
        <v>1229</v>
      </c>
      <c r="D13" s="1759">
        <v>2123160.17</v>
      </c>
      <c r="E13" s="1759">
        <v>2651618.9300000002</v>
      </c>
      <c r="F13" s="1759">
        <v>2392943.81</v>
      </c>
      <c r="G13" s="1759">
        <v>2134268.69</v>
      </c>
      <c r="H13" s="1759">
        <v>1875593.57</v>
      </c>
      <c r="I13" s="1759">
        <v>1616918.45</v>
      </c>
      <c r="J13" s="1759">
        <v>1358243.38</v>
      </c>
      <c r="K13" s="1759">
        <v>1107310.03</v>
      </c>
      <c r="L13" s="1759">
        <v>975009.43</v>
      </c>
      <c r="M13" s="1759">
        <v>1124368.6299999999</v>
      </c>
      <c r="N13" s="1759">
        <v>937589.85</v>
      </c>
      <c r="O13" s="1759">
        <v>763499.04</v>
      </c>
      <c r="P13" s="1759">
        <v>2110956.23</v>
      </c>
      <c r="Q13" s="665">
        <f t="shared" si="5"/>
        <v>1628575.4007692309</v>
      </c>
      <c r="R13" s="485"/>
      <c r="S13" s="183" t="s">
        <v>415</v>
      </c>
      <c r="T13" s="483"/>
      <c r="U13" s="176"/>
      <c r="V13" s="176"/>
      <c r="W13" s="483">
        <f t="shared" si="4"/>
        <v>1628575.4007692309</v>
      </c>
      <c r="AB13" s="838"/>
      <c r="AC13" s="838"/>
      <c r="AD13" s="838"/>
      <c r="AE13" s="838"/>
      <c r="AF13" s="838"/>
      <c r="AG13" s="838"/>
      <c r="AH13" s="838"/>
      <c r="AI13" s="838"/>
      <c r="AJ13" s="838"/>
      <c r="AK13" s="838"/>
      <c r="AL13" s="838"/>
      <c r="AM13" s="838"/>
      <c r="AN13" s="838"/>
    </row>
    <row r="14" spans="1:44">
      <c r="A14" s="498" t="s">
        <v>129</v>
      </c>
      <c r="B14" t="s">
        <v>1230</v>
      </c>
      <c r="C14" t="s">
        <v>1231</v>
      </c>
      <c r="D14" s="1759">
        <v>15861.43</v>
      </c>
      <c r="E14" s="1759">
        <v>0</v>
      </c>
      <c r="F14" s="1759">
        <v>0</v>
      </c>
      <c r="G14" s="1759">
        <v>0</v>
      </c>
      <c r="H14" s="1759">
        <v>0</v>
      </c>
      <c r="I14" s="1759">
        <v>1393073.93</v>
      </c>
      <c r="J14" s="1759">
        <v>1235167.78</v>
      </c>
      <c r="K14" s="1759">
        <v>1057512.8400000001</v>
      </c>
      <c r="L14" s="1759">
        <v>951692.13</v>
      </c>
      <c r="M14" s="1759">
        <v>849714.2</v>
      </c>
      <c r="N14" s="1759">
        <v>748703.87</v>
      </c>
      <c r="O14" s="1759">
        <v>605428.87</v>
      </c>
      <c r="P14" s="1759">
        <v>427434.19</v>
      </c>
      <c r="Q14" s="665">
        <f t="shared" si="5"/>
        <v>560353.01846153848</v>
      </c>
      <c r="R14" s="485"/>
      <c r="S14" s="183" t="s">
        <v>414</v>
      </c>
      <c r="T14" s="483"/>
      <c r="U14" s="176"/>
      <c r="V14" s="176"/>
      <c r="W14" s="483">
        <f t="shared" si="4"/>
        <v>560353.01846153848</v>
      </c>
      <c r="AB14" s="838"/>
      <c r="AC14" s="838"/>
      <c r="AD14" s="838"/>
      <c r="AE14" s="838"/>
      <c r="AF14" s="838"/>
      <c r="AG14" s="838"/>
      <c r="AH14" s="838"/>
      <c r="AI14" s="838"/>
      <c r="AJ14" s="838"/>
      <c r="AK14" s="838"/>
      <c r="AL14" s="838"/>
      <c r="AM14" s="838"/>
      <c r="AN14" s="838"/>
    </row>
    <row r="15" spans="1:44">
      <c r="A15" s="498" t="s">
        <v>129</v>
      </c>
      <c r="B15" t="s">
        <v>1232</v>
      </c>
      <c r="C15" t="s">
        <v>1233</v>
      </c>
      <c r="D15" s="1759">
        <v>16144903.9</v>
      </c>
      <c r="E15" s="1759">
        <v>21935810.309999999</v>
      </c>
      <c r="F15" s="1759">
        <v>16230052.060000001</v>
      </c>
      <c r="G15" s="1759">
        <v>13710796.380000001</v>
      </c>
      <c r="H15" s="1759">
        <v>9345692.7300000004</v>
      </c>
      <c r="I15" s="1759">
        <v>10984436.449999999</v>
      </c>
      <c r="J15" s="1759">
        <v>11165959.27</v>
      </c>
      <c r="K15" s="1759">
        <v>11673831.220000001</v>
      </c>
      <c r="L15" s="1759">
        <v>13980644</v>
      </c>
      <c r="M15" s="1759">
        <v>12852356.140000001</v>
      </c>
      <c r="N15" s="1759">
        <v>13576188.859999999</v>
      </c>
      <c r="O15" s="1759">
        <v>11048385.949999999</v>
      </c>
      <c r="P15" s="1759">
        <v>10963780.880000001</v>
      </c>
      <c r="Q15" s="665">
        <f t="shared" si="5"/>
        <v>13354833.703846153</v>
      </c>
      <c r="R15" s="485"/>
      <c r="S15" s="183" t="s">
        <v>414</v>
      </c>
      <c r="T15" s="483"/>
      <c r="U15" s="176"/>
      <c r="V15" s="176"/>
      <c r="W15" s="483">
        <f t="shared" si="4"/>
        <v>13354833.703846153</v>
      </c>
      <c r="AB15" s="838"/>
      <c r="AC15" s="838"/>
      <c r="AD15" s="838"/>
      <c r="AE15" s="838"/>
      <c r="AF15" s="838"/>
      <c r="AG15" s="838"/>
      <c r="AH15" s="838"/>
      <c r="AI15" s="838"/>
      <c r="AJ15" s="838"/>
      <c r="AK15" s="838"/>
      <c r="AL15" s="838"/>
      <c r="AM15" s="838"/>
      <c r="AN15" s="838"/>
    </row>
    <row r="16" spans="1:44">
      <c r="A16" s="498" t="s">
        <v>129</v>
      </c>
      <c r="B16" t="s">
        <v>1234</v>
      </c>
      <c r="C16" t="s">
        <v>1235</v>
      </c>
      <c r="D16" s="1759">
        <v>2337686.3199999998</v>
      </c>
      <c r="E16" s="1759">
        <v>2481011.92</v>
      </c>
      <c r="F16" s="1759">
        <v>4205013.5199999996</v>
      </c>
      <c r="G16" s="1759">
        <v>4344419.7300000004</v>
      </c>
      <c r="H16" s="1759">
        <v>2616180.94</v>
      </c>
      <c r="I16" s="1759">
        <v>2759180.3</v>
      </c>
      <c r="J16" s="1759">
        <v>2692797.25</v>
      </c>
      <c r="K16" s="1759">
        <v>2471664.2400000002</v>
      </c>
      <c r="L16" s="1759">
        <v>2627811.81</v>
      </c>
      <c r="M16" s="1759">
        <v>2606285.6800000002</v>
      </c>
      <c r="N16" s="1759">
        <v>2479141.6</v>
      </c>
      <c r="O16" s="1759">
        <v>3026596</v>
      </c>
      <c r="P16" s="1759">
        <v>2888596.17</v>
      </c>
      <c r="Q16" s="665">
        <f t="shared" si="5"/>
        <v>2887414.2676923079</v>
      </c>
      <c r="R16" s="485"/>
      <c r="S16" s="183" t="s">
        <v>414</v>
      </c>
      <c r="T16" s="483"/>
      <c r="U16" s="176"/>
      <c r="V16" s="176"/>
      <c r="W16" s="483">
        <f t="shared" ref="W16:W20" si="6">+Q16</f>
        <v>2887414.2676923079</v>
      </c>
      <c r="AB16" s="838"/>
      <c r="AC16" s="838"/>
      <c r="AD16" s="838"/>
      <c r="AE16" s="838"/>
      <c r="AF16" s="838"/>
      <c r="AG16" s="838"/>
      <c r="AH16" s="838"/>
      <c r="AI16" s="838"/>
      <c r="AJ16" s="838"/>
      <c r="AK16" s="838"/>
      <c r="AL16" s="838"/>
      <c r="AM16" s="838"/>
      <c r="AN16" s="838"/>
    </row>
    <row r="17" spans="1:44">
      <c r="A17" s="498" t="s">
        <v>129</v>
      </c>
      <c r="B17" t="s">
        <v>1236</v>
      </c>
      <c r="C17" t="s">
        <v>1237</v>
      </c>
      <c r="D17" s="1759">
        <v>804740</v>
      </c>
      <c r="E17" s="1759">
        <v>737678.33</v>
      </c>
      <c r="F17" s="1759">
        <v>670616.66</v>
      </c>
      <c r="G17" s="1759">
        <v>603554.99</v>
      </c>
      <c r="H17" s="1759">
        <v>536493.31999999995</v>
      </c>
      <c r="I17" s="1759">
        <v>469431.65</v>
      </c>
      <c r="J17" s="1759">
        <v>402369.98</v>
      </c>
      <c r="K17" s="1759">
        <v>335308.31</v>
      </c>
      <c r="L17" s="1759">
        <v>268246.64</v>
      </c>
      <c r="M17" s="1759">
        <v>201184.97</v>
      </c>
      <c r="N17" s="1759">
        <v>134123.29999999999</v>
      </c>
      <c r="O17" s="1759">
        <v>67061.63</v>
      </c>
      <c r="P17" s="1759">
        <v>849787.96</v>
      </c>
      <c r="Q17" s="665">
        <f t="shared" si="5"/>
        <v>467738.28769230755</v>
      </c>
      <c r="R17" s="485"/>
      <c r="S17" s="183" t="s">
        <v>414</v>
      </c>
      <c r="T17" s="483"/>
      <c r="U17" s="176"/>
      <c r="V17" s="176"/>
      <c r="W17" s="483">
        <f t="shared" si="6"/>
        <v>467738.28769230755</v>
      </c>
      <c r="AB17" s="838"/>
      <c r="AC17" s="838"/>
      <c r="AD17" s="838"/>
      <c r="AE17" s="838"/>
      <c r="AF17" s="838"/>
      <c r="AG17" s="838"/>
      <c r="AH17" s="838"/>
      <c r="AI17" s="838"/>
      <c r="AJ17" s="838"/>
      <c r="AK17" s="838"/>
      <c r="AL17" s="838"/>
      <c r="AM17" s="838"/>
      <c r="AN17" s="838"/>
    </row>
    <row r="18" spans="1:44">
      <c r="A18" s="498" t="s">
        <v>129</v>
      </c>
      <c r="B18" t="s">
        <v>1292</v>
      </c>
      <c r="C18" s="183" t="s">
        <v>1294</v>
      </c>
      <c r="D18" s="1759">
        <v>2740739.52</v>
      </c>
      <c r="E18" s="1759">
        <v>5518396.8099999996</v>
      </c>
      <c r="F18" s="1759">
        <v>4781089.8</v>
      </c>
      <c r="G18" s="1759">
        <v>4527207.58</v>
      </c>
      <c r="H18" s="1759">
        <v>3947069.12</v>
      </c>
      <c r="I18" s="1759">
        <v>3724976.65</v>
      </c>
      <c r="J18" s="1759">
        <v>3437848.98</v>
      </c>
      <c r="K18" s="1759">
        <v>3541018.62</v>
      </c>
      <c r="L18" s="1759">
        <v>3686733.76</v>
      </c>
      <c r="M18" s="1759">
        <v>5806298.5499999998</v>
      </c>
      <c r="N18" s="1759">
        <v>4926361.13</v>
      </c>
      <c r="O18" s="1759">
        <v>4691740.6900000004</v>
      </c>
      <c r="P18" s="1759">
        <v>4613462.6399999997</v>
      </c>
      <c r="Q18" s="665">
        <f t="shared" si="5"/>
        <v>4303303.3730769232</v>
      </c>
      <c r="R18" s="485"/>
      <c r="S18" s="183" t="s">
        <v>414</v>
      </c>
      <c r="T18" s="483"/>
      <c r="U18" s="176"/>
      <c r="V18" s="176"/>
      <c r="W18" s="483">
        <f t="shared" si="6"/>
        <v>4303303.3730769232</v>
      </c>
      <c r="AB18" s="838"/>
      <c r="AC18" s="838"/>
      <c r="AD18" s="838"/>
      <c r="AE18" s="838"/>
      <c r="AF18" s="838"/>
      <c r="AG18" s="838"/>
      <c r="AH18" s="838"/>
      <c r="AI18" s="838"/>
      <c r="AJ18" s="838"/>
      <c r="AK18" s="838"/>
      <c r="AL18" s="838"/>
      <c r="AM18" s="838"/>
      <c r="AN18" s="838"/>
    </row>
    <row r="19" spans="1:44">
      <c r="A19" s="498" t="s">
        <v>129</v>
      </c>
      <c r="B19" t="s">
        <v>1293</v>
      </c>
      <c r="C19" s="183" t="s">
        <v>1235</v>
      </c>
      <c r="D19" s="1759">
        <v>1632415.24</v>
      </c>
      <c r="E19" s="1759">
        <v>1349032.52</v>
      </c>
      <c r="F19" s="1759">
        <v>1141555.69</v>
      </c>
      <c r="G19" s="1759">
        <v>1045179.81</v>
      </c>
      <c r="H19" s="1759">
        <v>2726771.59</v>
      </c>
      <c r="I19" s="1759">
        <v>2630395.71</v>
      </c>
      <c r="J19" s="1759">
        <v>2534019.83</v>
      </c>
      <c r="K19" s="1759">
        <v>2437643.9500000002</v>
      </c>
      <c r="L19" s="1759">
        <v>2341268.0699999998</v>
      </c>
      <c r="M19" s="1759">
        <v>2244892.19</v>
      </c>
      <c r="N19" s="1759">
        <v>2317802.58</v>
      </c>
      <c r="O19" s="1759">
        <v>2214066.4300000002</v>
      </c>
      <c r="P19" s="1759">
        <v>2110330.2799999998</v>
      </c>
      <c r="Q19" s="665">
        <f t="shared" si="5"/>
        <v>2055797.9915384615</v>
      </c>
      <c r="R19" s="485"/>
      <c r="S19" s="183" t="s">
        <v>203</v>
      </c>
      <c r="T19" s="483"/>
      <c r="U19" s="176"/>
      <c r="V19" s="176"/>
      <c r="W19" s="483">
        <f t="shared" si="6"/>
        <v>2055797.9915384615</v>
      </c>
      <c r="AB19" s="838"/>
      <c r="AC19" s="838"/>
      <c r="AD19" s="838"/>
      <c r="AE19" s="838"/>
      <c r="AF19" s="838"/>
      <c r="AG19" s="838"/>
      <c r="AH19" s="838"/>
      <c r="AI19" s="838"/>
      <c r="AJ19" s="838"/>
      <c r="AK19" s="838"/>
      <c r="AL19" s="838"/>
      <c r="AM19" s="838"/>
      <c r="AN19" s="838"/>
    </row>
    <row r="20" spans="1:44">
      <c r="A20" s="498" t="s">
        <v>129</v>
      </c>
      <c r="B20" s="183" t="s">
        <v>1339</v>
      </c>
      <c r="C20" s="183" t="s">
        <v>1340</v>
      </c>
      <c r="D20" s="1759"/>
      <c r="E20" s="1759"/>
      <c r="F20" s="1759">
        <v>7716738.7000000002</v>
      </c>
      <c r="G20" s="1759">
        <v>10180596.73</v>
      </c>
      <c r="H20" s="1759">
        <v>12315076</v>
      </c>
      <c r="I20" s="1759">
        <v>11506549.190000001</v>
      </c>
      <c r="J20" s="1759">
        <v>9875570.2599999998</v>
      </c>
      <c r="K20" s="1759">
        <v>9094019.4299999997</v>
      </c>
      <c r="L20" s="1759">
        <v>8999034.2100000009</v>
      </c>
      <c r="M20" s="1759">
        <v>7939406.2999999998</v>
      </c>
      <c r="N20" s="1759">
        <v>7053090.2599999998</v>
      </c>
      <c r="O20" s="1759">
        <v>8086173.9000000004</v>
      </c>
      <c r="P20" s="1759">
        <v>9485310.1400000006</v>
      </c>
      <c r="Q20" s="665">
        <f t="shared" si="5"/>
        <v>9295596.82909091</v>
      </c>
      <c r="R20" s="485"/>
      <c r="S20" s="183" t="s">
        <v>414</v>
      </c>
      <c r="T20" s="483"/>
      <c r="U20" s="176"/>
      <c r="V20" s="176"/>
      <c r="W20" s="483">
        <f t="shared" si="6"/>
        <v>9295596.82909091</v>
      </c>
      <c r="AB20" s="838"/>
      <c r="AC20" s="838"/>
      <c r="AD20" s="838"/>
      <c r="AE20" s="838"/>
      <c r="AF20" s="838"/>
      <c r="AG20" s="838"/>
      <c r="AH20" s="838"/>
      <c r="AI20" s="838"/>
      <c r="AJ20" s="838"/>
      <c r="AK20" s="838"/>
      <c r="AL20" s="838"/>
      <c r="AM20" s="838"/>
      <c r="AN20" s="838"/>
    </row>
    <row r="21" spans="1:44">
      <c r="A21" s="498"/>
      <c r="B21" s="183"/>
      <c r="C21" s="176"/>
      <c r="D21" s="1759"/>
      <c r="E21" s="1759"/>
      <c r="F21" s="1759"/>
      <c r="G21" s="1759"/>
      <c r="H21" s="1759"/>
      <c r="I21" s="1759"/>
      <c r="J21" s="1759"/>
      <c r="K21" s="1759"/>
      <c r="L21" s="1759"/>
      <c r="M21" s="1759"/>
      <c r="N21" s="1759"/>
      <c r="O21" s="1759"/>
      <c r="P21" s="1759"/>
      <c r="Q21" s="665"/>
      <c r="R21" s="485"/>
      <c r="S21" s="183"/>
      <c r="T21" s="483"/>
      <c r="U21" s="176"/>
      <c r="V21" s="176"/>
      <c r="W21" s="483"/>
      <c r="AB21" s="838"/>
      <c r="AC21" s="838"/>
      <c r="AD21" s="838"/>
      <c r="AE21" s="838"/>
      <c r="AF21" s="838"/>
      <c r="AG21" s="838"/>
      <c r="AH21" s="838"/>
      <c r="AI21" s="838"/>
      <c r="AJ21" s="838"/>
      <c r="AK21" s="838"/>
      <c r="AL21" s="838"/>
      <c r="AM21" s="838"/>
      <c r="AN21" s="838"/>
    </row>
    <row r="22" spans="1:44">
      <c r="A22" s="499"/>
      <c r="B22" s="489" t="s">
        <v>132</v>
      </c>
      <c r="C22" s="489"/>
      <c r="D22" s="495">
        <f t="shared" ref="D22:Q22" si="7">SUM(D10:D21)</f>
        <v>35870506.000000007</v>
      </c>
      <c r="E22" s="495">
        <f t="shared" si="7"/>
        <v>43520489.460000001</v>
      </c>
      <c r="F22" s="495">
        <f t="shared" si="7"/>
        <v>44748831.780000001</v>
      </c>
      <c r="G22" s="495">
        <f t="shared" si="7"/>
        <v>42935727.719999999</v>
      </c>
      <c r="H22" s="495">
        <f t="shared" si="7"/>
        <v>43174989.609999999</v>
      </c>
      <c r="I22" s="495">
        <f t="shared" si="7"/>
        <v>44728707.57</v>
      </c>
      <c r="J22" s="495">
        <f t="shared" si="7"/>
        <v>41476928.369999997</v>
      </c>
      <c r="K22" s="495">
        <f t="shared" si="7"/>
        <v>39183877.269999996</v>
      </c>
      <c r="L22" s="495">
        <f t="shared" si="7"/>
        <v>39988547.310000002</v>
      </c>
      <c r="M22" s="495">
        <f t="shared" si="7"/>
        <v>38512575.490000002</v>
      </c>
      <c r="N22" s="495">
        <f t="shared" si="7"/>
        <v>35939406.309999995</v>
      </c>
      <c r="O22" s="495">
        <f t="shared" si="7"/>
        <v>33765032.030000001</v>
      </c>
      <c r="P22" s="495">
        <f t="shared" si="7"/>
        <v>45206633.200000003</v>
      </c>
      <c r="Q22" s="495">
        <f t="shared" si="7"/>
        <v>42126418.906013988</v>
      </c>
      <c r="R22" s="485"/>
      <c r="S22" s="176"/>
      <c r="T22" s="483"/>
      <c r="U22" s="2"/>
      <c r="V22" s="2"/>
      <c r="W22" s="495">
        <f>SUM(W10:W21)</f>
        <v>42126418.906013988</v>
      </c>
      <c r="AB22" s="838"/>
      <c r="AC22" s="838"/>
      <c r="AD22" s="838"/>
      <c r="AE22" s="838"/>
      <c r="AF22" s="838"/>
      <c r="AG22" s="838"/>
      <c r="AH22" s="838"/>
      <c r="AI22" s="838"/>
      <c r="AJ22" s="838"/>
      <c r="AK22" s="838"/>
      <c r="AL22" s="838"/>
      <c r="AM22" s="838"/>
      <c r="AN22" s="838"/>
    </row>
    <row r="23" spans="1:44">
      <c r="A23" s="499"/>
      <c r="B23" s="1802"/>
      <c r="C23" s="176"/>
      <c r="D23" s="1715"/>
      <c r="E23" s="1715"/>
      <c r="F23" s="1715"/>
      <c r="G23" s="1715"/>
      <c r="H23" s="1715"/>
      <c r="I23" s="1715"/>
      <c r="J23" s="1715"/>
      <c r="K23" s="1715"/>
      <c r="L23" s="1715"/>
      <c r="M23" s="1715"/>
      <c r="N23" s="1715"/>
      <c r="O23" s="1715"/>
      <c r="P23" s="1715"/>
      <c r="Q23" s="665"/>
      <c r="R23" s="485"/>
      <c r="S23" s="176"/>
      <c r="T23" s="483"/>
      <c r="U23" s="2"/>
      <c r="V23" s="2"/>
      <c r="W23" s="2"/>
      <c r="AC23" s="838"/>
      <c r="AD23" s="838"/>
      <c r="AI23" s="838"/>
      <c r="AJ23" s="838"/>
      <c r="AM23" s="838"/>
      <c r="AN23" s="838"/>
    </row>
    <row r="24" spans="1:44">
      <c r="A24" s="499"/>
      <c r="B24" s="1802"/>
      <c r="C24" s="176"/>
      <c r="D24" s="1715"/>
      <c r="E24" s="1715"/>
      <c r="F24" s="1715"/>
      <c r="G24" s="1715"/>
      <c r="H24" s="1715"/>
      <c r="I24" s="1715"/>
      <c r="J24" s="1715"/>
      <c r="K24" s="1715"/>
      <c r="L24" s="1715"/>
      <c r="M24" s="1715"/>
      <c r="N24" s="1715"/>
      <c r="O24" s="1715"/>
      <c r="P24" s="1715"/>
      <c r="Q24" s="665"/>
      <c r="R24" s="485"/>
      <c r="S24" s="176"/>
      <c r="T24" s="483"/>
      <c r="U24" s="2"/>
      <c r="V24" s="2"/>
      <c r="W24" s="2"/>
      <c r="AC24" s="838"/>
      <c r="AD24" s="838"/>
      <c r="AI24" s="838"/>
      <c r="AJ24" s="838"/>
      <c r="AM24" s="838"/>
      <c r="AN24" s="838"/>
    </row>
    <row r="25" spans="1:44">
      <c r="B25" s="488" t="s">
        <v>218</v>
      </c>
      <c r="C25" s="176"/>
      <c r="D25" s="1715"/>
      <c r="E25" s="1715"/>
      <c r="F25" s="1715"/>
      <c r="G25" s="1715"/>
      <c r="H25" s="1715"/>
      <c r="I25" s="1715"/>
      <c r="J25" s="1715"/>
      <c r="K25" s="1715"/>
      <c r="L25" s="1715"/>
      <c r="M25" s="1715"/>
      <c r="N25" s="1715"/>
      <c r="O25" s="1715"/>
      <c r="P25" s="1715"/>
      <c r="Q25" s="665"/>
      <c r="R25" s="485"/>
      <c r="S25" s="176"/>
      <c r="T25" s="483"/>
      <c r="U25" s="2"/>
      <c r="V25" s="2"/>
      <c r="W25" s="2"/>
      <c r="AC25" s="838"/>
      <c r="AD25" s="838"/>
      <c r="AI25" s="838"/>
      <c r="AJ25" s="838"/>
      <c r="AM25" s="838"/>
      <c r="AN25" s="838"/>
    </row>
    <row r="26" spans="1:44">
      <c r="A26" s="176"/>
      <c r="B26" s="497"/>
      <c r="C26" s="176"/>
      <c r="D26" s="1715"/>
      <c r="E26" s="1715"/>
      <c r="F26" s="1715"/>
      <c r="G26" s="1715"/>
      <c r="H26" s="1715"/>
      <c r="I26" s="1715"/>
      <c r="J26" s="1715"/>
      <c r="K26" s="1715"/>
      <c r="L26" s="1715"/>
      <c r="M26" s="1715"/>
      <c r="N26" s="1759"/>
      <c r="O26" s="1759"/>
      <c r="P26" s="1759"/>
      <c r="Q26" s="665"/>
      <c r="R26" s="485"/>
      <c r="S26" s="176"/>
      <c r="T26" s="483"/>
      <c r="U26" s="125">
        <f>Q26</f>
        <v>0</v>
      </c>
      <c r="V26" s="2"/>
      <c r="W26" s="2"/>
      <c r="AC26" s="838"/>
      <c r="AD26" s="838"/>
      <c r="AI26" s="838"/>
      <c r="AJ26" s="838"/>
      <c r="AM26" s="838"/>
      <c r="AN26" s="838"/>
    </row>
    <row r="27" spans="1:44" s="176" customFormat="1">
      <c r="A27" s="499"/>
      <c r="B27" s="489" t="s">
        <v>214</v>
      </c>
      <c r="C27" s="489"/>
      <c r="D27" s="495">
        <f t="shared" ref="D27:Q27" si="8">SUM(D26:D26)</f>
        <v>0</v>
      </c>
      <c r="E27" s="495">
        <f t="shared" si="8"/>
        <v>0</v>
      </c>
      <c r="F27" s="495">
        <f t="shared" si="8"/>
        <v>0</v>
      </c>
      <c r="G27" s="495">
        <f t="shared" si="8"/>
        <v>0</v>
      </c>
      <c r="H27" s="495">
        <f t="shared" si="8"/>
        <v>0</v>
      </c>
      <c r="I27" s="495">
        <f t="shared" si="8"/>
        <v>0</v>
      </c>
      <c r="J27" s="495">
        <f t="shared" si="8"/>
        <v>0</v>
      </c>
      <c r="K27" s="495">
        <f t="shared" si="8"/>
        <v>0</v>
      </c>
      <c r="L27" s="495">
        <f t="shared" si="8"/>
        <v>0</v>
      </c>
      <c r="M27" s="495">
        <f t="shared" si="8"/>
        <v>0</v>
      </c>
      <c r="N27" s="495">
        <f t="shared" si="8"/>
        <v>0</v>
      </c>
      <c r="O27" s="495">
        <f t="shared" si="8"/>
        <v>0</v>
      </c>
      <c r="P27" s="495">
        <f t="shared" si="8"/>
        <v>0</v>
      </c>
      <c r="Q27" s="495">
        <f t="shared" si="8"/>
        <v>0</v>
      </c>
      <c r="R27" s="485"/>
      <c r="T27" s="483"/>
      <c r="U27" s="495">
        <f>SUM(U26:U26)</f>
        <v>0</v>
      </c>
      <c r="V27" s="2"/>
      <c r="W27" s="2"/>
      <c r="Y27" s="2"/>
      <c r="Z27" s="2"/>
      <c r="AA27" s="2"/>
      <c r="AB27" s="838"/>
      <c r="AC27" s="838"/>
      <c r="AD27" s="838"/>
      <c r="AE27" s="2"/>
      <c r="AF27" s="838"/>
      <c r="AG27" s="838"/>
      <c r="AH27" s="838"/>
      <c r="AI27" s="838"/>
      <c r="AJ27" s="838"/>
      <c r="AM27" s="2"/>
      <c r="AN27" s="838"/>
      <c r="AO27" s="500"/>
    </row>
    <row r="28" spans="1:44" s="176" customFormat="1">
      <c r="A28" s="499"/>
      <c r="B28" s="1755"/>
      <c r="D28" s="1715"/>
      <c r="E28" s="1715"/>
      <c r="F28" s="1715"/>
      <c r="G28" s="1715"/>
      <c r="H28" s="1715"/>
      <c r="I28" s="1715"/>
      <c r="J28" s="1715"/>
      <c r="K28" s="1715"/>
      <c r="L28" s="1715"/>
      <c r="M28" s="1715"/>
      <c r="N28" s="1715"/>
      <c r="O28" s="1715"/>
      <c r="P28" s="1715"/>
      <c r="Q28" s="665"/>
      <c r="R28" s="485"/>
      <c r="T28" s="1807"/>
      <c r="U28" s="2"/>
      <c r="V28" s="2"/>
      <c r="W28" s="2"/>
      <c r="Y28" s="2"/>
      <c r="Z28" s="2"/>
      <c r="AA28" s="2"/>
      <c r="AB28" s="838"/>
      <c r="AC28" s="838"/>
      <c r="AD28" s="838"/>
      <c r="AE28" s="2"/>
      <c r="AF28" s="838"/>
      <c r="AG28" s="838"/>
      <c r="AH28" s="838"/>
      <c r="AI28" s="838"/>
      <c r="AJ28" s="838"/>
      <c r="AM28" s="2"/>
      <c r="AN28" s="838"/>
      <c r="AO28" s="500"/>
    </row>
    <row r="29" spans="1:44" s="176" customFormat="1">
      <c r="A29" s="499"/>
      <c r="B29" s="1789"/>
      <c r="D29" s="1715"/>
      <c r="E29" s="1715"/>
      <c r="F29" s="1715"/>
      <c r="G29" s="1715"/>
      <c r="H29" s="1715"/>
      <c r="I29" s="1715"/>
      <c r="J29" s="1715"/>
      <c r="K29" s="1715"/>
      <c r="L29" s="1715"/>
      <c r="M29" s="1715"/>
      <c r="N29" s="1715"/>
      <c r="O29" s="1715"/>
      <c r="P29" s="1715"/>
      <c r="Q29" s="665"/>
      <c r="R29" s="485"/>
      <c r="T29" s="1807"/>
      <c r="U29" s="2"/>
      <c r="V29" s="2"/>
      <c r="W29" s="2"/>
      <c r="Y29" s="2"/>
      <c r="Z29" s="2"/>
      <c r="AA29" s="2"/>
      <c r="AB29" s="838"/>
      <c r="AC29" s="838"/>
      <c r="AD29" s="838"/>
      <c r="AE29" s="2"/>
      <c r="AF29" s="838"/>
      <c r="AG29" s="838"/>
      <c r="AH29" s="838"/>
      <c r="AI29" s="838"/>
      <c r="AJ29" s="838"/>
      <c r="AM29" s="2"/>
      <c r="AN29" s="838"/>
      <c r="AO29" s="500"/>
    </row>
    <row r="30" spans="1:44" s="176" customFormat="1">
      <c r="A30" s="499"/>
      <c r="B30" s="488" t="s">
        <v>216</v>
      </c>
      <c r="D30" s="1715"/>
      <c r="E30" s="1715"/>
      <c r="F30" s="1715"/>
      <c r="G30" s="1715"/>
      <c r="H30" s="1715"/>
      <c r="I30" s="1715"/>
      <c r="J30" s="1715"/>
      <c r="K30" s="1715"/>
      <c r="L30" s="1715"/>
      <c r="M30" s="1715"/>
      <c r="N30" s="1715"/>
      <c r="O30" s="1715"/>
      <c r="P30" s="1715"/>
      <c r="Q30" s="665"/>
      <c r="R30" s="485"/>
      <c r="T30" s="1807"/>
      <c r="U30" s="2"/>
      <c r="V30" s="2"/>
      <c r="W30" s="2"/>
      <c r="Y30" s="2"/>
      <c r="Z30" s="2"/>
      <c r="AA30" s="2"/>
      <c r="AB30" s="838"/>
      <c r="AC30" s="838"/>
      <c r="AD30" s="838"/>
      <c r="AE30" s="2"/>
      <c r="AF30" s="838"/>
      <c r="AG30" s="838"/>
      <c r="AH30" s="838"/>
      <c r="AI30" s="838"/>
      <c r="AJ30" s="838"/>
      <c r="AM30" s="2"/>
      <c r="AN30" s="838"/>
      <c r="AO30" s="500"/>
    </row>
    <row r="31" spans="1:44" s="176" customFormat="1">
      <c r="A31" s="498" t="s">
        <v>272</v>
      </c>
      <c r="B31" t="s">
        <v>1163</v>
      </c>
      <c r="C31" s="183" t="s">
        <v>1341</v>
      </c>
      <c r="D31" s="1759">
        <v>0</v>
      </c>
      <c r="E31" s="1759">
        <v>568505.1</v>
      </c>
      <c r="F31" s="1759">
        <v>568505.1</v>
      </c>
      <c r="G31" s="1759">
        <v>568505.1</v>
      </c>
      <c r="H31" s="1759">
        <v>1218592.6099999999</v>
      </c>
      <c r="I31" s="1759">
        <v>1218592.6099999999</v>
      </c>
      <c r="J31" s="1759">
        <v>1218592.6099999999</v>
      </c>
      <c r="K31" s="1759">
        <v>1441809.47</v>
      </c>
      <c r="L31" s="1759">
        <v>1441809.47</v>
      </c>
      <c r="M31" s="1759">
        <v>1441809.47</v>
      </c>
      <c r="N31" s="1759">
        <v>1441809.4600000002</v>
      </c>
      <c r="O31" s="1759">
        <v>2162260.88</v>
      </c>
      <c r="P31" s="1759">
        <v>2162260.88</v>
      </c>
      <c r="Q31" s="665">
        <f t="shared" ref="Q31:Q39" si="9">AVERAGE(D31:P31)</f>
        <v>1188696.366153846</v>
      </c>
      <c r="R31" s="485"/>
      <c r="T31" s="1807">
        <f t="shared" ref="T31:T39" si="10">Q31</f>
        <v>1188696.366153846</v>
      </c>
      <c r="U31" s="2"/>
      <c r="V31" s="2"/>
      <c r="W31" s="2"/>
      <c r="Y31" s="2"/>
      <c r="Z31" s="2"/>
      <c r="AA31" s="2"/>
      <c r="AB31" s="838"/>
      <c r="AC31" s="838"/>
      <c r="AD31" s="838"/>
      <c r="AE31" s="2"/>
      <c r="AF31" s="838"/>
      <c r="AG31" s="838"/>
      <c r="AH31" s="838"/>
      <c r="AI31" s="838"/>
      <c r="AJ31" s="838"/>
      <c r="AM31" s="2"/>
      <c r="AN31" s="838"/>
      <c r="AO31" s="500"/>
    </row>
    <row r="32" spans="1:44">
      <c r="A32" s="498" t="s">
        <v>272</v>
      </c>
      <c r="B32" t="s">
        <v>1164</v>
      </c>
      <c r="C32" t="s">
        <v>211</v>
      </c>
      <c r="D32" s="1759">
        <f>3242797+94336+5907786.65</f>
        <v>9244919.6500000004</v>
      </c>
      <c r="E32" s="1759">
        <v>9244919.6699999999</v>
      </c>
      <c r="F32" s="1759">
        <v>9893599.6199999992</v>
      </c>
      <c r="G32" s="1759">
        <v>9893599.6199999992</v>
      </c>
      <c r="H32" s="1759">
        <v>10329708.609999999</v>
      </c>
      <c r="I32" s="1759">
        <v>436108.98</v>
      </c>
      <c r="J32" s="1759">
        <v>436108.98</v>
      </c>
      <c r="K32" s="1759">
        <v>767921.84</v>
      </c>
      <c r="L32" s="1759">
        <v>767921.84</v>
      </c>
      <c r="M32" s="1759">
        <v>767921.84</v>
      </c>
      <c r="N32" s="1759">
        <v>1520644.6600000001</v>
      </c>
      <c r="O32" s="1759">
        <v>1520644.6600000001</v>
      </c>
      <c r="P32" s="1759">
        <v>1520644.6600000001</v>
      </c>
      <c r="Q32" s="665">
        <f t="shared" si="9"/>
        <v>4334204.9715384608</v>
      </c>
      <c r="T32" s="1807">
        <f t="shared" si="10"/>
        <v>4334204.9715384608</v>
      </c>
      <c r="AM32" s="838"/>
      <c r="AN32" s="838"/>
      <c r="AP32"/>
      <c r="AQ32"/>
      <c r="AR32"/>
    </row>
    <row r="33" spans="1:20">
      <c r="A33" s="498" t="s">
        <v>272</v>
      </c>
      <c r="B33" t="s">
        <v>1165</v>
      </c>
      <c r="C33" t="s">
        <v>1070</v>
      </c>
      <c r="D33" s="1759">
        <v>500071.74</v>
      </c>
      <c r="E33" s="1759">
        <v>402467.89</v>
      </c>
      <c r="F33" s="1759">
        <v>309364.03999999998</v>
      </c>
      <c r="G33" s="1759">
        <v>257060.25</v>
      </c>
      <c r="H33" s="1759">
        <v>231123.07</v>
      </c>
      <c r="I33" s="1759">
        <v>205185.89</v>
      </c>
      <c r="J33" s="1759">
        <v>179248.71</v>
      </c>
      <c r="K33" s="1759">
        <v>153311.53</v>
      </c>
      <c r="L33" s="1759">
        <v>127374.35</v>
      </c>
      <c r="M33" s="1759">
        <v>101437.17</v>
      </c>
      <c r="N33" s="1759">
        <v>75500</v>
      </c>
      <c r="O33" s="1759">
        <v>60400</v>
      </c>
      <c r="P33" s="1759">
        <v>45300</v>
      </c>
      <c r="Q33" s="665">
        <f t="shared" si="9"/>
        <v>203680.35692307691</v>
      </c>
      <c r="T33" s="1807">
        <f t="shared" si="10"/>
        <v>203680.35692307691</v>
      </c>
    </row>
    <row r="34" spans="1:20">
      <c r="A34" s="498" t="s">
        <v>272</v>
      </c>
      <c r="B34" t="s">
        <v>1145</v>
      </c>
      <c r="C34" t="s">
        <v>1146</v>
      </c>
      <c r="D34" s="1759">
        <v>33006</v>
      </c>
      <c r="E34" s="1759">
        <v>33006</v>
      </c>
      <c r="F34" s="1759">
        <v>33006</v>
      </c>
      <c r="G34" s="1759">
        <v>33006</v>
      </c>
      <c r="H34" s="1759">
        <v>33006</v>
      </c>
      <c r="I34" s="1759">
        <v>33006</v>
      </c>
      <c r="J34" s="1759">
        <v>33006</v>
      </c>
      <c r="K34" s="1759">
        <v>33006</v>
      </c>
      <c r="L34" s="1759">
        <v>33006</v>
      </c>
      <c r="M34" s="1759">
        <v>33006</v>
      </c>
      <c r="N34" s="1759">
        <v>33006</v>
      </c>
      <c r="O34" s="1759">
        <v>33006</v>
      </c>
      <c r="P34" s="1759">
        <v>33006</v>
      </c>
      <c r="Q34" s="665">
        <f t="shared" si="9"/>
        <v>33006</v>
      </c>
      <c r="T34" s="1807">
        <f t="shared" si="10"/>
        <v>33006</v>
      </c>
    </row>
    <row r="35" spans="1:20">
      <c r="A35" s="498" t="s">
        <v>272</v>
      </c>
      <c r="B35" t="s">
        <v>1123</v>
      </c>
      <c r="C35" t="s">
        <v>1215</v>
      </c>
      <c r="D35" s="1759">
        <f>7998+319112.18</f>
        <v>327110.18</v>
      </c>
      <c r="E35" s="1759">
        <v>261642.63999999998</v>
      </c>
      <c r="F35" s="1759">
        <v>196174.63999999998</v>
      </c>
      <c r="G35" s="1759">
        <v>130706.64</v>
      </c>
      <c r="H35" s="1759">
        <v>65238.64</v>
      </c>
      <c r="I35" s="1759">
        <v>-229.35999999999999</v>
      </c>
      <c r="J35" s="1759">
        <v>-228.96</v>
      </c>
      <c r="K35" s="1759">
        <v>719960.18</v>
      </c>
      <c r="L35" s="1759">
        <v>647940.13</v>
      </c>
      <c r="M35" s="1759">
        <v>569835.01</v>
      </c>
      <c r="N35" s="1759">
        <v>503900.13</v>
      </c>
      <c r="O35" s="1759">
        <v>431880.13</v>
      </c>
      <c r="P35" s="1759">
        <v>359860.13</v>
      </c>
      <c r="Q35" s="665">
        <f t="shared" si="9"/>
        <v>324137.70230769232</v>
      </c>
      <c r="T35" s="1807">
        <f t="shared" si="10"/>
        <v>324137.70230769232</v>
      </c>
    </row>
    <row r="36" spans="1:20">
      <c r="A36" s="498" t="s">
        <v>272</v>
      </c>
      <c r="B36" s="428" t="s">
        <v>1238</v>
      </c>
      <c r="C36" t="s">
        <v>1239</v>
      </c>
      <c r="D36" s="1759">
        <v>45300</v>
      </c>
      <c r="E36" s="1759">
        <v>45300</v>
      </c>
      <c r="F36" s="1759">
        <v>45300</v>
      </c>
      <c r="G36" s="1759">
        <v>0</v>
      </c>
      <c r="H36" s="1759">
        <v>0</v>
      </c>
      <c r="I36" s="1759">
        <v>0</v>
      </c>
      <c r="J36" s="1759">
        <v>0</v>
      </c>
      <c r="K36" s="1759">
        <v>0</v>
      </c>
      <c r="L36" s="1759">
        <v>0</v>
      </c>
      <c r="M36" s="1759">
        <v>0</v>
      </c>
      <c r="N36" s="1759">
        <v>0</v>
      </c>
      <c r="O36" s="1759">
        <v>0</v>
      </c>
      <c r="P36" s="1759">
        <v>0</v>
      </c>
      <c r="Q36" s="665">
        <f t="shared" si="9"/>
        <v>10453.846153846154</v>
      </c>
      <c r="T36" s="1807">
        <f t="shared" si="10"/>
        <v>10453.846153846154</v>
      </c>
    </row>
    <row r="37" spans="1:20">
      <c r="A37" s="498" t="s">
        <v>272</v>
      </c>
      <c r="B37" s="1813" t="s">
        <v>1240</v>
      </c>
      <c r="C37" t="s">
        <v>1241</v>
      </c>
      <c r="D37" s="1759">
        <v>1693446</v>
      </c>
      <c r="E37" s="1759">
        <v>1693446</v>
      </c>
      <c r="F37" s="1759">
        <v>1693446</v>
      </c>
      <c r="G37" s="1759">
        <v>1693446</v>
      </c>
      <c r="H37" s="1759">
        <v>1693446</v>
      </c>
      <c r="I37" s="1759">
        <v>1693446</v>
      </c>
      <c r="J37" s="1759">
        <v>1693446</v>
      </c>
      <c r="K37" s="1759">
        <v>1693446</v>
      </c>
      <c r="L37" s="1759">
        <v>1693446</v>
      </c>
      <c r="M37" s="1759">
        <v>1693446</v>
      </c>
      <c r="N37" s="1759">
        <v>1693446</v>
      </c>
      <c r="O37" s="1759">
        <v>1693446</v>
      </c>
      <c r="P37" s="1759">
        <v>1777100</v>
      </c>
      <c r="Q37" s="665">
        <f t="shared" si="9"/>
        <v>1699880.923076923</v>
      </c>
      <c r="T37" s="1807">
        <f t="shared" si="10"/>
        <v>1699880.923076923</v>
      </c>
    </row>
    <row r="38" spans="1:20">
      <c r="A38" s="498" t="s">
        <v>272</v>
      </c>
      <c r="B38" t="s">
        <v>1322</v>
      </c>
      <c r="C38" t="s">
        <v>1323</v>
      </c>
      <c r="D38" s="1759">
        <v>104284.07999999821</v>
      </c>
      <c r="E38" s="1759">
        <v>0</v>
      </c>
      <c r="F38" s="1759">
        <v>0</v>
      </c>
      <c r="G38" s="1759">
        <v>0</v>
      </c>
      <c r="H38" s="1759">
        <v>0</v>
      </c>
      <c r="I38" s="1759">
        <v>0</v>
      </c>
      <c r="J38" s="1759">
        <v>0</v>
      </c>
      <c r="K38" s="1759">
        <v>0</v>
      </c>
      <c r="L38" s="1759">
        <v>0</v>
      </c>
      <c r="M38" s="1759">
        <v>0</v>
      </c>
      <c r="N38" s="1759">
        <v>0</v>
      </c>
      <c r="O38" s="1759">
        <v>0</v>
      </c>
      <c r="P38" s="1759">
        <v>0</v>
      </c>
      <c r="Q38" s="665">
        <f t="shared" si="9"/>
        <v>8021.8523076921701</v>
      </c>
      <c r="T38" s="1807">
        <f t="shared" si="10"/>
        <v>8021.8523076921701</v>
      </c>
    </row>
    <row r="39" spans="1:20">
      <c r="A39" s="498" t="s">
        <v>272</v>
      </c>
      <c r="B39" s="665" t="s">
        <v>1069</v>
      </c>
      <c r="C39" t="s">
        <v>1295</v>
      </c>
      <c r="D39" s="1759">
        <v>1959692.65</v>
      </c>
      <c r="E39" s="1759">
        <v>0</v>
      </c>
      <c r="F39" s="1759">
        <v>0</v>
      </c>
      <c r="G39" s="1759">
        <v>0</v>
      </c>
      <c r="H39" s="1759">
        <v>0</v>
      </c>
      <c r="I39" s="1759">
        <v>0</v>
      </c>
      <c r="J39" s="1759">
        <v>0</v>
      </c>
      <c r="K39" s="1759">
        <v>0</v>
      </c>
      <c r="L39" s="1759">
        <v>0</v>
      </c>
      <c r="M39" s="1759">
        <v>0</v>
      </c>
      <c r="N39" s="1759">
        <v>0</v>
      </c>
      <c r="O39" s="1759">
        <v>0</v>
      </c>
      <c r="P39" s="1759">
        <v>0</v>
      </c>
      <c r="Q39" s="665">
        <f t="shared" si="9"/>
        <v>150745.58846153846</v>
      </c>
      <c r="T39" s="1807">
        <f t="shared" si="10"/>
        <v>150745.58846153846</v>
      </c>
    </row>
    <row r="40" spans="1:20">
      <c r="A40" s="498"/>
      <c r="B40" s="1806"/>
      <c r="D40" s="428"/>
      <c r="E40" s="428"/>
      <c r="F40" s="428"/>
      <c r="G40" s="428"/>
      <c r="H40" s="428"/>
      <c r="I40" s="428"/>
      <c r="J40" s="428"/>
      <c r="K40" s="428"/>
      <c r="L40" s="428"/>
      <c r="M40" s="428"/>
      <c r="N40" s="428"/>
      <c r="O40" s="428"/>
      <c r="P40" s="428"/>
      <c r="Q40" s="665"/>
      <c r="T40" s="1807"/>
    </row>
    <row r="41" spans="1:20">
      <c r="B41" s="489" t="s">
        <v>217</v>
      </c>
      <c r="C41" s="489"/>
      <c r="D41" s="495">
        <f t="shared" ref="D41:Q41" si="11">SUM(D31:D40)</f>
        <v>13907830.299999999</v>
      </c>
      <c r="E41" s="495">
        <f t="shared" si="11"/>
        <v>12249287.300000001</v>
      </c>
      <c r="F41" s="495">
        <f t="shared" si="11"/>
        <v>12739395.399999999</v>
      </c>
      <c r="G41" s="495">
        <f t="shared" si="11"/>
        <v>12576323.609999999</v>
      </c>
      <c r="H41" s="495">
        <f t="shared" si="11"/>
        <v>13571114.93</v>
      </c>
      <c r="I41" s="495">
        <f t="shared" si="11"/>
        <v>3586110.12</v>
      </c>
      <c r="J41" s="495">
        <f t="shared" si="11"/>
        <v>3560173.34</v>
      </c>
      <c r="K41" s="495">
        <f t="shared" si="11"/>
        <v>4809455.0199999996</v>
      </c>
      <c r="L41" s="495">
        <f t="shared" si="11"/>
        <v>4711497.79</v>
      </c>
      <c r="M41" s="495">
        <f t="shared" si="11"/>
        <v>4607455.49</v>
      </c>
      <c r="N41" s="495">
        <f t="shared" si="11"/>
        <v>5268306.25</v>
      </c>
      <c r="O41" s="495">
        <f t="shared" si="11"/>
        <v>5901637.6699999999</v>
      </c>
      <c r="P41" s="495">
        <f t="shared" si="11"/>
        <v>5898171.6699999999</v>
      </c>
      <c r="Q41" s="495">
        <f t="shared" si="11"/>
        <v>7952827.6069230773</v>
      </c>
      <c r="T41" s="495">
        <f>SUM(T31:T39)</f>
        <v>7952827.6069230773</v>
      </c>
    </row>
    <row r="44" spans="1:20">
      <c r="D44" s="428">
        <f>D41+D27+D22+D6</f>
        <v>50079310.520000003</v>
      </c>
      <c r="P44" s="428">
        <f>P41+P27+P22+P6</f>
        <v>51382582.010000005</v>
      </c>
    </row>
  </sheetData>
  <phoneticPr fontId="49" type="noConversion"/>
  <pageMargins left="0.17" right="0.17" top="0.17" bottom="0.16" header="0.3" footer="0.3"/>
  <pageSetup paperSize="5" scale="48" fitToHeight="2" orientation="landscape" r:id="rId1"/>
  <colBreaks count="1" manualBreakCount="1">
    <brk id="2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6"/>
  <sheetViews>
    <sheetView zoomScale="75" zoomScaleNormal="75" workbookViewId="0">
      <pane ySplit="2" topLeftCell="A3" activePane="bottomLeft" state="frozen"/>
      <selection activeCell="C309" sqref="C309"/>
      <selection pane="bottomLeft" activeCell="K11" sqref="K11"/>
    </sheetView>
  </sheetViews>
  <sheetFormatPr defaultColWidth="9.140625" defaultRowHeight="12.75"/>
  <cols>
    <col min="1" max="1" width="9.140625" style="629"/>
    <col min="2" max="2" width="70.42578125" style="97" bestFit="1" customWidth="1"/>
    <col min="3" max="3" width="20.7109375" style="630" customWidth="1"/>
    <col min="4" max="4" width="20.7109375" style="631" customWidth="1"/>
    <col min="5" max="5" width="20.42578125" style="631" customWidth="1"/>
    <col min="6" max="16384" width="9.140625" style="97"/>
  </cols>
  <sheetData>
    <row r="1" spans="1:5" ht="26.25" customHeight="1">
      <c r="A1" s="47" t="s">
        <v>546</v>
      </c>
      <c r="B1" s="47"/>
      <c r="C1" s="643"/>
      <c r="D1" s="644"/>
      <c r="E1" s="644"/>
    </row>
    <row r="2" spans="1:5" ht="38.25">
      <c r="A2" s="487" t="s">
        <v>141</v>
      </c>
      <c r="B2" s="487" t="s">
        <v>142</v>
      </c>
      <c r="C2" s="627" t="s">
        <v>1327</v>
      </c>
      <c r="D2" s="628" t="s">
        <v>1328</v>
      </c>
      <c r="E2" s="628" t="s">
        <v>1329</v>
      </c>
    </row>
    <row r="3" spans="1:5">
      <c r="A3" s="629">
        <v>1</v>
      </c>
      <c r="B3" t="s">
        <v>1170</v>
      </c>
      <c r="C3" s="184">
        <v>3515000</v>
      </c>
      <c r="D3" s="184">
        <v>3128000</v>
      </c>
      <c r="E3" s="1826">
        <f>C3-D3</f>
        <v>387000</v>
      </c>
    </row>
    <row r="4" spans="1:5">
      <c r="A4" s="629">
        <f t="shared" ref="A4:A79" si="0">+A3+1</f>
        <v>2</v>
      </c>
      <c r="B4" t="s">
        <v>1171</v>
      </c>
      <c r="C4" s="184">
        <v>89000</v>
      </c>
      <c r="D4" s="184">
        <v>68000</v>
      </c>
      <c r="E4" s="1826">
        <f>C4-D4</f>
        <v>21000</v>
      </c>
    </row>
    <row r="5" spans="1:5">
      <c r="A5" s="629">
        <f>+A4+1</f>
        <v>3</v>
      </c>
      <c r="B5" t="s">
        <v>1172</v>
      </c>
      <c r="C5" s="184">
        <v>269000</v>
      </c>
      <c r="D5" s="184">
        <v>213000</v>
      </c>
      <c r="E5" s="1826">
        <f>C5-D5</f>
        <v>56000</v>
      </c>
    </row>
    <row r="6" spans="1:5">
      <c r="A6" s="629">
        <f>+A5+1</f>
        <v>4</v>
      </c>
    </row>
    <row r="7" spans="1:5">
      <c r="A7" s="629">
        <f>+A6+1</f>
        <v>5</v>
      </c>
      <c r="C7" s="1671"/>
      <c r="D7" s="1671"/>
      <c r="E7" s="1826"/>
    </row>
    <row r="8" spans="1:5">
      <c r="A8" s="629">
        <f t="shared" si="0"/>
        <v>6</v>
      </c>
      <c r="B8" s="632" t="s">
        <v>143</v>
      </c>
      <c r="C8" s="1827">
        <f>SUM(C3:C5)</f>
        <v>3873000</v>
      </c>
      <c r="D8" s="1827">
        <f>SUM(D3:D5)</f>
        <v>3409000</v>
      </c>
      <c r="E8" s="1827">
        <f>SUM(E3:E5)</f>
        <v>464000</v>
      </c>
    </row>
    <row r="9" spans="1:5">
      <c r="A9" s="629">
        <f t="shared" si="0"/>
        <v>7</v>
      </c>
      <c r="C9" s="1828"/>
      <c r="D9" s="1829"/>
      <c r="E9" s="1829"/>
    </row>
    <row r="10" spans="1:5">
      <c r="A10" s="629">
        <f t="shared" si="0"/>
        <v>8</v>
      </c>
      <c r="B10" t="s">
        <v>1034</v>
      </c>
      <c r="C10" s="184">
        <v>2000</v>
      </c>
      <c r="D10" s="97"/>
      <c r="E10" s="1826">
        <f t="shared" ref="E10:E31" si="1">C10-D10</f>
        <v>2000</v>
      </c>
    </row>
    <row r="11" spans="1:5">
      <c r="A11" s="629">
        <f t="shared" si="0"/>
        <v>9</v>
      </c>
      <c r="B11" t="s">
        <v>1035</v>
      </c>
      <c r="C11" s="184">
        <v>29000</v>
      </c>
      <c r="D11" s="1816">
        <v>10000</v>
      </c>
      <c r="E11" s="1826">
        <f t="shared" si="1"/>
        <v>19000</v>
      </c>
    </row>
    <row r="12" spans="1:5">
      <c r="A12" s="629">
        <f t="shared" si="0"/>
        <v>10</v>
      </c>
      <c r="B12" t="s">
        <v>1036</v>
      </c>
      <c r="C12" s="184">
        <v>132000</v>
      </c>
      <c r="D12" s="1816">
        <v>39000</v>
      </c>
      <c r="E12" s="1826">
        <f t="shared" si="1"/>
        <v>93000</v>
      </c>
    </row>
    <row r="13" spans="1:5">
      <c r="A13" s="629">
        <f t="shared" si="0"/>
        <v>11</v>
      </c>
      <c r="B13" t="s">
        <v>1037</v>
      </c>
      <c r="C13" s="184">
        <v>1000</v>
      </c>
      <c r="D13" s="1816">
        <v>1000</v>
      </c>
      <c r="E13" s="1826">
        <f t="shared" si="1"/>
        <v>0</v>
      </c>
    </row>
    <row r="14" spans="1:5">
      <c r="A14" s="629">
        <f t="shared" si="0"/>
        <v>12</v>
      </c>
      <c r="B14" t="s">
        <v>1038</v>
      </c>
      <c r="C14" s="665">
        <v>7000</v>
      </c>
      <c r="D14" s="1816">
        <v>1000</v>
      </c>
      <c r="E14" s="1826">
        <f t="shared" si="1"/>
        <v>6000</v>
      </c>
    </row>
    <row r="15" spans="1:5">
      <c r="A15" s="629">
        <f t="shared" si="0"/>
        <v>13</v>
      </c>
      <c r="B15" t="s">
        <v>1125</v>
      </c>
      <c r="C15" s="665">
        <v>40000</v>
      </c>
      <c r="D15" s="1816">
        <v>30000</v>
      </c>
      <c r="E15" s="1826">
        <f t="shared" si="1"/>
        <v>10000</v>
      </c>
    </row>
    <row r="16" spans="1:5">
      <c r="A16" s="629">
        <f t="shared" si="0"/>
        <v>14</v>
      </c>
      <c r="B16" t="s">
        <v>1078</v>
      </c>
      <c r="C16" s="665">
        <v>1684000</v>
      </c>
      <c r="D16" s="1816">
        <v>396000</v>
      </c>
      <c r="E16" s="1826">
        <f t="shared" si="1"/>
        <v>1288000</v>
      </c>
    </row>
    <row r="17" spans="1:5">
      <c r="A17" s="629">
        <f t="shared" si="0"/>
        <v>15</v>
      </c>
      <c r="B17" t="s">
        <v>1039</v>
      </c>
      <c r="C17" s="665">
        <v>153000</v>
      </c>
      <c r="D17" s="1816">
        <v>46000</v>
      </c>
      <c r="E17" s="1826">
        <f t="shared" si="1"/>
        <v>107000</v>
      </c>
    </row>
    <row r="18" spans="1:5">
      <c r="A18" s="629">
        <f t="shared" si="0"/>
        <v>16</v>
      </c>
      <c r="B18" t="s">
        <v>1040</v>
      </c>
      <c r="C18" s="184">
        <v>79000</v>
      </c>
      <c r="D18" s="1816">
        <v>69000</v>
      </c>
      <c r="E18" s="1826">
        <f t="shared" si="1"/>
        <v>10000</v>
      </c>
    </row>
    <row r="19" spans="1:5">
      <c r="A19" s="629">
        <f t="shared" si="0"/>
        <v>17</v>
      </c>
      <c r="B19" t="s">
        <v>1041</v>
      </c>
      <c r="C19" s="184">
        <v>405000</v>
      </c>
      <c r="D19" s="1816">
        <v>254000</v>
      </c>
      <c r="E19" s="1826">
        <f t="shared" si="1"/>
        <v>151000</v>
      </c>
    </row>
    <row r="20" spans="1:5">
      <c r="A20" s="629">
        <f t="shared" si="0"/>
        <v>18</v>
      </c>
      <c r="B20" t="s">
        <v>1042</v>
      </c>
      <c r="C20" s="184">
        <v>144000</v>
      </c>
      <c r="D20" s="1816">
        <v>97000</v>
      </c>
      <c r="E20" s="1826">
        <f t="shared" si="1"/>
        <v>47000</v>
      </c>
    </row>
    <row r="21" spans="1:5">
      <c r="A21" s="629">
        <f t="shared" si="0"/>
        <v>19</v>
      </c>
      <c r="B21" t="s">
        <v>1043</v>
      </c>
      <c r="C21" s="184">
        <v>134000</v>
      </c>
      <c r="D21" s="1816">
        <v>90000</v>
      </c>
      <c r="E21" s="1826">
        <f t="shared" si="1"/>
        <v>44000</v>
      </c>
    </row>
    <row r="22" spans="1:5">
      <c r="A22" s="629">
        <f t="shared" si="0"/>
        <v>20</v>
      </c>
      <c r="B22" t="s">
        <v>1044</v>
      </c>
      <c r="C22" s="184">
        <v>112000</v>
      </c>
      <c r="D22" s="1816">
        <v>86000</v>
      </c>
      <c r="E22" s="1826">
        <f t="shared" si="1"/>
        <v>26000</v>
      </c>
    </row>
    <row r="23" spans="1:5">
      <c r="A23" s="629">
        <f t="shared" si="0"/>
        <v>21</v>
      </c>
      <c r="B23" t="s">
        <v>1045</v>
      </c>
      <c r="C23" s="184">
        <v>5413000</v>
      </c>
      <c r="D23" s="1816">
        <v>5213000</v>
      </c>
      <c r="E23" s="1826">
        <f t="shared" si="1"/>
        <v>200000</v>
      </c>
    </row>
    <row r="24" spans="1:5">
      <c r="A24" s="629">
        <f t="shared" si="0"/>
        <v>22</v>
      </c>
      <c r="B24" t="s">
        <v>1063</v>
      </c>
      <c r="C24" s="184">
        <v>5619000</v>
      </c>
      <c r="D24" s="1816">
        <v>4271000</v>
      </c>
      <c r="E24" s="1826">
        <f t="shared" si="1"/>
        <v>1348000</v>
      </c>
    </row>
    <row r="25" spans="1:5">
      <c r="A25" s="629">
        <f t="shared" si="0"/>
        <v>23</v>
      </c>
      <c r="B25" t="s">
        <v>1167</v>
      </c>
      <c r="C25" s="184">
        <v>5035000</v>
      </c>
      <c r="D25" s="1816">
        <v>1940000</v>
      </c>
      <c r="E25" s="1826">
        <f t="shared" si="1"/>
        <v>3095000</v>
      </c>
    </row>
    <row r="26" spans="1:5">
      <c r="A26" s="629">
        <f t="shared" si="0"/>
        <v>24</v>
      </c>
      <c r="B26" t="s">
        <v>1046</v>
      </c>
      <c r="C26" s="184">
        <v>3189000</v>
      </c>
      <c r="D26" s="1816">
        <v>777000</v>
      </c>
      <c r="E26" s="1826">
        <f t="shared" si="1"/>
        <v>2412000</v>
      </c>
    </row>
    <row r="27" spans="1:5">
      <c r="A27" s="629">
        <f t="shared" si="0"/>
        <v>25</v>
      </c>
      <c r="B27" t="s">
        <v>1047</v>
      </c>
      <c r="C27" s="184">
        <v>3815000</v>
      </c>
      <c r="D27" s="1816">
        <v>1730000</v>
      </c>
      <c r="E27" s="1826">
        <f t="shared" si="1"/>
        <v>2085000</v>
      </c>
    </row>
    <row r="28" spans="1:5">
      <c r="A28" s="629">
        <f t="shared" si="0"/>
        <v>26</v>
      </c>
      <c r="B28" t="s">
        <v>1048</v>
      </c>
      <c r="C28" s="184">
        <v>1732000</v>
      </c>
      <c r="D28" s="1816">
        <v>743000</v>
      </c>
      <c r="E28" s="1826">
        <f t="shared" si="1"/>
        <v>989000</v>
      </c>
    </row>
    <row r="29" spans="1:5">
      <c r="A29" s="629">
        <f t="shared" si="0"/>
        <v>27</v>
      </c>
      <c r="B29" t="s">
        <v>1049</v>
      </c>
      <c r="C29" s="184">
        <v>411000</v>
      </c>
      <c r="D29" s="1816">
        <v>123000</v>
      </c>
      <c r="E29" s="1826">
        <f t="shared" si="1"/>
        <v>288000</v>
      </c>
    </row>
    <row r="30" spans="1:5">
      <c r="A30" s="629">
        <f t="shared" si="0"/>
        <v>28</v>
      </c>
      <c r="B30" t="s">
        <v>1050</v>
      </c>
      <c r="C30" s="184">
        <v>8919000</v>
      </c>
      <c r="D30" s="1816">
        <v>2676000</v>
      </c>
      <c r="E30" s="1826">
        <f t="shared" si="1"/>
        <v>6243000</v>
      </c>
    </row>
    <row r="31" spans="1:5">
      <c r="A31" s="629">
        <f t="shared" si="0"/>
        <v>29</v>
      </c>
      <c r="B31" t="s">
        <v>1051</v>
      </c>
      <c r="C31" s="184">
        <v>9381000</v>
      </c>
      <c r="D31" s="1816">
        <v>3341000</v>
      </c>
      <c r="E31" s="1826">
        <f t="shared" si="1"/>
        <v>6040000</v>
      </c>
    </row>
    <row r="32" spans="1:5">
      <c r="A32" s="629">
        <f t="shared" si="0"/>
        <v>30</v>
      </c>
      <c r="B32" t="s">
        <v>1052</v>
      </c>
      <c r="C32" s="184">
        <v>2700000</v>
      </c>
      <c r="D32" s="1816">
        <v>816000</v>
      </c>
      <c r="E32" s="1826">
        <f t="shared" ref="E32:E72" si="2">C32-D32</f>
        <v>1884000</v>
      </c>
    </row>
    <row r="33" spans="1:5">
      <c r="A33" s="629">
        <f t="shared" si="0"/>
        <v>31</v>
      </c>
      <c r="B33" t="s">
        <v>1079</v>
      </c>
      <c r="C33" s="184">
        <v>24186000</v>
      </c>
      <c r="D33" s="1816">
        <v>9651000</v>
      </c>
      <c r="E33" s="1826">
        <f t="shared" si="2"/>
        <v>14535000</v>
      </c>
    </row>
    <row r="34" spans="1:5">
      <c r="A34" s="629">
        <f t="shared" si="0"/>
        <v>32</v>
      </c>
      <c r="B34" t="s">
        <v>1053</v>
      </c>
      <c r="C34" s="184">
        <v>1780000</v>
      </c>
      <c r="D34" s="1816">
        <v>571000</v>
      </c>
      <c r="E34" s="1826">
        <f t="shared" si="2"/>
        <v>1209000</v>
      </c>
    </row>
    <row r="35" spans="1:5">
      <c r="A35" s="629">
        <f t="shared" si="0"/>
        <v>33</v>
      </c>
      <c r="B35" t="s">
        <v>1054</v>
      </c>
      <c r="C35" s="184">
        <v>31000</v>
      </c>
      <c r="D35" s="1816">
        <v>11000</v>
      </c>
      <c r="E35" s="1826">
        <f t="shared" si="2"/>
        <v>20000</v>
      </c>
    </row>
    <row r="36" spans="1:5">
      <c r="A36" s="629">
        <f t="shared" si="0"/>
        <v>34</v>
      </c>
      <c r="B36" t="s">
        <v>1055</v>
      </c>
      <c r="C36" s="184">
        <v>206000</v>
      </c>
      <c r="D36" s="1816">
        <v>45000</v>
      </c>
      <c r="E36" s="1826">
        <f t="shared" si="2"/>
        <v>161000</v>
      </c>
    </row>
    <row r="37" spans="1:5">
      <c r="A37" s="629">
        <f t="shared" si="0"/>
        <v>35</v>
      </c>
      <c r="B37" t="s">
        <v>1056</v>
      </c>
      <c r="C37" s="184">
        <v>127000</v>
      </c>
      <c r="D37" s="1816">
        <v>43000</v>
      </c>
      <c r="E37" s="1826">
        <f t="shared" si="2"/>
        <v>84000</v>
      </c>
    </row>
    <row r="38" spans="1:5">
      <c r="A38" s="629">
        <f t="shared" si="0"/>
        <v>36</v>
      </c>
      <c r="B38" t="s">
        <v>1064</v>
      </c>
      <c r="C38" s="184">
        <v>4059000</v>
      </c>
      <c r="D38" s="1816">
        <v>979000</v>
      </c>
      <c r="E38" s="1826">
        <f t="shared" si="2"/>
        <v>3080000</v>
      </c>
    </row>
    <row r="39" spans="1:5">
      <c r="A39" s="629">
        <f t="shared" si="0"/>
        <v>37</v>
      </c>
      <c r="B39" t="s">
        <v>1065</v>
      </c>
      <c r="C39" s="184">
        <v>4730000</v>
      </c>
      <c r="D39" s="1816">
        <v>1005000</v>
      </c>
      <c r="E39" s="1826">
        <f t="shared" si="2"/>
        <v>3725000</v>
      </c>
    </row>
    <row r="40" spans="1:5">
      <c r="A40" s="629">
        <f t="shared" si="0"/>
        <v>38</v>
      </c>
      <c r="B40" t="s">
        <v>1057</v>
      </c>
      <c r="C40" s="184">
        <v>209000</v>
      </c>
      <c r="D40" s="1816">
        <v>156000</v>
      </c>
      <c r="E40" s="1826">
        <f t="shared" si="2"/>
        <v>53000</v>
      </c>
    </row>
    <row r="41" spans="1:5">
      <c r="A41" s="629">
        <f t="shared" si="0"/>
        <v>39</v>
      </c>
      <c r="B41" t="s">
        <v>1058</v>
      </c>
      <c r="C41" s="184">
        <v>92000</v>
      </c>
      <c r="D41" s="1816">
        <v>-36000</v>
      </c>
      <c r="E41" s="1826">
        <f t="shared" si="2"/>
        <v>128000</v>
      </c>
    </row>
    <row r="42" spans="1:5">
      <c r="A42" s="629">
        <f t="shared" si="0"/>
        <v>40</v>
      </c>
      <c r="B42" t="s">
        <v>1059</v>
      </c>
      <c r="C42" s="184">
        <v>26000</v>
      </c>
      <c r="D42" s="1816">
        <v>14000</v>
      </c>
      <c r="E42" s="1826">
        <f t="shared" si="2"/>
        <v>12000</v>
      </c>
    </row>
    <row r="43" spans="1:5">
      <c r="A43" s="629">
        <f t="shared" si="0"/>
        <v>41</v>
      </c>
      <c r="B43" t="s">
        <v>1080</v>
      </c>
      <c r="C43" s="184">
        <v>2835000</v>
      </c>
      <c r="D43" s="1816">
        <v>570000</v>
      </c>
      <c r="E43" s="1826">
        <f t="shared" si="2"/>
        <v>2265000</v>
      </c>
    </row>
    <row r="44" spans="1:5">
      <c r="A44" s="629">
        <f t="shared" si="0"/>
        <v>42</v>
      </c>
      <c r="B44" t="s">
        <v>1060</v>
      </c>
      <c r="C44" s="184">
        <v>3525000</v>
      </c>
      <c r="D44" s="1816">
        <v>3592000</v>
      </c>
      <c r="E44" s="1826">
        <f t="shared" si="2"/>
        <v>-67000</v>
      </c>
    </row>
    <row r="45" spans="1:5">
      <c r="A45" s="629">
        <f t="shared" si="0"/>
        <v>43</v>
      </c>
      <c r="B45" t="s">
        <v>1061</v>
      </c>
      <c r="C45" s="184">
        <v>137000</v>
      </c>
      <c r="D45" s="1816">
        <v>81000</v>
      </c>
      <c r="E45" s="1826">
        <f t="shared" si="2"/>
        <v>56000</v>
      </c>
    </row>
    <row r="46" spans="1:5">
      <c r="A46" s="629">
        <f t="shared" si="0"/>
        <v>44</v>
      </c>
      <c r="B46" t="s">
        <v>1062</v>
      </c>
      <c r="C46" s="184">
        <v>13000</v>
      </c>
      <c r="D46" s="1816">
        <v>9000</v>
      </c>
      <c r="E46" s="1826">
        <f t="shared" si="2"/>
        <v>4000</v>
      </c>
    </row>
    <row r="47" spans="1:5">
      <c r="A47" s="629">
        <f t="shared" si="0"/>
        <v>45</v>
      </c>
      <c r="B47" t="s">
        <v>0</v>
      </c>
      <c r="C47" s="184">
        <v>2706000</v>
      </c>
      <c r="D47" s="1816">
        <v>829000</v>
      </c>
      <c r="E47" s="1826">
        <f t="shared" si="2"/>
        <v>1877000</v>
      </c>
    </row>
    <row r="48" spans="1:5">
      <c r="A48" s="629">
        <f t="shared" si="0"/>
        <v>46</v>
      </c>
      <c r="B48" t="s">
        <v>1</v>
      </c>
      <c r="C48" s="184">
        <v>2885000</v>
      </c>
      <c r="D48" s="1816">
        <v>742000</v>
      </c>
      <c r="E48" s="1826">
        <f t="shared" si="2"/>
        <v>2143000</v>
      </c>
    </row>
    <row r="49" spans="1:5">
      <c r="A49" s="629">
        <f t="shared" si="0"/>
        <v>47</v>
      </c>
      <c r="B49" t="s">
        <v>2</v>
      </c>
      <c r="C49" s="184">
        <v>2050000</v>
      </c>
      <c r="D49" s="1816">
        <v>1648000</v>
      </c>
      <c r="E49" s="1826">
        <f t="shared" si="2"/>
        <v>402000</v>
      </c>
    </row>
    <row r="50" spans="1:5">
      <c r="A50" s="629">
        <f t="shared" si="0"/>
        <v>48</v>
      </c>
      <c r="B50" t="s">
        <v>3</v>
      </c>
      <c r="C50" s="184">
        <v>10815000</v>
      </c>
      <c r="D50" s="1816">
        <v>3752000</v>
      </c>
      <c r="E50" s="1826">
        <f t="shared" si="2"/>
        <v>7063000</v>
      </c>
    </row>
    <row r="51" spans="1:5">
      <c r="A51" s="629">
        <f t="shared" si="0"/>
        <v>49</v>
      </c>
      <c r="B51" t="s">
        <v>1161</v>
      </c>
      <c r="C51" s="184">
        <v>9688000</v>
      </c>
      <c r="D51" s="1816">
        <v>3236000</v>
      </c>
      <c r="E51" s="1826">
        <f t="shared" si="2"/>
        <v>6452000</v>
      </c>
    </row>
    <row r="52" spans="1:5">
      <c r="A52" s="629">
        <f t="shared" si="0"/>
        <v>50</v>
      </c>
      <c r="B52" t="s">
        <v>4</v>
      </c>
      <c r="C52" s="184">
        <v>8292000</v>
      </c>
      <c r="D52" s="1816">
        <v>2115000</v>
      </c>
      <c r="E52" s="1826">
        <f t="shared" si="2"/>
        <v>6177000</v>
      </c>
    </row>
    <row r="53" spans="1:5">
      <c r="A53" s="629">
        <f t="shared" si="0"/>
        <v>51</v>
      </c>
      <c r="B53" t="s">
        <v>5</v>
      </c>
      <c r="C53" s="184">
        <v>152000</v>
      </c>
      <c r="D53" s="1816">
        <v>52000</v>
      </c>
      <c r="E53" s="1826">
        <f t="shared" si="2"/>
        <v>100000</v>
      </c>
    </row>
    <row r="54" spans="1:5">
      <c r="A54" s="629">
        <f t="shared" si="0"/>
        <v>52</v>
      </c>
      <c r="B54" t="s">
        <v>6</v>
      </c>
      <c r="C54" s="184">
        <v>159000</v>
      </c>
      <c r="D54" s="1816">
        <v>53000</v>
      </c>
      <c r="E54" s="1826">
        <f t="shared" si="2"/>
        <v>106000</v>
      </c>
    </row>
    <row r="55" spans="1:5">
      <c r="A55" s="629">
        <f t="shared" si="0"/>
        <v>53</v>
      </c>
      <c r="B55" t="s">
        <v>1066</v>
      </c>
      <c r="C55" s="184">
        <v>45000</v>
      </c>
      <c r="D55" s="1816">
        <v>32000</v>
      </c>
      <c r="E55" s="1826">
        <f t="shared" si="2"/>
        <v>13000</v>
      </c>
    </row>
    <row r="56" spans="1:5">
      <c r="A56" s="629">
        <f t="shared" si="0"/>
        <v>54</v>
      </c>
      <c r="B56" t="s">
        <v>7</v>
      </c>
      <c r="C56" s="184">
        <v>1545000</v>
      </c>
      <c r="D56" s="1816">
        <v>737000</v>
      </c>
      <c r="E56" s="1826">
        <f t="shared" si="2"/>
        <v>808000</v>
      </c>
    </row>
    <row r="57" spans="1:5">
      <c r="A57" s="629">
        <f t="shared" si="0"/>
        <v>55</v>
      </c>
      <c r="B57" t="s">
        <v>8</v>
      </c>
      <c r="C57" s="184">
        <v>11000</v>
      </c>
      <c r="D57" s="1816">
        <v>13000</v>
      </c>
      <c r="E57" s="1826">
        <f t="shared" si="2"/>
        <v>-2000</v>
      </c>
    </row>
    <row r="58" spans="1:5">
      <c r="A58" s="629">
        <f t="shared" si="0"/>
        <v>56</v>
      </c>
      <c r="B58" t="s">
        <v>9</v>
      </c>
      <c r="C58" s="184">
        <v>935000</v>
      </c>
      <c r="D58" s="1816">
        <v>356000</v>
      </c>
      <c r="E58" s="1826">
        <f t="shared" si="2"/>
        <v>579000</v>
      </c>
    </row>
    <row r="59" spans="1:5">
      <c r="A59" s="629">
        <f t="shared" si="0"/>
        <v>57</v>
      </c>
      <c r="B59" t="s">
        <v>10</v>
      </c>
      <c r="C59" s="184">
        <v>19000</v>
      </c>
      <c r="D59" s="1816">
        <v>12000</v>
      </c>
      <c r="E59" s="1826">
        <f t="shared" si="2"/>
        <v>7000</v>
      </c>
    </row>
    <row r="60" spans="1:5">
      <c r="A60" s="629">
        <f t="shared" si="0"/>
        <v>58</v>
      </c>
      <c r="B60" t="s">
        <v>11</v>
      </c>
      <c r="C60" s="184">
        <v>194000</v>
      </c>
      <c r="D60" s="1816">
        <v>72000</v>
      </c>
      <c r="E60" s="1826">
        <f t="shared" si="2"/>
        <v>122000</v>
      </c>
    </row>
    <row r="61" spans="1:5">
      <c r="A61" s="629">
        <f t="shared" si="0"/>
        <v>59</v>
      </c>
      <c r="B61" t="s">
        <v>12</v>
      </c>
      <c r="C61" s="184">
        <v>63000</v>
      </c>
      <c r="D61" s="1816">
        <v>72000</v>
      </c>
      <c r="E61" s="1826">
        <f t="shared" si="2"/>
        <v>-9000</v>
      </c>
    </row>
    <row r="62" spans="1:5">
      <c r="A62" s="629">
        <f t="shared" si="0"/>
        <v>60</v>
      </c>
      <c r="B62" t="s">
        <v>1126</v>
      </c>
      <c r="C62" s="184">
        <v>89000</v>
      </c>
      <c r="D62" s="1816">
        <v>45000</v>
      </c>
      <c r="E62" s="1826">
        <f t="shared" si="2"/>
        <v>44000</v>
      </c>
    </row>
    <row r="63" spans="1:5">
      <c r="A63" s="629">
        <f t="shared" si="0"/>
        <v>61</v>
      </c>
      <c r="B63" t="s">
        <v>13</v>
      </c>
      <c r="C63" s="184">
        <v>152000</v>
      </c>
      <c r="D63" s="1816">
        <v>151000</v>
      </c>
      <c r="E63" s="1826">
        <f t="shared" si="2"/>
        <v>1000</v>
      </c>
    </row>
    <row r="64" spans="1:5">
      <c r="A64" s="629">
        <f t="shared" si="0"/>
        <v>62</v>
      </c>
      <c r="B64" t="s">
        <v>14</v>
      </c>
      <c r="C64" s="184">
        <v>1175000</v>
      </c>
      <c r="D64" s="1816">
        <v>521000</v>
      </c>
      <c r="E64" s="1826">
        <f t="shared" si="2"/>
        <v>654000</v>
      </c>
    </row>
    <row r="65" spans="1:5">
      <c r="A65" s="629">
        <f t="shared" si="0"/>
        <v>63</v>
      </c>
      <c r="B65" t="s">
        <v>1081</v>
      </c>
      <c r="C65" s="184">
        <v>4534000</v>
      </c>
      <c r="D65" s="1816">
        <v>1713000</v>
      </c>
      <c r="E65" s="1826">
        <f t="shared" si="2"/>
        <v>2821000</v>
      </c>
    </row>
    <row r="66" spans="1:5">
      <c r="A66" s="629">
        <f t="shared" si="0"/>
        <v>64</v>
      </c>
      <c r="B66" t="s">
        <v>15</v>
      </c>
      <c r="C66" s="184">
        <v>1665000</v>
      </c>
      <c r="D66" s="1816">
        <v>729000</v>
      </c>
      <c r="E66" s="1826">
        <f t="shared" si="2"/>
        <v>936000</v>
      </c>
    </row>
    <row r="67" spans="1:5">
      <c r="A67" s="629">
        <f t="shared" si="0"/>
        <v>65</v>
      </c>
      <c r="B67" t="s">
        <v>1168</v>
      </c>
      <c r="C67" s="184">
        <v>3000</v>
      </c>
      <c r="D67" s="1816">
        <v>5000</v>
      </c>
      <c r="E67" s="1826">
        <f t="shared" si="2"/>
        <v>-2000</v>
      </c>
    </row>
    <row r="68" spans="1:5">
      <c r="A68" s="629">
        <f t="shared" si="0"/>
        <v>66</v>
      </c>
      <c r="B68" t="s">
        <v>16</v>
      </c>
      <c r="C68" s="184">
        <v>252000</v>
      </c>
      <c r="D68" s="1816">
        <v>82000</v>
      </c>
      <c r="E68" s="1826">
        <f t="shared" si="2"/>
        <v>170000</v>
      </c>
    </row>
    <row r="69" spans="1:5">
      <c r="A69" s="629">
        <f t="shared" si="0"/>
        <v>67</v>
      </c>
      <c r="B69" t="s">
        <v>17</v>
      </c>
      <c r="C69" s="184">
        <v>9000</v>
      </c>
      <c r="D69" s="1816">
        <v>6000</v>
      </c>
      <c r="E69" s="1826">
        <f t="shared" si="2"/>
        <v>3000</v>
      </c>
    </row>
    <row r="70" spans="1:5">
      <c r="A70" s="629">
        <f t="shared" si="0"/>
        <v>68</v>
      </c>
      <c r="B70" t="s">
        <v>18</v>
      </c>
      <c r="C70" s="184">
        <v>164000</v>
      </c>
      <c r="D70" s="1816">
        <v>28000</v>
      </c>
      <c r="E70" s="1826">
        <f t="shared" si="2"/>
        <v>136000</v>
      </c>
    </row>
    <row r="71" spans="1:5">
      <c r="A71" s="629">
        <f t="shared" si="0"/>
        <v>69</v>
      </c>
      <c r="B71" t="s">
        <v>19</v>
      </c>
      <c r="C71" s="184">
        <v>103000</v>
      </c>
      <c r="D71" s="1816">
        <v>71000</v>
      </c>
      <c r="E71" s="1826">
        <f t="shared" si="2"/>
        <v>32000</v>
      </c>
    </row>
    <row r="72" spans="1:5">
      <c r="A72" s="629">
        <f t="shared" si="0"/>
        <v>70</v>
      </c>
      <c r="B72" t="s">
        <v>20</v>
      </c>
      <c r="C72" s="184">
        <v>63000</v>
      </c>
      <c r="D72" s="1816">
        <v>64000</v>
      </c>
      <c r="E72" s="1826">
        <f t="shared" si="2"/>
        <v>-1000</v>
      </c>
    </row>
    <row r="73" spans="1:5">
      <c r="A73" s="629">
        <f t="shared" si="0"/>
        <v>71</v>
      </c>
      <c r="B73" t="s">
        <v>1127</v>
      </c>
      <c r="C73" s="184">
        <v>68000</v>
      </c>
      <c r="D73" s="1816">
        <v>15000</v>
      </c>
      <c r="E73" s="1826">
        <f t="shared" ref="E73:E80" si="3">C73-D73</f>
        <v>53000</v>
      </c>
    </row>
    <row r="74" spans="1:5">
      <c r="A74" s="629">
        <f t="shared" si="0"/>
        <v>72</v>
      </c>
      <c r="B74" t="s">
        <v>21</v>
      </c>
      <c r="C74" s="184">
        <v>59000</v>
      </c>
      <c r="D74" s="1816">
        <v>54000</v>
      </c>
      <c r="E74" s="1826">
        <f t="shared" si="3"/>
        <v>5000</v>
      </c>
    </row>
    <row r="75" spans="1:5">
      <c r="A75" s="629">
        <f t="shared" si="0"/>
        <v>73</v>
      </c>
      <c r="B75" t="s">
        <v>22</v>
      </c>
      <c r="C75" s="184">
        <v>378000</v>
      </c>
      <c r="D75" s="1816">
        <v>121000</v>
      </c>
      <c r="E75" s="1826">
        <f t="shared" si="3"/>
        <v>257000</v>
      </c>
    </row>
    <row r="76" spans="1:5">
      <c r="A76" s="629">
        <f t="shared" si="0"/>
        <v>74</v>
      </c>
      <c r="B76" t="s">
        <v>1082</v>
      </c>
      <c r="C76" s="184">
        <v>3023000</v>
      </c>
      <c r="D76" s="1816">
        <v>791000</v>
      </c>
      <c r="E76" s="1826">
        <f t="shared" si="3"/>
        <v>2232000</v>
      </c>
    </row>
    <row r="77" spans="1:5">
      <c r="A77" s="629">
        <f t="shared" si="0"/>
        <v>75</v>
      </c>
      <c r="B77" t="s">
        <v>1128</v>
      </c>
      <c r="C77" s="184">
        <v>510000</v>
      </c>
      <c r="D77" s="1816">
        <v>173000</v>
      </c>
      <c r="E77" s="1826">
        <f t="shared" si="3"/>
        <v>337000</v>
      </c>
    </row>
    <row r="78" spans="1:5">
      <c r="A78" s="629">
        <f t="shared" si="0"/>
        <v>76</v>
      </c>
      <c r="B78" t="s">
        <v>1169</v>
      </c>
      <c r="C78" s="184">
        <v>3475000</v>
      </c>
      <c r="D78" s="1816">
        <v>1387000</v>
      </c>
      <c r="E78" s="1826">
        <f t="shared" si="3"/>
        <v>2088000</v>
      </c>
    </row>
    <row r="79" spans="1:5">
      <c r="A79" s="629">
        <f t="shared" si="0"/>
        <v>77</v>
      </c>
      <c r="B79" t="s">
        <v>1083</v>
      </c>
      <c r="C79" s="184">
        <v>22546000</v>
      </c>
      <c r="D79" s="1816">
        <v>7673000</v>
      </c>
      <c r="E79" s="1826">
        <f t="shared" si="3"/>
        <v>14873000</v>
      </c>
    </row>
    <row r="80" spans="1:5">
      <c r="A80" s="629">
        <f t="shared" ref="A80:A84" si="4">+A79+1</f>
        <v>78</v>
      </c>
      <c r="B80" s="183" t="s">
        <v>1310</v>
      </c>
      <c r="C80" s="184">
        <v>4917000</v>
      </c>
      <c r="D80" s="1816">
        <v>1880000</v>
      </c>
      <c r="E80" s="1826">
        <f t="shared" si="3"/>
        <v>3037000</v>
      </c>
    </row>
    <row r="81" spans="1:5">
      <c r="A81" s="629">
        <f t="shared" si="4"/>
        <v>79</v>
      </c>
      <c r="B81" t="s">
        <v>23</v>
      </c>
      <c r="C81" s="184">
        <v>3086000</v>
      </c>
      <c r="D81" s="1816">
        <v>4000</v>
      </c>
      <c r="E81" s="1826">
        <f>C81-D81</f>
        <v>3082000</v>
      </c>
    </row>
    <row r="82" spans="1:5">
      <c r="A82" s="629">
        <f t="shared" si="4"/>
        <v>80</v>
      </c>
    </row>
    <row r="83" spans="1:5">
      <c r="A83" s="629">
        <f t="shared" si="4"/>
        <v>81</v>
      </c>
      <c r="B83" s="184"/>
      <c r="C83" s="1822">
        <f>SUM(C10:C81)</f>
        <v>176922000</v>
      </c>
      <c r="D83" s="1822">
        <f>SUM(D10:D82)</f>
        <v>68674000</v>
      </c>
      <c r="E83" s="1822">
        <f>SUM(E10:E82)</f>
        <v>108248000</v>
      </c>
    </row>
    <row r="84" spans="1:5">
      <c r="A84" s="629">
        <f t="shared" si="4"/>
        <v>82</v>
      </c>
      <c r="B84" s="184"/>
      <c r="C84" s="1823"/>
      <c r="D84" s="1824"/>
      <c r="E84" s="1824"/>
    </row>
    <row r="85" spans="1:5">
      <c r="B85" s="184"/>
      <c r="C85" s="1822">
        <f>+C83+C8</f>
        <v>180795000</v>
      </c>
      <c r="D85" s="1825">
        <f>+D83+D8</f>
        <v>72083000</v>
      </c>
      <c r="E85" s="1825">
        <f>+E83+E8</f>
        <v>108712000</v>
      </c>
    </row>
    <row r="86" spans="1:5">
      <c r="B86" s="184"/>
    </row>
    <row r="87" spans="1:5">
      <c r="B87" s="184"/>
    </row>
    <row r="88" spans="1:5">
      <c r="B88" s="184"/>
    </row>
    <row r="89" spans="1:5">
      <c r="B89" s="184"/>
    </row>
    <row r="90" spans="1:5">
      <c r="B90" s="184"/>
    </row>
    <row r="91" spans="1:5">
      <c r="B91" s="184"/>
    </row>
    <row r="92" spans="1:5">
      <c r="B92" s="184"/>
    </row>
    <row r="93" spans="1:5">
      <c r="B93" s="184"/>
    </row>
    <row r="94" spans="1:5">
      <c r="B94" s="184"/>
    </row>
    <row r="95" spans="1:5">
      <c r="B95" s="184"/>
    </row>
    <row r="96" spans="1:5">
      <c r="B96" s="184"/>
    </row>
    <row r="97" spans="2:2">
      <c r="B97" s="184"/>
    </row>
    <row r="98" spans="2:2">
      <c r="B98" s="184"/>
    </row>
    <row r="99" spans="2:2">
      <c r="B99" s="184"/>
    </row>
    <row r="100" spans="2:2">
      <c r="B100" s="184"/>
    </row>
    <row r="101" spans="2:2">
      <c r="B101" s="184"/>
    </row>
    <row r="102" spans="2:2">
      <c r="B102" s="184"/>
    </row>
    <row r="103" spans="2:2">
      <c r="B103" s="184"/>
    </row>
    <row r="104" spans="2:2">
      <c r="B104" s="184"/>
    </row>
    <row r="105" spans="2:2">
      <c r="B105" s="184"/>
    </row>
    <row r="106" spans="2:2">
      <c r="B106" s="184"/>
    </row>
    <row r="107" spans="2:2">
      <c r="B107" s="184"/>
    </row>
    <row r="108" spans="2:2">
      <c r="B108" s="184"/>
    </row>
    <row r="109" spans="2:2">
      <c r="B109" s="184"/>
    </row>
    <row r="110" spans="2:2">
      <c r="B110" s="184"/>
    </row>
    <row r="111" spans="2:2">
      <c r="B111" s="184"/>
    </row>
    <row r="112" spans="2:2">
      <c r="B112" s="184"/>
    </row>
    <row r="113" spans="2:2">
      <c r="B113" s="184"/>
    </row>
    <row r="114" spans="2:2">
      <c r="B114" s="184"/>
    </row>
    <row r="115" spans="2:2">
      <c r="B115" s="184"/>
    </row>
    <row r="116" spans="2:2">
      <c r="B116" s="184"/>
    </row>
    <row r="117" spans="2:2">
      <c r="B117" s="184"/>
    </row>
    <row r="118" spans="2:2">
      <c r="B118" s="184"/>
    </row>
    <row r="119" spans="2:2">
      <c r="B119" s="184"/>
    </row>
    <row r="120" spans="2:2">
      <c r="B120" s="184"/>
    </row>
    <row r="121" spans="2:2">
      <c r="B121" s="184"/>
    </row>
    <row r="122" spans="2:2">
      <c r="B122" s="184"/>
    </row>
    <row r="123" spans="2:2">
      <c r="B123" s="184"/>
    </row>
    <row r="124" spans="2:2">
      <c r="B124" s="184"/>
    </row>
    <row r="125" spans="2:2">
      <c r="B125" s="184"/>
    </row>
    <row r="126" spans="2:2">
      <c r="B126" s="184"/>
    </row>
    <row r="127" spans="2:2">
      <c r="B127" s="184"/>
    </row>
    <row r="128" spans="2:2">
      <c r="B128" s="184"/>
    </row>
    <row r="129" spans="2:2">
      <c r="B129" s="184"/>
    </row>
    <row r="130" spans="2:2">
      <c r="B130" s="184"/>
    </row>
    <row r="131" spans="2:2">
      <c r="B131" s="184"/>
    </row>
    <row r="132" spans="2:2">
      <c r="B132" s="184"/>
    </row>
    <row r="133" spans="2:2">
      <c r="B133" s="184"/>
    </row>
    <row r="134" spans="2:2">
      <c r="B134" s="184"/>
    </row>
    <row r="135" spans="2:2">
      <c r="B135" s="184"/>
    </row>
    <row r="136" spans="2:2">
      <c r="B136" s="184"/>
    </row>
    <row r="137" spans="2:2">
      <c r="B137" s="184"/>
    </row>
    <row r="138" spans="2:2">
      <c r="B138" s="184"/>
    </row>
    <row r="139" spans="2:2">
      <c r="B139" s="184"/>
    </row>
    <row r="140" spans="2:2">
      <c r="B140" s="184"/>
    </row>
    <row r="141" spans="2:2">
      <c r="B141" s="184"/>
    </row>
    <row r="142" spans="2:2">
      <c r="B142" s="184"/>
    </row>
    <row r="143" spans="2:2">
      <c r="B143" s="184"/>
    </row>
    <row r="144" spans="2:2">
      <c r="B144" s="184"/>
    </row>
    <row r="145" spans="2:2">
      <c r="B145" s="184"/>
    </row>
    <row r="146" spans="2:2">
      <c r="B146" s="184"/>
    </row>
    <row r="147" spans="2:2">
      <c r="B147" s="184"/>
    </row>
    <row r="148" spans="2:2">
      <c r="B148" s="184"/>
    </row>
    <row r="149" spans="2:2">
      <c r="B149" s="184"/>
    </row>
    <row r="150" spans="2:2">
      <c r="B150" s="184"/>
    </row>
    <row r="151" spans="2:2">
      <c r="B151" s="184"/>
    </row>
    <row r="152" spans="2:2">
      <c r="B152" s="184"/>
    </row>
    <row r="153" spans="2:2">
      <c r="B153" s="184"/>
    </row>
    <row r="154" spans="2:2">
      <c r="B154" s="184"/>
    </row>
    <row r="155" spans="2:2">
      <c r="B155" s="184"/>
    </row>
    <row r="156" spans="2:2">
      <c r="B156" s="184"/>
    </row>
  </sheetData>
  <phoneticPr fontId="73" type="noConversion"/>
  <pageMargins left="0.75" right="0.75" top="0.17" bottom="0.16" header="0.5" footer="0.21"/>
  <pageSetup scale="6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3"/>
  <sheetViews>
    <sheetView topLeftCell="A49" zoomScaleNormal="100" workbookViewId="0">
      <selection activeCell="C77" sqref="C77"/>
    </sheetView>
  </sheetViews>
  <sheetFormatPr defaultRowHeight="12.75"/>
  <cols>
    <col min="1" max="1" width="7.5703125" customWidth="1"/>
    <col min="2" max="2" width="20.28515625" customWidth="1"/>
    <col min="3" max="3" width="16.85546875" customWidth="1"/>
    <col min="4" max="5" width="9.42578125" bestFit="1" customWidth="1"/>
    <col min="6" max="6" width="11.85546875" bestFit="1" customWidth="1"/>
    <col min="7" max="7" width="10.42578125" bestFit="1" customWidth="1"/>
    <col min="8" max="8" width="15.42578125" customWidth="1"/>
    <col min="9" max="9" width="10.42578125" bestFit="1" customWidth="1"/>
    <col min="10" max="10" width="15" customWidth="1"/>
    <col min="11" max="11" width="9.42578125" bestFit="1" customWidth="1"/>
    <col min="12" max="12" width="15.42578125" bestFit="1" customWidth="1"/>
    <col min="13" max="13" width="12.28515625" customWidth="1"/>
    <col min="14" max="14" width="12" customWidth="1"/>
    <col min="15" max="15" width="11.85546875" bestFit="1" customWidth="1"/>
    <col min="16" max="16" width="9.85546875" bestFit="1" customWidth="1"/>
    <col min="17" max="17" width="11.5703125" customWidth="1"/>
    <col min="18" max="18" width="10.42578125" bestFit="1" customWidth="1"/>
    <col min="19" max="19" width="12.140625" customWidth="1"/>
    <col min="21" max="21" width="18.28515625" customWidth="1"/>
    <col min="22" max="22" width="14.85546875" customWidth="1"/>
  </cols>
  <sheetData>
    <row r="1" spans="1:26" ht="15.75">
      <c r="A1" s="1" t="s">
        <v>547</v>
      </c>
    </row>
    <row r="4" spans="1:26">
      <c r="A4" s="775" t="s">
        <v>99</v>
      </c>
      <c r="U4" s="798"/>
      <c r="V4" s="97"/>
      <c r="W4" s="97"/>
      <c r="X4" s="97"/>
      <c r="Y4" s="97"/>
      <c r="Z4" s="97"/>
    </row>
    <row r="5" spans="1:26">
      <c r="A5" s="775" t="s">
        <v>1021</v>
      </c>
      <c r="E5" s="2"/>
      <c r="F5" s="2"/>
      <c r="G5" s="2"/>
      <c r="H5" s="776"/>
      <c r="I5" s="2"/>
      <c r="N5" s="2"/>
      <c r="O5" s="2"/>
      <c r="P5" s="2"/>
      <c r="Q5" s="776"/>
      <c r="R5" s="2"/>
      <c r="U5" s="97"/>
      <c r="V5" s="97"/>
      <c r="W5" s="97"/>
      <c r="X5" s="97"/>
      <c r="Y5" s="97"/>
      <c r="Z5" s="97"/>
    </row>
    <row r="6" spans="1:26">
      <c r="A6" s="775" t="s">
        <v>65</v>
      </c>
      <c r="E6" s="2"/>
      <c r="F6" s="2"/>
      <c r="G6" s="2"/>
      <c r="H6" s="2"/>
      <c r="I6" s="2"/>
      <c r="N6" s="2"/>
      <c r="O6" s="2"/>
      <c r="P6" s="2"/>
      <c r="Q6" s="2"/>
      <c r="R6" s="2"/>
      <c r="U6" s="97"/>
      <c r="V6" s="97"/>
      <c r="W6" s="97"/>
      <c r="X6" s="97"/>
      <c r="Y6" s="97"/>
      <c r="Z6" s="97"/>
    </row>
    <row r="7" spans="1:26" ht="63.75">
      <c r="A7" s="777" t="s">
        <v>141</v>
      </c>
      <c r="B7" s="129" t="s">
        <v>1025</v>
      </c>
      <c r="C7" s="778" t="s">
        <v>1024</v>
      </c>
      <c r="D7" s="778" t="s">
        <v>1026</v>
      </c>
      <c r="E7" s="778" t="s">
        <v>1027</v>
      </c>
      <c r="F7" s="778" t="s">
        <v>1028</v>
      </c>
      <c r="G7" s="778" t="s">
        <v>1029</v>
      </c>
      <c r="H7" s="778" t="s">
        <v>1030</v>
      </c>
      <c r="I7" s="779" t="s">
        <v>1031</v>
      </c>
      <c r="J7" s="779" t="s">
        <v>1032</v>
      </c>
      <c r="K7" s="779" t="s">
        <v>55</v>
      </c>
      <c r="L7" s="795"/>
      <c r="M7" s="795"/>
      <c r="N7" s="795"/>
      <c r="O7" s="795"/>
    </row>
    <row r="8" spans="1:26">
      <c r="A8" s="129"/>
      <c r="B8" s="129"/>
      <c r="C8" s="129"/>
      <c r="D8" s="129"/>
      <c r="E8" s="129"/>
      <c r="F8" s="129"/>
      <c r="G8" s="129"/>
      <c r="H8" s="129"/>
      <c r="I8" s="780"/>
      <c r="J8" s="791"/>
      <c r="K8" s="791"/>
      <c r="L8" s="97"/>
      <c r="M8" s="97"/>
      <c r="N8" s="97"/>
      <c r="O8" s="97"/>
    </row>
    <row r="9" spans="1:26">
      <c r="A9" s="129">
        <v>1</v>
      </c>
      <c r="B9" s="129" t="s">
        <v>475</v>
      </c>
      <c r="C9" s="1711">
        <v>4922.5800847127593</v>
      </c>
      <c r="D9" s="1711">
        <v>1</v>
      </c>
      <c r="E9" s="1788">
        <v>1800</v>
      </c>
      <c r="F9" s="1711">
        <v>4012.5800847127598</v>
      </c>
      <c r="G9" s="1711">
        <v>312</v>
      </c>
      <c r="H9" s="1711">
        <v>581</v>
      </c>
      <c r="I9" s="1711">
        <v>17</v>
      </c>
      <c r="J9" s="1711">
        <v>4080</v>
      </c>
      <c r="K9" s="1709">
        <v>303</v>
      </c>
      <c r="L9" s="97"/>
      <c r="M9" s="97"/>
      <c r="N9" s="97"/>
      <c r="O9" s="97"/>
    </row>
    <row r="10" spans="1:26">
      <c r="A10" s="129">
        <v>2</v>
      </c>
      <c r="B10" s="129" t="s">
        <v>476</v>
      </c>
      <c r="C10" s="1711">
        <v>5091.04459591042</v>
      </c>
      <c r="D10" s="1711">
        <v>23</v>
      </c>
      <c r="E10" s="1788">
        <v>800</v>
      </c>
      <c r="F10" s="1711">
        <v>4126.04459591042</v>
      </c>
      <c r="G10" s="1711">
        <v>368</v>
      </c>
      <c r="H10" s="1711">
        <v>581</v>
      </c>
      <c r="I10" s="1711">
        <v>16</v>
      </c>
      <c r="J10" s="1711">
        <v>3785</v>
      </c>
      <c r="K10" s="1711">
        <v>388</v>
      </c>
      <c r="L10" s="97"/>
      <c r="M10" s="97"/>
      <c r="N10" s="97"/>
      <c r="O10" s="97"/>
    </row>
    <row r="11" spans="1:26">
      <c r="A11" s="129">
        <v>3</v>
      </c>
      <c r="B11" s="129" t="s">
        <v>477</v>
      </c>
      <c r="C11" s="1711">
        <v>4681.68175559883</v>
      </c>
      <c r="D11" s="1711">
        <v>10</v>
      </c>
      <c r="E11" s="1788">
        <v>800</v>
      </c>
      <c r="F11" s="1711">
        <v>3742.68175559883</v>
      </c>
      <c r="G11" s="1711">
        <v>341</v>
      </c>
      <c r="H11" s="1711">
        <v>581</v>
      </c>
      <c r="I11" s="1711">
        <v>17</v>
      </c>
      <c r="J11" s="1711">
        <v>598</v>
      </c>
      <c r="K11" s="1711">
        <v>234</v>
      </c>
      <c r="L11" s="97"/>
      <c r="M11" s="97"/>
      <c r="N11" s="97"/>
      <c r="O11" s="97"/>
    </row>
    <row r="12" spans="1:26">
      <c r="A12" s="782">
        <v>4</v>
      </c>
      <c r="B12" s="658" t="s">
        <v>62</v>
      </c>
      <c r="C12" s="789">
        <f>SUM(C9:C11)</f>
        <v>14695.30643622201</v>
      </c>
      <c r="D12" s="783"/>
      <c r="E12" s="783"/>
      <c r="F12" s="789">
        <f t="shared" ref="F12:K12" si="0">SUM(F9:F11)</f>
        <v>11881.30643622201</v>
      </c>
      <c r="G12" s="789">
        <f t="shared" si="0"/>
        <v>1021</v>
      </c>
      <c r="H12" s="789">
        <f t="shared" si="0"/>
        <v>1743</v>
      </c>
      <c r="I12" s="789">
        <f t="shared" si="0"/>
        <v>50</v>
      </c>
      <c r="J12" s="789">
        <f t="shared" si="0"/>
        <v>8463</v>
      </c>
      <c r="K12" s="789">
        <f t="shared" si="0"/>
        <v>925</v>
      </c>
      <c r="L12" s="1118"/>
      <c r="M12" s="1118"/>
      <c r="N12" s="1118"/>
      <c r="O12" s="1118"/>
    </row>
    <row r="13" spans="1:26">
      <c r="A13" s="129">
        <v>5</v>
      </c>
      <c r="B13" s="658" t="s">
        <v>626</v>
      </c>
      <c r="C13" s="781">
        <v>4276</v>
      </c>
      <c r="D13" s="1675">
        <v>13</v>
      </c>
      <c r="E13" s="1676">
        <v>900</v>
      </c>
      <c r="F13" s="1677">
        <v>3375</v>
      </c>
      <c r="G13" s="1677">
        <v>298</v>
      </c>
      <c r="H13" s="1675">
        <v>581</v>
      </c>
      <c r="I13" s="1675">
        <v>22</v>
      </c>
      <c r="J13" s="1677">
        <v>848</v>
      </c>
      <c r="K13" s="1677">
        <v>275</v>
      </c>
      <c r="L13" s="97"/>
      <c r="M13" s="97"/>
      <c r="N13" s="97"/>
      <c r="O13" s="97"/>
    </row>
    <row r="14" spans="1:26">
      <c r="A14" s="129">
        <v>6</v>
      </c>
      <c r="B14" s="658" t="s">
        <v>627</v>
      </c>
      <c r="C14" s="781">
        <v>3795</v>
      </c>
      <c r="D14" s="1675">
        <v>13</v>
      </c>
      <c r="E14" s="1676">
        <v>800</v>
      </c>
      <c r="F14" s="1677">
        <v>2917</v>
      </c>
      <c r="G14" s="1677">
        <v>286</v>
      </c>
      <c r="H14" s="1675">
        <v>581</v>
      </c>
      <c r="I14" s="1675">
        <v>11</v>
      </c>
      <c r="J14" s="1677">
        <v>1418</v>
      </c>
      <c r="K14" s="1677">
        <v>263</v>
      </c>
      <c r="L14" s="97"/>
      <c r="M14" s="97"/>
      <c r="N14" s="97"/>
      <c r="O14" s="97"/>
    </row>
    <row r="15" spans="1:26">
      <c r="A15" s="129">
        <v>7</v>
      </c>
      <c r="B15" s="658" t="s">
        <v>628</v>
      </c>
      <c r="C15" s="781">
        <v>4242</v>
      </c>
      <c r="D15" s="1675">
        <v>27</v>
      </c>
      <c r="E15" s="1676">
        <v>1800</v>
      </c>
      <c r="F15" s="1677">
        <v>3346</v>
      </c>
      <c r="G15" s="1677">
        <v>315</v>
      </c>
      <c r="H15" s="1675">
        <v>581</v>
      </c>
      <c r="I15" s="1675">
        <v>0</v>
      </c>
      <c r="J15" s="1677">
        <v>2697</v>
      </c>
      <c r="K15" s="1677">
        <v>272</v>
      </c>
      <c r="L15" s="97"/>
      <c r="M15" s="97"/>
      <c r="N15" s="97"/>
      <c r="O15" s="97"/>
    </row>
    <row r="16" spans="1:26">
      <c r="A16" s="782">
        <v>8</v>
      </c>
      <c r="B16" s="658" t="s">
        <v>62</v>
      </c>
      <c r="C16" s="789">
        <f>SUM(C13:C15)</f>
        <v>12313</v>
      </c>
      <c r="D16" s="783"/>
      <c r="E16" s="783"/>
      <c r="F16" s="789">
        <f t="shared" ref="F16:K16" si="1">SUM(F13:F15)</f>
        <v>9638</v>
      </c>
      <c r="G16" s="789">
        <f t="shared" si="1"/>
        <v>899</v>
      </c>
      <c r="H16" s="789">
        <f t="shared" si="1"/>
        <v>1743</v>
      </c>
      <c r="I16" s="789">
        <f t="shared" si="1"/>
        <v>33</v>
      </c>
      <c r="J16" s="789">
        <f t="shared" si="1"/>
        <v>4963</v>
      </c>
      <c r="K16" s="789">
        <f t="shared" si="1"/>
        <v>810</v>
      </c>
      <c r="L16" s="1118"/>
      <c r="M16" s="1118"/>
      <c r="N16" s="1118"/>
      <c r="O16" s="1118"/>
    </row>
    <row r="17" spans="1:15">
      <c r="A17" s="129">
        <v>9</v>
      </c>
      <c r="B17" s="658" t="s">
        <v>478</v>
      </c>
      <c r="C17" s="781">
        <v>4562</v>
      </c>
      <c r="D17" s="1678">
        <v>28</v>
      </c>
      <c r="E17" s="1679">
        <v>1800</v>
      </c>
      <c r="F17" s="1680">
        <v>3651</v>
      </c>
      <c r="G17" s="1680">
        <v>329</v>
      </c>
      <c r="H17" s="1678">
        <v>581</v>
      </c>
      <c r="I17" s="1678">
        <v>1</v>
      </c>
      <c r="J17" s="1680">
        <v>2920</v>
      </c>
      <c r="K17" s="1680">
        <v>234</v>
      </c>
      <c r="L17" s="97"/>
      <c r="M17" s="97"/>
      <c r="N17" s="97"/>
      <c r="O17" s="97"/>
    </row>
    <row r="18" spans="1:15">
      <c r="A18" s="129">
        <v>10</v>
      </c>
      <c r="B18" s="658" t="s">
        <v>479</v>
      </c>
      <c r="C18" s="781">
        <v>4328</v>
      </c>
      <c r="D18" s="1678">
        <v>8</v>
      </c>
      <c r="E18" s="1679">
        <v>1800</v>
      </c>
      <c r="F18" s="1680">
        <v>3423</v>
      </c>
      <c r="G18" s="1680">
        <v>322</v>
      </c>
      <c r="H18" s="1678">
        <v>581</v>
      </c>
      <c r="I18" s="1678">
        <v>2</v>
      </c>
      <c r="J18" s="1680">
        <v>3210</v>
      </c>
      <c r="K18" s="1680">
        <v>320</v>
      </c>
      <c r="L18" s="97"/>
      <c r="M18" s="97"/>
      <c r="N18" s="97"/>
      <c r="O18" s="97"/>
    </row>
    <row r="19" spans="1:15">
      <c r="A19" s="129">
        <v>11</v>
      </c>
      <c r="B19" s="658" t="s">
        <v>480</v>
      </c>
      <c r="C19" s="781">
        <v>3807</v>
      </c>
      <c r="D19" s="1678">
        <v>1</v>
      </c>
      <c r="E19" s="1679">
        <v>1800</v>
      </c>
      <c r="F19" s="1680">
        <v>2907</v>
      </c>
      <c r="G19" s="1680">
        <v>306</v>
      </c>
      <c r="H19" s="1678">
        <v>581</v>
      </c>
      <c r="I19" s="1678">
        <v>13</v>
      </c>
      <c r="J19" s="1680">
        <v>911</v>
      </c>
      <c r="K19" s="1680">
        <v>180</v>
      </c>
      <c r="L19" s="97"/>
      <c r="M19" s="97"/>
      <c r="N19" s="97"/>
      <c r="O19" s="97"/>
    </row>
    <row r="20" spans="1:15">
      <c r="A20" s="782">
        <v>12</v>
      </c>
      <c r="B20" s="658" t="s">
        <v>62</v>
      </c>
      <c r="C20" s="789">
        <f>SUM(C17:C19)</f>
        <v>12697</v>
      </c>
      <c r="D20" s="783"/>
      <c r="E20" s="783"/>
      <c r="F20" s="789">
        <f t="shared" ref="F20:K20" si="2">SUM(F17:F19)</f>
        <v>9981</v>
      </c>
      <c r="G20" s="789">
        <f t="shared" si="2"/>
        <v>957</v>
      </c>
      <c r="H20" s="789">
        <f t="shared" si="2"/>
        <v>1743</v>
      </c>
      <c r="I20" s="789">
        <f t="shared" si="2"/>
        <v>16</v>
      </c>
      <c r="J20" s="789">
        <f t="shared" si="2"/>
        <v>7041</v>
      </c>
      <c r="K20" s="789">
        <f t="shared" si="2"/>
        <v>734</v>
      </c>
      <c r="L20" s="1118"/>
      <c r="M20" s="1118"/>
      <c r="N20" s="1118"/>
      <c r="O20" s="1118"/>
    </row>
    <row r="21" spans="1:15">
      <c r="A21" s="129">
        <v>13</v>
      </c>
      <c r="B21" s="658" t="s">
        <v>481</v>
      </c>
      <c r="C21" s="781">
        <v>3890</v>
      </c>
      <c r="D21" s="1682">
        <v>25</v>
      </c>
      <c r="E21" s="1683">
        <v>1900</v>
      </c>
      <c r="F21" s="1684">
        <v>2976</v>
      </c>
      <c r="G21" s="1684">
        <v>319</v>
      </c>
      <c r="H21" s="1682">
        <v>581</v>
      </c>
      <c r="I21" s="1682">
        <v>14</v>
      </c>
      <c r="J21" s="1684">
        <v>750</v>
      </c>
      <c r="K21" s="1684">
        <v>240</v>
      </c>
      <c r="L21" s="97"/>
      <c r="M21" s="97"/>
      <c r="N21" s="97"/>
      <c r="O21" s="97"/>
    </row>
    <row r="22" spans="1:15">
      <c r="A22" s="129">
        <v>14</v>
      </c>
      <c r="B22" s="658" t="s">
        <v>482</v>
      </c>
      <c r="C22" s="781">
        <v>4940</v>
      </c>
      <c r="D22" s="1681">
        <v>29</v>
      </c>
      <c r="E22" s="1685">
        <v>1800</v>
      </c>
      <c r="F22" s="1686">
        <v>3984</v>
      </c>
      <c r="G22" s="1686">
        <v>357</v>
      </c>
      <c r="H22" s="1681">
        <v>581</v>
      </c>
      <c r="I22" s="1681">
        <v>18</v>
      </c>
      <c r="J22" s="1684">
        <v>2821</v>
      </c>
      <c r="K22" s="1686">
        <v>155</v>
      </c>
      <c r="L22" s="97"/>
      <c r="M22" s="97"/>
      <c r="N22" s="97"/>
      <c r="O22" s="97"/>
    </row>
    <row r="23" spans="1:15">
      <c r="A23" s="129">
        <v>15</v>
      </c>
      <c r="B23" s="658" t="s">
        <v>184</v>
      </c>
      <c r="C23" s="781">
        <v>5619</v>
      </c>
      <c r="D23" s="1681">
        <v>22</v>
      </c>
      <c r="E23" s="1685">
        <v>1800</v>
      </c>
      <c r="F23" s="1686">
        <v>4728</v>
      </c>
      <c r="G23" s="1686">
        <v>289</v>
      </c>
      <c r="H23" s="1681">
        <v>581</v>
      </c>
      <c r="I23" s="1681">
        <v>21</v>
      </c>
      <c r="J23" s="1684">
        <v>4341</v>
      </c>
      <c r="K23" s="1686">
        <v>182</v>
      </c>
      <c r="L23" s="97"/>
      <c r="M23" s="97"/>
      <c r="N23" s="97"/>
      <c r="O23" s="97"/>
    </row>
    <row r="24" spans="1:15">
      <c r="A24" s="782">
        <v>16</v>
      </c>
      <c r="B24" s="658" t="s">
        <v>62</v>
      </c>
      <c r="C24" s="789">
        <f>SUM(C21:C23)</f>
        <v>14449</v>
      </c>
      <c r="D24" s="784"/>
      <c r="E24" s="783"/>
      <c r="F24" s="789">
        <f t="shared" ref="F24:K24" si="3">SUM(F21:F23)</f>
        <v>11688</v>
      </c>
      <c r="G24" s="789">
        <f t="shared" si="3"/>
        <v>965</v>
      </c>
      <c r="H24" s="789">
        <f t="shared" si="3"/>
        <v>1743</v>
      </c>
      <c r="I24" s="789">
        <f t="shared" si="3"/>
        <v>53</v>
      </c>
      <c r="J24" s="789">
        <f t="shared" si="3"/>
        <v>7912</v>
      </c>
      <c r="K24" s="789">
        <f t="shared" si="3"/>
        <v>577</v>
      </c>
      <c r="L24" s="1118"/>
      <c r="M24" s="1118"/>
      <c r="N24" s="1118"/>
      <c r="O24" s="1118"/>
    </row>
    <row r="25" spans="1:15" ht="15">
      <c r="A25" s="785">
        <v>17</v>
      </c>
      <c r="B25" s="785" t="s">
        <v>63</v>
      </c>
      <c r="C25" s="786">
        <f>C24+C20+C16+C12</f>
        <v>54154.30643622201</v>
      </c>
      <c r="D25" s="787"/>
      <c r="E25" s="788"/>
      <c r="F25" s="786">
        <f t="shared" ref="F25:K25" si="4">F24+F20+F16+F12</f>
        <v>43188.30643622201</v>
      </c>
      <c r="G25" s="786">
        <f t="shared" si="4"/>
        <v>3842</v>
      </c>
      <c r="H25" s="786">
        <f>H24+H20+H16+H12</f>
        <v>6972</v>
      </c>
      <c r="I25" s="786">
        <f t="shared" si="4"/>
        <v>152</v>
      </c>
      <c r="J25" s="786">
        <f t="shared" si="4"/>
        <v>28379</v>
      </c>
      <c r="K25" s="786">
        <f t="shared" si="4"/>
        <v>3046</v>
      </c>
      <c r="L25" s="1119"/>
      <c r="M25" s="1119"/>
      <c r="N25" s="1119"/>
      <c r="O25" s="1119"/>
    </row>
    <row r="26" spans="1:15">
      <c r="A26" s="129"/>
      <c r="B26" s="129" t="s">
        <v>433</v>
      </c>
      <c r="C26" s="789">
        <f>(C25*1000)/12</f>
        <v>4512858.8696851674</v>
      </c>
      <c r="D26" s="129"/>
      <c r="E26" s="129"/>
      <c r="F26" s="129"/>
      <c r="G26" s="129"/>
      <c r="H26" s="129"/>
      <c r="I26" s="790"/>
      <c r="J26" s="792"/>
      <c r="K26" s="792"/>
      <c r="L26" s="97"/>
      <c r="M26" s="97"/>
      <c r="N26" s="97"/>
      <c r="O26" s="97"/>
    </row>
    <row r="27" spans="1:15">
      <c r="J27" s="2"/>
      <c r="L27" s="97"/>
      <c r="M27" s="97"/>
      <c r="N27" s="97"/>
      <c r="O27" s="97"/>
    </row>
    <row r="28" spans="1:15">
      <c r="A28" s="853" t="s">
        <v>931</v>
      </c>
      <c r="C28" s="1120">
        <f>C25</f>
        <v>54154.30643622201</v>
      </c>
      <c r="J28" s="2"/>
      <c r="L28" s="97"/>
      <c r="M28" s="97"/>
      <c r="N28" s="97"/>
      <c r="O28" s="97"/>
    </row>
    <row r="29" spans="1:15" ht="24" customHeight="1">
      <c r="A29" s="853" t="s">
        <v>930</v>
      </c>
      <c r="C29" s="1120">
        <f>G25+H25+I25</f>
        <v>10966</v>
      </c>
      <c r="D29" s="2026" t="s">
        <v>101</v>
      </c>
      <c r="E29" s="2026"/>
      <c r="F29" s="2026"/>
      <c r="G29" s="2026"/>
      <c r="H29" s="2026"/>
      <c r="I29" s="2026"/>
      <c r="J29" s="2026"/>
      <c r="K29" s="2026"/>
      <c r="L29" s="97"/>
      <c r="M29" s="97"/>
      <c r="N29" s="97"/>
      <c r="O29" s="97"/>
    </row>
    <row r="30" spans="1:15">
      <c r="A30" s="775"/>
      <c r="J30" s="2"/>
      <c r="L30" s="97"/>
      <c r="M30" s="97"/>
      <c r="N30" s="97"/>
      <c r="O30" s="97"/>
    </row>
    <row r="31" spans="1:15">
      <c r="A31" s="775" t="s">
        <v>64</v>
      </c>
      <c r="F31" s="92"/>
      <c r="J31" s="2"/>
      <c r="L31" s="97"/>
      <c r="M31" s="97"/>
      <c r="N31" s="97"/>
      <c r="O31" s="97"/>
    </row>
    <row r="32" spans="1:15" ht="51">
      <c r="A32" s="777" t="s">
        <v>141</v>
      </c>
      <c r="B32" s="129" t="s">
        <v>622</v>
      </c>
      <c r="C32" s="778" t="s">
        <v>56</v>
      </c>
      <c r="D32" s="778" t="s">
        <v>57</v>
      </c>
      <c r="E32" s="778" t="s">
        <v>58</v>
      </c>
      <c r="F32" s="778" t="s">
        <v>261</v>
      </c>
      <c r="G32" s="778" t="s">
        <v>59</v>
      </c>
      <c r="H32" s="778" t="s">
        <v>60</v>
      </c>
      <c r="I32" s="779" t="s">
        <v>1022</v>
      </c>
      <c r="J32" s="779" t="s">
        <v>61</v>
      </c>
      <c r="K32" s="779" t="s">
        <v>1023</v>
      </c>
      <c r="L32" s="97"/>
      <c r="M32" s="97"/>
      <c r="N32" s="97"/>
      <c r="O32" s="97"/>
    </row>
    <row r="33" spans="1:15">
      <c r="A33" s="129"/>
      <c r="B33" s="129"/>
      <c r="C33" s="129"/>
      <c r="D33" s="129"/>
      <c r="E33" s="129"/>
      <c r="F33" s="129"/>
      <c r="G33" s="129"/>
      <c r="H33" s="129"/>
      <c r="I33" s="780"/>
      <c r="J33" s="791"/>
      <c r="K33" s="780"/>
      <c r="L33" s="97"/>
      <c r="M33" s="97"/>
      <c r="N33" s="97"/>
      <c r="O33" s="97"/>
    </row>
    <row r="34" spans="1:15">
      <c r="A34" s="129">
        <v>1</v>
      </c>
      <c r="B34" s="129" t="s">
        <v>475</v>
      </c>
      <c r="C34" s="781">
        <v>700</v>
      </c>
      <c r="D34" s="1689">
        <v>0</v>
      </c>
      <c r="E34" s="1690"/>
      <c r="F34" s="1687">
        <v>0</v>
      </c>
      <c r="G34" s="1687">
        <v>0</v>
      </c>
      <c r="H34" s="1689">
        <v>400</v>
      </c>
      <c r="I34" s="1689">
        <v>300</v>
      </c>
      <c r="J34" s="1688">
        <v>0</v>
      </c>
      <c r="K34" s="1689">
        <v>0</v>
      </c>
      <c r="L34" s="97"/>
      <c r="M34" s="97"/>
      <c r="N34" s="97"/>
      <c r="O34" s="97"/>
    </row>
    <row r="35" spans="1:15">
      <c r="A35" s="129">
        <v>2</v>
      </c>
      <c r="B35" s="129" t="s">
        <v>476</v>
      </c>
      <c r="C35" s="781">
        <v>700</v>
      </c>
      <c r="D35" s="1689">
        <v>0</v>
      </c>
      <c r="E35" s="1690"/>
      <c r="F35" s="1687">
        <v>0</v>
      </c>
      <c r="G35" s="1687">
        <v>0</v>
      </c>
      <c r="H35" s="1699">
        <v>400</v>
      </c>
      <c r="I35" s="1689">
        <v>300</v>
      </c>
      <c r="J35" s="1688">
        <v>0</v>
      </c>
      <c r="K35" s="1689">
        <v>0</v>
      </c>
      <c r="L35" s="97"/>
      <c r="M35" s="97"/>
      <c r="N35" s="97"/>
      <c r="O35" s="97"/>
    </row>
    <row r="36" spans="1:15">
      <c r="A36" s="129">
        <v>3</v>
      </c>
      <c r="B36" s="129" t="s">
        <v>477</v>
      </c>
      <c r="C36" s="781">
        <v>700</v>
      </c>
      <c r="D36" s="1689">
        <v>0</v>
      </c>
      <c r="E36" s="1690"/>
      <c r="F36" s="1687">
        <v>0</v>
      </c>
      <c r="G36" s="1687">
        <v>0</v>
      </c>
      <c r="H36" s="1699">
        <v>400</v>
      </c>
      <c r="I36" s="1689">
        <v>300</v>
      </c>
      <c r="J36" s="1688">
        <v>0</v>
      </c>
      <c r="K36" s="1689">
        <v>0</v>
      </c>
      <c r="L36" s="97"/>
      <c r="M36" s="97"/>
      <c r="N36" s="97"/>
      <c r="O36" s="97"/>
    </row>
    <row r="37" spans="1:15">
      <c r="A37" s="782">
        <v>4</v>
      </c>
      <c r="B37" s="782" t="s">
        <v>62</v>
      </c>
      <c r="C37" s="789">
        <f>SUM(C34:C36)</f>
        <v>2100</v>
      </c>
      <c r="D37" s="783"/>
      <c r="E37" s="783"/>
      <c r="F37" s="789">
        <f t="shared" ref="F37:K37" si="5">SUM(F34:F36)</f>
        <v>0</v>
      </c>
      <c r="G37" s="789">
        <f t="shared" si="5"/>
        <v>0</v>
      </c>
      <c r="H37" s="789">
        <f t="shared" si="5"/>
        <v>1200</v>
      </c>
      <c r="I37" s="789">
        <f t="shared" si="5"/>
        <v>900</v>
      </c>
      <c r="J37" s="789">
        <f t="shared" si="5"/>
        <v>0</v>
      </c>
      <c r="K37" s="789">
        <f t="shared" si="5"/>
        <v>0</v>
      </c>
      <c r="L37" s="1118"/>
      <c r="M37" s="1118"/>
      <c r="N37" s="1118"/>
      <c r="O37" s="1118"/>
    </row>
    <row r="38" spans="1:15">
      <c r="A38" s="129">
        <v>5</v>
      </c>
      <c r="B38" s="129" t="s">
        <v>626</v>
      </c>
      <c r="C38" s="781">
        <v>700</v>
      </c>
      <c r="D38" s="1693">
        <v>30</v>
      </c>
      <c r="E38" s="1692"/>
      <c r="F38" s="1691">
        <v>0</v>
      </c>
      <c r="G38" s="1691">
        <v>0</v>
      </c>
      <c r="H38" s="1699">
        <v>400</v>
      </c>
      <c r="I38" s="1691">
        <v>300</v>
      </c>
      <c r="J38" s="1691">
        <v>6</v>
      </c>
      <c r="K38" s="1691">
        <v>0</v>
      </c>
      <c r="L38" s="97"/>
      <c r="M38" s="97"/>
      <c r="N38" s="97"/>
      <c r="O38" s="97"/>
    </row>
    <row r="39" spans="1:15">
      <c r="A39" s="129">
        <v>6</v>
      </c>
      <c r="B39" s="129" t="s">
        <v>627</v>
      </c>
      <c r="C39" s="781">
        <v>700</v>
      </c>
      <c r="D39" s="1693">
        <v>0</v>
      </c>
      <c r="E39" s="1692"/>
      <c r="F39" s="1691">
        <v>0</v>
      </c>
      <c r="G39" s="1691">
        <v>0</v>
      </c>
      <c r="H39" s="1699">
        <v>400</v>
      </c>
      <c r="I39" s="1691">
        <v>300</v>
      </c>
      <c r="J39" s="1691">
        <v>0</v>
      </c>
      <c r="K39" s="1691">
        <v>0</v>
      </c>
      <c r="L39" s="97"/>
      <c r="M39" s="97"/>
      <c r="N39" s="97"/>
      <c r="O39" s="97"/>
    </row>
    <row r="40" spans="1:15">
      <c r="A40" s="129">
        <v>7</v>
      </c>
      <c r="B40" s="129" t="s">
        <v>628</v>
      </c>
      <c r="C40" s="781">
        <v>700</v>
      </c>
      <c r="D40" s="1693">
        <v>0</v>
      </c>
      <c r="E40" s="1692"/>
      <c r="F40" s="1691">
        <v>0</v>
      </c>
      <c r="G40" s="1691">
        <v>0</v>
      </c>
      <c r="H40" s="1699">
        <v>400</v>
      </c>
      <c r="I40" s="1691">
        <v>300</v>
      </c>
      <c r="J40" s="1691">
        <v>0</v>
      </c>
      <c r="K40" s="1691">
        <v>0</v>
      </c>
      <c r="L40" s="97"/>
      <c r="M40" s="97"/>
      <c r="N40" s="97"/>
      <c r="O40" s="97"/>
    </row>
    <row r="41" spans="1:15">
      <c r="A41" s="782">
        <v>8</v>
      </c>
      <c r="B41" s="782" t="s">
        <v>62</v>
      </c>
      <c r="C41" s="789">
        <f>SUM(C38:C40)</f>
        <v>2100</v>
      </c>
      <c r="D41" s="783"/>
      <c r="E41" s="783"/>
      <c r="F41" s="789">
        <f t="shared" ref="F41:K41" si="6">SUM(F38:F40)</f>
        <v>0</v>
      </c>
      <c r="G41" s="789">
        <f t="shared" si="6"/>
        <v>0</v>
      </c>
      <c r="H41" s="789">
        <f t="shared" si="6"/>
        <v>1200</v>
      </c>
      <c r="I41" s="789">
        <f t="shared" si="6"/>
        <v>900</v>
      </c>
      <c r="J41" s="789">
        <f t="shared" si="6"/>
        <v>6</v>
      </c>
      <c r="K41" s="789">
        <f t="shared" si="6"/>
        <v>0</v>
      </c>
      <c r="L41" s="1118"/>
      <c r="M41" s="1118"/>
      <c r="N41" s="1118"/>
      <c r="O41" s="1118"/>
    </row>
    <row r="42" spans="1:15">
      <c r="A42" s="129">
        <v>9</v>
      </c>
      <c r="B42" s="129" t="s">
        <v>478</v>
      </c>
      <c r="C42" s="781">
        <v>700</v>
      </c>
      <c r="D42" s="1696">
        <v>0</v>
      </c>
      <c r="E42" s="1695"/>
      <c r="F42" s="1694">
        <v>0</v>
      </c>
      <c r="G42" s="1694">
        <v>0</v>
      </c>
      <c r="H42" s="1699">
        <v>400</v>
      </c>
      <c r="I42" s="1694">
        <v>300</v>
      </c>
      <c r="J42" s="1694">
        <v>0</v>
      </c>
      <c r="K42" s="1694">
        <v>0</v>
      </c>
      <c r="L42" s="97"/>
      <c r="M42" s="97"/>
      <c r="N42" s="97"/>
      <c r="O42" s="97"/>
    </row>
    <row r="43" spans="1:15">
      <c r="A43" s="129">
        <v>10</v>
      </c>
      <c r="B43" s="129" t="s">
        <v>479</v>
      </c>
      <c r="C43" s="781">
        <v>700</v>
      </c>
      <c r="D43" s="1696">
        <v>0</v>
      </c>
      <c r="E43" s="1695"/>
      <c r="F43" s="1697">
        <v>0</v>
      </c>
      <c r="G43" s="1697">
        <v>0</v>
      </c>
      <c r="H43" s="1699">
        <v>400</v>
      </c>
      <c r="I43" s="1694">
        <v>300</v>
      </c>
      <c r="J43" s="1694">
        <v>6</v>
      </c>
      <c r="K43" s="1694">
        <v>0</v>
      </c>
      <c r="L43" s="97"/>
      <c r="M43" s="97"/>
      <c r="N43" s="97"/>
      <c r="O43" s="97"/>
    </row>
    <row r="44" spans="1:15">
      <c r="A44" s="129">
        <v>11</v>
      </c>
      <c r="B44" s="129" t="s">
        <v>480</v>
      </c>
      <c r="C44" s="781">
        <v>700</v>
      </c>
      <c r="D44" s="1696">
        <v>0</v>
      </c>
      <c r="E44" s="1695"/>
      <c r="F44" s="1697">
        <v>0</v>
      </c>
      <c r="G44" s="1697">
        <v>0</v>
      </c>
      <c r="H44" s="1699">
        <v>400</v>
      </c>
      <c r="I44" s="1694">
        <v>300</v>
      </c>
      <c r="J44" s="1694">
        <v>12</v>
      </c>
      <c r="K44" s="1694">
        <v>0</v>
      </c>
      <c r="L44" s="97"/>
      <c r="M44" s="97"/>
      <c r="N44" s="97"/>
      <c r="O44" s="97"/>
    </row>
    <row r="45" spans="1:15">
      <c r="A45" s="782">
        <v>12</v>
      </c>
      <c r="B45" s="782" t="s">
        <v>62</v>
      </c>
      <c r="C45" s="789">
        <f>SUM(C42:C44)</f>
        <v>2100</v>
      </c>
      <c r="D45" s="783"/>
      <c r="E45" s="783"/>
      <c r="F45" s="789">
        <f t="shared" ref="F45:K45" si="7">SUM(F42:F44)</f>
        <v>0</v>
      </c>
      <c r="G45" s="789">
        <f t="shared" si="7"/>
        <v>0</v>
      </c>
      <c r="H45" s="789">
        <f t="shared" si="7"/>
        <v>1200</v>
      </c>
      <c r="I45" s="789">
        <f t="shared" si="7"/>
        <v>900</v>
      </c>
      <c r="J45" s="789">
        <f t="shared" si="7"/>
        <v>18</v>
      </c>
      <c r="K45" s="789">
        <f t="shared" si="7"/>
        <v>0</v>
      </c>
      <c r="L45" s="1118"/>
      <c r="M45" s="1118"/>
      <c r="N45" s="1118"/>
      <c r="O45" s="1118"/>
    </row>
    <row r="46" spans="1:15">
      <c r="A46" s="129">
        <v>13</v>
      </c>
      <c r="B46" s="129" t="s">
        <v>481</v>
      </c>
      <c r="C46" s="781">
        <v>700</v>
      </c>
      <c r="D46" s="1699">
        <v>0</v>
      </c>
      <c r="E46" s="1698"/>
      <c r="F46" s="1697">
        <v>0</v>
      </c>
      <c r="G46" s="1697">
        <v>0</v>
      </c>
      <c r="H46" s="1699">
        <v>400</v>
      </c>
      <c r="I46" s="1697">
        <v>300</v>
      </c>
      <c r="J46" s="1697">
        <v>6</v>
      </c>
      <c r="K46" s="1697">
        <v>0</v>
      </c>
      <c r="L46" s="97"/>
      <c r="M46" s="97"/>
      <c r="N46" s="97"/>
      <c r="O46" s="97"/>
    </row>
    <row r="47" spans="1:15">
      <c r="A47" s="129">
        <v>14</v>
      </c>
      <c r="B47" s="129" t="s">
        <v>482</v>
      </c>
      <c r="C47" s="781">
        <v>700</v>
      </c>
      <c r="D47" s="1699">
        <v>0</v>
      </c>
      <c r="E47" s="1698"/>
      <c r="F47" s="1697">
        <v>0</v>
      </c>
      <c r="G47" s="1697">
        <v>0</v>
      </c>
      <c r="H47" s="1699">
        <v>400</v>
      </c>
      <c r="I47" s="1697">
        <v>300</v>
      </c>
      <c r="J47" s="1697">
        <v>6</v>
      </c>
      <c r="K47" s="1697">
        <v>0</v>
      </c>
      <c r="L47" s="97"/>
      <c r="M47" s="97"/>
      <c r="N47" s="97"/>
      <c r="O47" s="97"/>
    </row>
    <row r="48" spans="1:15">
      <c r="A48" s="129">
        <v>15</v>
      </c>
      <c r="B48" s="129" t="s">
        <v>184</v>
      </c>
      <c r="C48" s="781">
        <v>700</v>
      </c>
      <c r="D48" s="1699">
        <v>0</v>
      </c>
      <c r="E48" s="1698"/>
      <c r="F48" s="1697">
        <v>0</v>
      </c>
      <c r="G48" s="1697">
        <v>0</v>
      </c>
      <c r="H48" s="1699">
        <v>400</v>
      </c>
      <c r="I48" s="1697">
        <v>300</v>
      </c>
      <c r="J48" s="1697">
        <v>6</v>
      </c>
      <c r="K48" s="1697">
        <v>0</v>
      </c>
      <c r="L48" s="97"/>
      <c r="M48" s="97"/>
      <c r="N48" s="97"/>
      <c r="O48" s="97"/>
    </row>
    <row r="49" spans="1:15">
      <c r="A49" s="782">
        <v>16</v>
      </c>
      <c r="B49" s="782" t="s">
        <v>62</v>
      </c>
      <c r="C49" s="789">
        <f>SUM(C46:C48)</f>
        <v>2100</v>
      </c>
      <c r="D49" s="784"/>
      <c r="E49" s="783"/>
      <c r="F49" s="789">
        <f t="shared" ref="F49:K49" si="8">SUM(F46:F48)</f>
        <v>0</v>
      </c>
      <c r="G49" s="789">
        <f t="shared" si="8"/>
        <v>0</v>
      </c>
      <c r="H49" s="789">
        <f t="shared" si="8"/>
        <v>1200</v>
      </c>
      <c r="I49" s="789">
        <f t="shared" si="8"/>
        <v>900</v>
      </c>
      <c r="J49" s="789">
        <f t="shared" si="8"/>
        <v>18</v>
      </c>
      <c r="K49" s="789">
        <f t="shared" si="8"/>
        <v>0</v>
      </c>
      <c r="L49" s="1118"/>
      <c r="M49" s="1118"/>
      <c r="N49" s="1118"/>
      <c r="O49" s="1118"/>
    </row>
    <row r="50" spans="1:15" ht="15">
      <c r="A50" s="785">
        <v>17</v>
      </c>
      <c r="B50" s="785" t="s">
        <v>63</v>
      </c>
      <c r="C50" s="786">
        <f>C49+C45+C41+C37</f>
        <v>8400</v>
      </c>
      <c r="D50" s="787"/>
      <c r="E50" s="788"/>
      <c r="F50" s="786">
        <f t="shared" ref="F50:K50" si="9">F49+F45+F41+F37</f>
        <v>0</v>
      </c>
      <c r="G50" s="786">
        <f t="shared" si="9"/>
        <v>0</v>
      </c>
      <c r="H50" s="786">
        <f t="shared" si="9"/>
        <v>4800</v>
      </c>
      <c r="I50" s="786">
        <f t="shared" si="9"/>
        <v>3600</v>
      </c>
      <c r="J50" s="786">
        <f t="shared" si="9"/>
        <v>42</v>
      </c>
      <c r="K50" s="786">
        <f t="shared" si="9"/>
        <v>0</v>
      </c>
      <c r="L50" s="1119"/>
      <c r="M50" s="1119"/>
      <c r="N50" s="1119"/>
      <c r="O50" s="1119"/>
    </row>
    <row r="51" spans="1:15">
      <c r="A51" s="129"/>
      <c r="B51" s="129" t="s">
        <v>433</v>
      </c>
      <c r="C51" s="789">
        <f>(C50*1000)/12</f>
        <v>700000</v>
      </c>
      <c r="D51" s="129"/>
      <c r="E51" s="129"/>
      <c r="F51" s="129"/>
      <c r="G51" s="129"/>
      <c r="H51" s="129"/>
      <c r="I51" s="790"/>
      <c r="J51" s="792"/>
      <c r="K51" s="790"/>
      <c r="L51" s="97"/>
      <c r="M51" s="97"/>
      <c r="N51" s="97"/>
      <c r="O51" s="97"/>
    </row>
    <row r="52" spans="1:15">
      <c r="B52" s="793"/>
      <c r="C52" s="445"/>
      <c r="J52" s="2"/>
      <c r="L52" s="97"/>
      <c r="M52" s="97"/>
      <c r="N52" s="97"/>
      <c r="O52" s="97"/>
    </row>
    <row r="53" spans="1:15">
      <c r="A53" s="775"/>
      <c r="J53" s="2"/>
      <c r="L53" s="97"/>
      <c r="M53" s="97"/>
      <c r="N53" s="97"/>
      <c r="O53" s="97"/>
    </row>
    <row r="54" spans="1:15">
      <c r="A54" s="775" t="s">
        <v>100</v>
      </c>
      <c r="E54" s="794"/>
      <c r="L54" s="97"/>
      <c r="M54" s="97"/>
      <c r="N54" s="97"/>
      <c r="O54" s="97"/>
    </row>
    <row r="55" spans="1:15" ht="51">
      <c r="A55" s="777" t="s">
        <v>141</v>
      </c>
      <c r="B55" s="129" t="s">
        <v>622</v>
      </c>
      <c r="C55" s="778" t="s">
        <v>56</v>
      </c>
      <c r="D55" s="778" t="s">
        <v>57</v>
      </c>
      <c r="E55" s="778" t="s">
        <v>58</v>
      </c>
      <c r="F55" s="778" t="s">
        <v>261</v>
      </c>
      <c r="G55" s="778" t="s">
        <v>59</v>
      </c>
      <c r="H55" s="778" t="s">
        <v>60</v>
      </c>
      <c r="I55" s="779" t="s">
        <v>1022</v>
      </c>
      <c r="J55" s="779" t="s">
        <v>61</v>
      </c>
      <c r="K55" s="779" t="s">
        <v>1023</v>
      </c>
      <c r="L55" s="97"/>
      <c r="M55" s="97"/>
      <c r="N55" s="97"/>
      <c r="O55" s="97"/>
    </row>
    <row r="56" spans="1:15">
      <c r="A56" s="129"/>
      <c r="B56" s="129"/>
      <c r="C56" s="129"/>
      <c r="D56" s="129"/>
      <c r="E56" s="129"/>
      <c r="F56" s="129"/>
      <c r="G56" s="129"/>
      <c r="H56" s="129"/>
      <c r="I56" s="780"/>
      <c r="J56" s="780"/>
      <c r="K56" s="780"/>
      <c r="L56" s="97"/>
      <c r="M56" s="97"/>
      <c r="N56" s="97"/>
      <c r="O56" s="97"/>
    </row>
    <row r="57" spans="1:15">
      <c r="A57" s="129">
        <v>1</v>
      </c>
      <c r="B57" s="129" t="s">
        <v>475</v>
      </c>
      <c r="C57" s="781">
        <v>383</v>
      </c>
      <c r="D57" s="1702"/>
      <c r="E57" s="1701"/>
      <c r="F57" s="1700">
        <v>0</v>
      </c>
      <c r="G57" s="1700">
        <v>0</v>
      </c>
      <c r="H57" s="1700">
        <v>383</v>
      </c>
      <c r="I57" s="1700">
        <v>0</v>
      </c>
      <c r="J57" s="1700">
        <v>0</v>
      </c>
      <c r="K57" s="1700">
        <v>0</v>
      </c>
      <c r="L57" s="97"/>
      <c r="M57" s="97"/>
      <c r="N57" s="97"/>
      <c r="O57" s="97"/>
    </row>
    <row r="58" spans="1:15">
      <c r="A58" s="129">
        <v>2</v>
      </c>
      <c r="B58" s="129" t="s">
        <v>476</v>
      </c>
      <c r="C58" s="781">
        <v>383</v>
      </c>
      <c r="D58" s="1702"/>
      <c r="E58" s="1701"/>
      <c r="F58" s="1700">
        <v>0</v>
      </c>
      <c r="G58" s="1700">
        <v>0</v>
      </c>
      <c r="H58" s="1709">
        <v>383</v>
      </c>
      <c r="I58" s="1700">
        <v>0</v>
      </c>
      <c r="J58" s="1700">
        <v>0</v>
      </c>
      <c r="K58" s="1700">
        <v>0</v>
      </c>
      <c r="L58" s="97"/>
      <c r="M58" s="97"/>
      <c r="N58" s="97"/>
      <c r="O58" s="97"/>
    </row>
    <row r="59" spans="1:15">
      <c r="A59" s="129">
        <v>3</v>
      </c>
      <c r="B59" s="129" t="s">
        <v>477</v>
      </c>
      <c r="C59" s="781">
        <v>383</v>
      </c>
      <c r="D59" s="1702"/>
      <c r="E59" s="1701"/>
      <c r="F59" s="1700">
        <v>0</v>
      </c>
      <c r="G59" s="1700">
        <v>0</v>
      </c>
      <c r="H59" s="1709">
        <v>383</v>
      </c>
      <c r="I59" s="1700">
        <v>0</v>
      </c>
      <c r="J59" s="1700">
        <v>0</v>
      </c>
      <c r="K59" s="1700">
        <v>0</v>
      </c>
      <c r="L59" s="97"/>
      <c r="M59" s="97"/>
      <c r="N59" s="97"/>
      <c r="O59" s="97"/>
    </row>
    <row r="60" spans="1:15">
      <c r="A60" s="782">
        <v>4</v>
      </c>
      <c r="B60" s="782" t="s">
        <v>62</v>
      </c>
      <c r="C60" s="789">
        <f>SUM(C57:C59)</f>
        <v>1149</v>
      </c>
      <c r="D60" s="783"/>
      <c r="E60" s="783"/>
      <c r="F60" s="789">
        <f>SUM(F57:F59)</f>
        <v>0</v>
      </c>
      <c r="G60" s="789">
        <f>SUM(G57:G59)</f>
        <v>0</v>
      </c>
      <c r="H60" s="789">
        <f>SUM(H57:H59)</f>
        <v>1149</v>
      </c>
      <c r="I60" s="789">
        <f t="shared" ref="I60:K60" si="10">SUM(I57:I59)</f>
        <v>0</v>
      </c>
      <c r="J60" s="789">
        <f t="shared" si="10"/>
        <v>0</v>
      </c>
      <c r="K60" s="789">
        <f t="shared" si="10"/>
        <v>0</v>
      </c>
      <c r="L60" s="1118"/>
      <c r="M60" s="1118"/>
      <c r="N60" s="1118"/>
      <c r="O60" s="1118"/>
    </row>
    <row r="61" spans="1:15">
      <c r="A61" s="129">
        <v>5</v>
      </c>
      <c r="B61" s="129" t="s">
        <v>626</v>
      </c>
      <c r="C61" s="781">
        <v>383</v>
      </c>
      <c r="D61" s="1705"/>
      <c r="E61" s="1704"/>
      <c r="F61" s="1703">
        <v>0</v>
      </c>
      <c r="G61" s="1703">
        <v>0</v>
      </c>
      <c r="H61" s="1709">
        <v>383</v>
      </c>
      <c r="I61" s="1703">
        <v>0</v>
      </c>
      <c r="J61" s="1703">
        <v>0</v>
      </c>
      <c r="K61" s="1703">
        <v>0</v>
      </c>
      <c r="L61" s="97"/>
      <c r="M61" s="97"/>
      <c r="N61" s="97"/>
      <c r="O61" s="97"/>
    </row>
    <row r="62" spans="1:15">
      <c r="A62" s="129">
        <v>6</v>
      </c>
      <c r="B62" s="129" t="s">
        <v>627</v>
      </c>
      <c r="C62" s="781">
        <v>383</v>
      </c>
      <c r="D62" s="1705"/>
      <c r="E62" s="1704"/>
      <c r="F62" s="1703">
        <v>0</v>
      </c>
      <c r="G62" s="1703">
        <v>0</v>
      </c>
      <c r="H62" s="1709">
        <v>383</v>
      </c>
      <c r="I62" s="1703">
        <v>0</v>
      </c>
      <c r="J62" s="1703">
        <v>0</v>
      </c>
      <c r="K62" s="1703">
        <v>0</v>
      </c>
      <c r="L62" s="97"/>
      <c r="M62" s="97"/>
      <c r="N62" s="97"/>
      <c r="O62" s="97"/>
    </row>
    <row r="63" spans="1:15">
      <c r="A63" s="129">
        <v>7</v>
      </c>
      <c r="B63" s="129" t="s">
        <v>628</v>
      </c>
      <c r="C63" s="781">
        <v>383</v>
      </c>
      <c r="D63" s="1705"/>
      <c r="E63" s="1704"/>
      <c r="F63" s="1703">
        <v>0</v>
      </c>
      <c r="G63" s="1703">
        <v>0</v>
      </c>
      <c r="H63" s="1709">
        <v>383</v>
      </c>
      <c r="I63" s="1703">
        <v>0</v>
      </c>
      <c r="J63" s="1703">
        <v>0</v>
      </c>
      <c r="K63" s="1703">
        <v>0</v>
      </c>
      <c r="L63" s="97"/>
      <c r="M63" s="97"/>
      <c r="N63" s="97"/>
      <c r="O63" s="97"/>
    </row>
    <row r="64" spans="1:15">
      <c r="A64" s="782">
        <v>8</v>
      </c>
      <c r="B64" s="782" t="s">
        <v>62</v>
      </c>
      <c r="C64" s="789">
        <f>SUM(C61:C63)</f>
        <v>1149</v>
      </c>
      <c r="D64" s="783"/>
      <c r="E64" s="783"/>
      <c r="F64" s="789">
        <f>SUM(F61:F63)</f>
        <v>0</v>
      </c>
      <c r="G64" s="789">
        <f>SUM(G61:G63)</f>
        <v>0</v>
      </c>
      <c r="H64" s="789">
        <f>SUM(H61:H63)</f>
        <v>1149</v>
      </c>
      <c r="I64" s="789">
        <f t="shared" ref="I64:K64" si="11">SUM(I61:I63)</f>
        <v>0</v>
      </c>
      <c r="J64" s="789">
        <f t="shared" si="11"/>
        <v>0</v>
      </c>
      <c r="K64" s="789">
        <f t="shared" si="11"/>
        <v>0</v>
      </c>
      <c r="L64" s="1118"/>
      <c r="M64" s="1118"/>
      <c r="N64" s="1118"/>
      <c r="O64" s="1118"/>
    </row>
    <row r="65" spans="1:15">
      <c r="A65" s="129">
        <v>9</v>
      </c>
      <c r="B65" s="129" t="s">
        <v>478</v>
      </c>
      <c r="C65" s="781">
        <v>383</v>
      </c>
      <c r="D65" s="1708"/>
      <c r="E65" s="1707"/>
      <c r="F65" s="1706">
        <v>0</v>
      </c>
      <c r="G65" s="1706">
        <v>0</v>
      </c>
      <c r="H65" s="1709">
        <v>383</v>
      </c>
      <c r="I65" s="1706">
        <v>0</v>
      </c>
      <c r="J65" s="1706">
        <v>0</v>
      </c>
      <c r="K65" s="1706">
        <v>0</v>
      </c>
      <c r="L65" s="97"/>
      <c r="M65" s="97"/>
      <c r="N65" s="97"/>
      <c r="O65" s="97"/>
    </row>
    <row r="66" spans="1:15">
      <c r="A66" s="129">
        <v>10</v>
      </c>
      <c r="B66" s="129" t="s">
        <v>479</v>
      </c>
      <c r="C66" s="781">
        <v>383</v>
      </c>
      <c r="D66" s="1708"/>
      <c r="E66" s="1707"/>
      <c r="F66" s="1706">
        <v>0</v>
      </c>
      <c r="G66" s="1706">
        <v>0</v>
      </c>
      <c r="H66" s="1709">
        <v>383</v>
      </c>
      <c r="I66" s="1706">
        <v>0</v>
      </c>
      <c r="J66" s="1706">
        <v>0</v>
      </c>
      <c r="K66" s="1706">
        <v>0</v>
      </c>
      <c r="L66" s="97"/>
      <c r="M66" s="97"/>
      <c r="N66" s="97"/>
      <c r="O66" s="97"/>
    </row>
    <row r="67" spans="1:15">
      <c r="A67" s="129">
        <v>11</v>
      </c>
      <c r="B67" s="129" t="s">
        <v>480</v>
      </c>
      <c r="C67" s="781">
        <v>383</v>
      </c>
      <c r="D67" s="1708"/>
      <c r="E67" s="1707"/>
      <c r="F67" s="1706">
        <v>0</v>
      </c>
      <c r="G67" s="1706">
        <v>0</v>
      </c>
      <c r="H67" s="1709">
        <v>383</v>
      </c>
      <c r="I67" s="1706">
        <v>0</v>
      </c>
      <c r="J67" s="1706">
        <v>0</v>
      </c>
      <c r="K67" s="1706">
        <v>0</v>
      </c>
      <c r="L67" s="97"/>
      <c r="M67" s="97"/>
      <c r="N67" s="97"/>
      <c r="O67" s="97"/>
    </row>
    <row r="68" spans="1:15">
      <c r="A68" s="782">
        <v>12</v>
      </c>
      <c r="B68" s="782" t="s">
        <v>62</v>
      </c>
      <c r="C68" s="789">
        <f>SUM(C65:C67)</f>
        <v>1149</v>
      </c>
      <c r="D68" s="783"/>
      <c r="E68" s="783"/>
      <c r="F68" s="789">
        <f>SUM(F65:F67)</f>
        <v>0</v>
      </c>
      <c r="G68" s="789">
        <f>SUM(G65:G67)</f>
        <v>0</v>
      </c>
      <c r="H68" s="789">
        <f>SUM(H65:H67)</f>
        <v>1149</v>
      </c>
      <c r="I68" s="789">
        <f t="shared" ref="I68:K68" si="12">SUM(I65:I67)</f>
        <v>0</v>
      </c>
      <c r="J68" s="789">
        <f t="shared" si="12"/>
        <v>0</v>
      </c>
      <c r="K68" s="789">
        <f t="shared" si="12"/>
        <v>0</v>
      </c>
      <c r="L68" s="1118"/>
      <c r="M68" s="1118"/>
      <c r="N68" s="1118"/>
      <c r="O68" s="1118"/>
    </row>
    <row r="69" spans="1:15">
      <c r="A69" s="129">
        <v>13</v>
      </c>
      <c r="B69" s="129" t="s">
        <v>481</v>
      </c>
      <c r="C69" s="781">
        <v>383</v>
      </c>
      <c r="D69" s="1711"/>
      <c r="E69" s="1710"/>
      <c r="F69" s="1709">
        <v>0</v>
      </c>
      <c r="G69" s="1709">
        <v>0</v>
      </c>
      <c r="H69" s="1709">
        <v>383</v>
      </c>
      <c r="I69" s="1709">
        <v>0</v>
      </c>
      <c r="J69" s="1709">
        <v>0</v>
      </c>
      <c r="K69" s="1709">
        <v>0</v>
      </c>
      <c r="L69" s="97"/>
      <c r="M69" s="97"/>
      <c r="N69" s="97"/>
      <c r="O69" s="97"/>
    </row>
    <row r="70" spans="1:15">
      <c r="A70" s="129">
        <v>14</v>
      </c>
      <c r="B70" s="129" t="s">
        <v>482</v>
      </c>
      <c r="C70" s="781">
        <v>383</v>
      </c>
      <c r="D70" s="1711"/>
      <c r="E70" s="1710"/>
      <c r="F70" s="1709">
        <v>0</v>
      </c>
      <c r="G70" s="1709">
        <v>0</v>
      </c>
      <c r="H70" s="1709">
        <v>383</v>
      </c>
      <c r="I70" s="1709">
        <v>0</v>
      </c>
      <c r="J70" s="1709">
        <v>0</v>
      </c>
      <c r="K70" s="1709">
        <v>0</v>
      </c>
      <c r="L70" s="97"/>
      <c r="M70" s="97"/>
      <c r="N70" s="97"/>
      <c r="O70" s="97"/>
    </row>
    <row r="71" spans="1:15">
      <c r="A71" s="129">
        <v>15</v>
      </c>
      <c r="B71" s="129" t="s">
        <v>184</v>
      </c>
      <c r="C71" s="781">
        <v>713</v>
      </c>
      <c r="D71" s="1711"/>
      <c r="E71" s="1710"/>
      <c r="F71" s="1709">
        <v>0</v>
      </c>
      <c r="G71" s="1709">
        <v>0</v>
      </c>
      <c r="H71" s="1709">
        <v>713</v>
      </c>
      <c r="I71" s="1709">
        <v>0</v>
      </c>
      <c r="J71" s="1709">
        <v>0</v>
      </c>
      <c r="K71" s="1709">
        <v>0</v>
      </c>
      <c r="L71" s="97"/>
      <c r="M71" s="97"/>
      <c r="N71" s="97"/>
      <c r="O71" s="97"/>
    </row>
    <row r="72" spans="1:15">
      <c r="A72" s="782">
        <v>16</v>
      </c>
      <c r="B72" s="782" t="s">
        <v>62</v>
      </c>
      <c r="C72" s="789">
        <f>SUM(C69:C71)</f>
        <v>1479</v>
      </c>
      <c r="D72" s="784"/>
      <c r="E72" s="783"/>
      <c r="F72" s="789">
        <f>SUM(F69:F71)</f>
        <v>0</v>
      </c>
      <c r="G72" s="789">
        <f>SUM(G69:G71)</f>
        <v>0</v>
      </c>
      <c r="H72" s="789">
        <f>SUM(H69:H71)</f>
        <v>1479</v>
      </c>
      <c r="I72" s="789">
        <f t="shared" ref="I72:K72" si="13">SUM(I69:I71)</f>
        <v>0</v>
      </c>
      <c r="J72" s="789">
        <f t="shared" si="13"/>
        <v>0</v>
      </c>
      <c r="K72" s="789">
        <f t="shared" si="13"/>
        <v>0</v>
      </c>
      <c r="L72" s="1118"/>
      <c r="M72" s="1118"/>
      <c r="N72" s="1118"/>
      <c r="O72" s="1118"/>
    </row>
    <row r="73" spans="1:15" ht="15">
      <c r="A73" s="785">
        <v>17</v>
      </c>
      <c r="B73" s="785" t="s">
        <v>63</v>
      </c>
      <c r="C73" s="786">
        <f>C72+C68+C64+C60</f>
        <v>4926</v>
      </c>
      <c r="D73" s="787"/>
      <c r="E73" s="788"/>
      <c r="F73" s="786">
        <v>0</v>
      </c>
      <c r="G73" s="786">
        <v>0</v>
      </c>
      <c r="H73" s="786">
        <f>H72+H68+H64+H60</f>
        <v>4926</v>
      </c>
      <c r="I73" s="786">
        <f>I60+I64+I68+I72</f>
        <v>0</v>
      </c>
      <c r="J73" s="786">
        <f>J60+J64+J68+J72</f>
        <v>0</v>
      </c>
      <c r="K73" s="786">
        <v>0</v>
      </c>
      <c r="L73" s="1119"/>
      <c r="M73" s="1119"/>
      <c r="N73" s="1119"/>
      <c r="O73" s="1119"/>
    </row>
    <row r="74" spans="1:15">
      <c r="A74" s="129"/>
      <c r="B74" s="129" t="s">
        <v>433</v>
      </c>
      <c r="C74" s="789">
        <f>(C73*1000)/12</f>
        <v>410500</v>
      </c>
      <c r="D74" s="129"/>
      <c r="E74" s="129"/>
      <c r="F74" s="129"/>
      <c r="G74" s="129"/>
      <c r="H74" s="129"/>
      <c r="I74" s="790"/>
      <c r="J74" s="790"/>
      <c r="K74" s="790"/>
      <c r="L74" s="97"/>
      <c r="M74" s="97"/>
      <c r="N74" s="97"/>
      <c r="O74" s="97"/>
    </row>
    <row r="75" spans="1:15">
      <c r="C75" s="92"/>
    </row>
    <row r="76" spans="1:15">
      <c r="B76" s="104"/>
      <c r="C76" s="796"/>
      <c r="D76" s="97"/>
      <c r="L76" s="445"/>
    </row>
    <row r="77" spans="1:15" ht="14.25">
      <c r="B77" s="797"/>
      <c r="C77" s="797"/>
      <c r="D77" s="97"/>
    </row>
    <row r="78" spans="1:15" ht="14.25">
      <c r="B78" s="797"/>
      <c r="C78" s="797"/>
      <c r="D78" s="97"/>
    </row>
    <row r="79" spans="1:15">
      <c r="B79" s="97"/>
      <c r="C79" s="97"/>
      <c r="D79" s="97"/>
    </row>
    <row r="80" spans="1:15" ht="14.25">
      <c r="B80" s="797"/>
      <c r="C80" s="797"/>
      <c r="D80" s="97"/>
    </row>
    <row r="81" spans="2:4">
      <c r="B81" s="97"/>
      <c r="C81" s="97"/>
      <c r="D81" s="97"/>
    </row>
    <row r="82" spans="2:4">
      <c r="B82" s="97"/>
      <c r="C82" s="97"/>
      <c r="D82" s="97"/>
    </row>
    <row r="83" spans="2:4">
      <c r="B83" s="97"/>
      <c r="C83" s="97"/>
      <c r="D83" s="97"/>
    </row>
  </sheetData>
  <mergeCells count="1">
    <mergeCell ref="D29:K29"/>
  </mergeCells>
  <phoneticPr fontId="73" type="noConversion"/>
  <pageMargins left="0.17" right="0.17" top="0.17" bottom="0.17" header="0.17" footer="0.17"/>
  <pageSetup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2"/>
  <sheetViews>
    <sheetView topLeftCell="A4" zoomScale="75" zoomScaleNormal="75" zoomScaleSheetLayoutView="75" workbookViewId="0">
      <pane xSplit="1" ySplit="2" topLeftCell="B267" activePane="bottomRight" state="frozen"/>
      <selection activeCell="A4" sqref="A4"/>
      <selection pane="topRight" activeCell="B4" sqref="B4"/>
      <selection pane="bottomLeft" activeCell="A6" sqref="A6"/>
      <selection pane="bottomRight" activeCell="N313" sqref="N313:N315"/>
    </sheetView>
  </sheetViews>
  <sheetFormatPr defaultRowHeight="12.75"/>
  <cols>
    <col min="1" max="1" width="39.28515625" customWidth="1"/>
    <col min="2" max="2" width="18" bestFit="1" customWidth="1"/>
    <col min="3" max="3" width="18.5703125" bestFit="1" customWidth="1"/>
    <col min="4" max="4" width="18.28515625" bestFit="1" customWidth="1"/>
    <col min="5" max="5" width="18.5703125" bestFit="1" customWidth="1"/>
    <col min="6" max="7" width="18.28515625" bestFit="1" customWidth="1"/>
    <col min="8" max="10" width="18.5703125" bestFit="1" customWidth="1"/>
    <col min="11" max="11" width="18.28515625" bestFit="1" customWidth="1"/>
    <col min="12" max="12" width="18" bestFit="1" customWidth="1"/>
    <col min="13" max="13" width="18.5703125" bestFit="1" customWidth="1"/>
    <col min="14" max="14" width="17.85546875" customWidth="1"/>
    <col min="15" max="15" width="19.140625" bestFit="1" customWidth="1"/>
    <col min="16" max="17" width="1.5703125" customWidth="1"/>
    <col min="18" max="18" width="69.5703125" customWidth="1"/>
  </cols>
  <sheetData>
    <row r="1" spans="1:16" ht="15.75">
      <c r="A1" s="1" t="s">
        <v>548</v>
      </c>
    </row>
    <row r="3" spans="1:16">
      <c r="B3" s="817"/>
      <c r="C3" s="817"/>
      <c r="D3" s="817"/>
      <c r="E3" s="817"/>
      <c r="F3" s="817"/>
      <c r="G3" s="817"/>
      <c r="H3" s="817"/>
      <c r="I3" s="817"/>
      <c r="J3" s="817"/>
      <c r="K3" s="817"/>
      <c r="L3" s="817"/>
      <c r="M3" s="817"/>
      <c r="N3" s="817"/>
    </row>
    <row r="4" spans="1:16">
      <c r="A4" s="818" t="s">
        <v>1138</v>
      </c>
      <c r="N4" s="445"/>
    </row>
    <row r="5" spans="1:16" ht="15">
      <c r="A5" s="775"/>
      <c r="B5" s="1432">
        <v>44531</v>
      </c>
      <c r="C5" s="1432">
        <v>44562</v>
      </c>
      <c r="D5" s="1432">
        <v>44593</v>
      </c>
      <c r="E5" s="1432">
        <v>44621</v>
      </c>
      <c r="F5" s="1432">
        <v>44652</v>
      </c>
      <c r="G5" s="1432">
        <v>44682</v>
      </c>
      <c r="H5" s="1432">
        <v>44713</v>
      </c>
      <c r="I5" s="1432">
        <v>44743</v>
      </c>
      <c r="J5" s="1432">
        <v>44774</v>
      </c>
      <c r="K5" s="1432">
        <v>44805</v>
      </c>
      <c r="L5" s="1432">
        <v>44835</v>
      </c>
      <c r="M5" s="1432">
        <v>44866</v>
      </c>
      <c r="N5" s="1432">
        <v>44896</v>
      </c>
      <c r="O5" s="1433" t="s">
        <v>79</v>
      </c>
    </row>
    <row r="6" spans="1:16">
      <c r="A6" t="s">
        <v>486</v>
      </c>
      <c r="B6" s="184">
        <v>1400000</v>
      </c>
      <c r="C6" s="184">
        <v>1395000</v>
      </c>
      <c r="D6" s="184">
        <v>1395000</v>
      </c>
      <c r="E6" s="184">
        <v>1395000</v>
      </c>
      <c r="F6" s="184">
        <v>1395000</v>
      </c>
      <c r="G6" s="184">
        <v>1395000</v>
      </c>
      <c r="H6" s="184">
        <v>1395000</v>
      </c>
      <c r="I6" s="184">
        <v>1395000</v>
      </c>
      <c r="J6" s="184">
        <v>1395000</v>
      </c>
      <c r="K6" s="184">
        <v>1395000</v>
      </c>
      <c r="L6" s="184">
        <v>1395000</v>
      </c>
      <c r="M6" s="184">
        <v>1395000</v>
      </c>
      <c r="N6" s="184">
        <v>1395000</v>
      </c>
      <c r="O6" s="1751">
        <f>AVERAGE(B6:N6)</f>
        <v>1395384.6153846155</v>
      </c>
      <c r="P6" s="97"/>
    </row>
    <row r="7" spans="1:16">
      <c r="A7" t="s">
        <v>1154</v>
      </c>
      <c r="B7" s="184">
        <v>31000</v>
      </c>
      <c r="C7" s="184">
        <v>31000</v>
      </c>
      <c r="D7" s="184">
        <v>31000</v>
      </c>
      <c r="E7" s="184">
        <v>31000</v>
      </c>
      <c r="F7" s="184">
        <v>31000</v>
      </c>
      <c r="G7" s="184">
        <v>31000</v>
      </c>
      <c r="H7" s="184">
        <v>31000</v>
      </c>
      <c r="I7" s="184">
        <v>31000</v>
      </c>
      <c r="J7" s="184">
        <v>31000</v>
      </c>
      <c r="K7" s="184">
        <v>31000</v>
      </c>
      <c r="L7" s="184">
        <v>31000</v>
      </c>
      <c r="M7" s="184">
        <v>31000</v>
      </c>
      <c r="N7" s="184">
        <v>31000</v>
      </c>
      <c r="O7" s="1751">
        <f>AVERAGE(B7:N7)</f>
        <v>31000</v>
      </c>
      <c r="P7" s="633"/>
    </row>
    <row r="8" spans="1:16">
      <c r="A8" t="s">
        <v>1155</v>
      </c>
      <c r="B8" s="184">
        <v>52000</v>
      </c>
      <c r="C8" s="184">
        <v>52000</v>
      </c>
      <c r="D8" s="184">
        <v>52000</v>
      </c>
      <c r="E8" s="184">
        <v>52000</v>
      </c>
      <c r="F8" s="184">
        <v>52000</v>
      </c>
      <c r="G8" s="184">
        <v>52000</v>
      </c>
      <c r="H8" s="184">
        <v>52000</v>
      </c>
      <c r="I8" s="184">
        <v>52000</v>
      </c>
      <c r="J8" s="184">
        <v>52000</v>
      </c>
      <c r="K8" s="184">
        <v>52000</v>
      </c>
      <c r="L8" s="184">
        <v>52000</v>
      </c>
      <c r="M8" s="184">
        <v>52000</v>
      </c>
      <c r="N8" s="184">
        <v>52000</v>
      </c>
      <c r="O8" s="1751">
        <f t="shared" ref="O8:O49" si="0">AVERAGE(B8:N8)</f>
        <v>52000</v>
      </c>
      <c r="P8" s="97"/>
    </row>
    <row r="9" spans="1:16">
      <c r="A9" t="s">
        <v>1166</v>
      </c>
      <c r="B9" s="184">
        <v>17063000</v>
      </c>
      <c r="C9" s="184">
        <v>17063000</v>
      </c>
      <c r="D9" s="184">
        <v>17063000</v>
      </c>
      <c r="E9" s="184">
        <v>17063000</v>
      </c>
      <c r="F9" s="184">
        <v>17063000</v>
      </c>
      <c r="G9" s="184">
        <v>17063000</v>
      </c>
      <c r="H9" s="184">
        <v>17063000</v>
      </c>
      <c r="I9" s="184">
        <v>17063000</v>
      </c>
      <c r="J9" s="184">
        <v>17063000</v>
      </c>
      <c r="K9" s="184">
        <v>17063000</v>
      </c>
      <c r="L9" s="184">
        <v>17063000</v>
      </c>
      <c r="M9" s="184">
        <v>17261000</v>
      </c>
      <c r="N9" s="184">
        <v>17544000</v>
      </c>
      <c r="O9" s="1751">
        <f t="shared" si="0"/>
        <v>17115230.769230768</v>
      </c>
      <c r="P9" s="97"/>
    </row>
    <row r="10" spans="1:16">
      <c r="A10" t="s">
        <v>427</v>
      </c>
      <c r="B10" s="184">
        <v>9133000</v>
      </c>
      <c r="C10" s="184">
        <v>9135000</v>
      </c>
      <c r="D10" s="184">
        <v>9135000</v>
      </c>
      <c r="E10" s="184">
        <v>9136000</v>
      </c>
      <c r="F10" s="184">
        <v>9137000</v>
      </c>
      <c r="G10" s="184">
        <v>9138000</v>
      </c>
      <c r="H10" s="184">
        <v>9138000</v>
      </c>
      <c r="I10" s="184">
        <v>9138000</v>
      </c>
      <c r="J10" s="184">
        <v>9138000</v>
      </c>
      <c r="K10" s="184">
        <v>9138000</v>
      </c>
      <c r="L10" s="184">
        <v>9138000</v>
      </c>
      <c r="M10" s="184">
        <v>9138000</v>
      </c>
      <c r="N10" s="184">
        <v>9138000</v>
      </c>
      <c r="O10" s="1751">
        <f t="shared" si="0"/>
        <v>9136923.0769230761</v>
      </c>
      <c r="P10" s="97"/>
    </row>
    <row r="11" spans="1:16">
      <c r="A11" t="s">
        <v>487</v>
      </c>
      <c r="B11" s="184">
        <v>20312000</v>
      </c>
      <c r="C11" s="184">
        <v>20312000</v>
      </c>
      <c r="D11" s="184">
        <v>20312000</v>
      </c>
      <c r="E11" s="184">
        <v>20312000</v>
      </c>
      <c r="F11" s="184">
        <v>20312000</v>
      </c>
      <c r="G11" s="184">
        <v>20312000</v>
      </c>
      <c r="H11" s="184">
        <v>20312000</v>
      </c>
      <c r="I11" s="184">
        <v>20312000</v>
      </c>
      <c r="J11" s="184">
        <v>20312000</v>
      </c>
      <c r="K11" s="184">
        <v>20312000</v>
      </c>
      <c r="L11" s="184">
        <v>20312000</v>
      </c>
      <c r="M11" s="184">
        <v>20312000</v>
      </c>
      <c r="N11" s="184">
        <v>20319000</v>
      </c>
      <c r="O11" s="1751">
        <f t="shared" si="0"/>
        <v>20312538.46153846</v>
      </c>
      <c r="P11" s="97"/>
    </row>
    <row r="12" spans="1:16">
      <c r="A12" t="s">
        <v>1114</v>
      </c>
      <c r="B12" s="184">
        <v>70000</v>
      </c>
      <c r="C12" s="184">
        <v>70000</v>
      </c>
      <c r="D12" s="184">
        <v>70000</v>
      </c>
      <c r="E12" s="184">
        <v>70000</v>
      </c>
      <c r="F12" s="184">
        <v>70000</v>
      </c>
      <c r="G12" s="184">
        <v>70000</v>
      </c>
      <c r="H12" s="184">
        <v>70000</v>
      </c>
      <c r="I12" s="184">
        <v>70000</v>
      </c>
      <c r="J12" s="184">
        <v>70000</v>
      </c>
      <c r="K12" s="184">
        <v>70000</v>
      </c>
      <c r="L12" s="184">
        <v>70000</v>
      </c>
      <c r="M12" s="184">
        <v>70000</v>
      </c>
      <c r="N12" s="184">
        <v>70000</v>
      </c>
      <c r="O12" s="1751">
        <f t="shared" si="0"/>
        <v>70000</v>
      </c>
      <c r="P12" s="97"/>
    </row>
    <row r="13" spans="1:16">
      <c r="A13" t="s">
        <v>1115</v>
      </c>
      <c r="B13" s="184">
        <v>57000</v>
      </c>
      <c r="C13" s="184">
        <v>57000</v>
      </c>
      <c r="D13" s="184">
        <v>57000</v>
      </c>
      <c r="E13" s="184">
        <v>57000</v>
      </c>
      <c r="F13" s="184">
        <v>57000</v>
      </c>
      <c r="G13" s="184">
        <v>57000</v>
      </c>
      <c r="H13" s="184">
        <v>57000</v>
      </c>
      <c r="I13" s="184">
        <v>57000</v>
      </c>
      <c r="J13" s="184">
        <v>57000</v>
      </c>
      <c r="K13" s="184">
        <v>57000</v>
      </c>
      <c r="L13" s="184">
        <v>57000</v>
      </c>
      <c r="M13" s="184">
        <v>57000</v>
      </c>
      <c r="N13" s="184">
        <v>57000</v>
      </c>
      <c r="O13" s="1751">
        <f t="shared" si="0"/>
        <v>57000</v>
      </c>
      <c r="P13" s="97"/>
    </row>
    <row r="14" spans="1:16">
      <c r="A14" t="s">
        <v>1217</v>
      </c>
      <c r="B14" s="184">
        <v>952000</v>
      </c>
      <c r="C14" s="184">
        <v>952000</v>
      </c>
      <c r="D14" s="184">
        <v>952000</v>
      </c>
      <c r="E14" s="184">
        <v>952000</v>
      </c>
      <c r="F14" s="184">
        <v>952000</v>
      </c>
      <c r="G14" s="184">
        <v>952000</v>
      </c>
      <c r="H14" s="184">
        <v>952000</v>
      </c>
      <c r="I14" s="184">
        <v>952000</v>
      </c>
      <c r="J14" s="184">
        <v>952000</v>
      </c>
      <c r="K14" s="184">
        <v>952000</v>
      </c>
      <c r="L14" s="184">
        <v>952000</v>
      </c>
      <c r="M14" s="184">
        <v>952000</v>
      </c>
      <c r="N14" s="184">
        <v>952000</v>
      </c>
      <c r="O14" s="1751">
        <f t="shared" si="0"/>
        <v>952000</v>
      </c>
      <c r="P14" s="97"/>
    </row>
    <row r="15" spans="1:16">
      <c r="A15" t="s">
        <v>488</v>
      </c>
      <c r="B15" s="184">
        <v>11090000</v>
      </c>
      <c r="C15" s="184">
        <v>11090000</v>
      </c>
      <c r="D15" s="184">
        <v>11090000</v>
      </c>
      <c r="E15" s="184">
        <v>11090000</v>
      </c>
      <c r="F15" s="184">
        <v>11090000</v>
      </c>
      <c r="G15" s="184">
        <v>11090000</v>
      </c>
      <c r="H15" s="184">
        <v>11090000</v>
      </c>
      <c r="I15" s="184">
        <v>11090000</v>
      </c>
      <c r="J15" s="184">
        <v>11090000</v>
      </c>
      <c r="K15" s="184">
        <v>11090000</v>
      </c>
      <c r="L15" s="184">
        <v>11090000</v>
      </c>
      <c r="M15" s="184">
        <v>11090000</v>
      </c>
      <c r="N15" s="184">
        <v>11090000</v>
      </c>
      <c r="O15" s="1751">
        <f t="shared" si="0"/>
        <v>11090000</v>
      </c>
      <c r="P15" s="97"/>
    </row>
    <row r="16" spans="1:16">
      <c r="A16" t="s">
        <v>491</v>
      </c>
      <c r="B16" s="184">
        <v>4531000</v>
      </c>
      <c r="C16" s="184">
        <v>4531000</v>
      </c>
      <c r="D16" s="184">
        <v>4531000</v>
      </c>
      <c r="E16" s="184">
        <v>4531000</v>
      </c>
      <c r="F16" s="184">
        <v>4531000</v>
      </c>
      <c r="G16" s="184">
        <v>4531000</v>
      </c>
      <c r="H16" s="184">
        <v>4531000</v>
      </c>
      <c r="I16" s="184">
        <v>4531000</v>
      </c>
      <c r="J16" s="184">
        <v>4531000</v>
      </c>
      <c r="K16" s="184">
        <v>4531000</v>
      </c>
      <c r="L16" s="184">
        <v>4531000</v>
      </c>
      <c r="M16" s="184">
        <v>4531000</v>
      </c>
      <c r="N16" s="184">
        <v>4531000</v>
      </c>
      <c r="O16" s="1751">
        <f t="shared" si="0"/>
        <v>4531000</v>
      </c>
      <c r="P16" s="97"/>
    </row>
    <row r="17" spans="1:16">
      <c r="A17" t="s">
        <v>428</v>
      </c>
      <c r="B17" s="184">
        <v>1760000</v>
      </c>
      <c r="C17" s="184">
        <v>1760000</v>
      </c>
      <c r="D17" s="184">
        <v>1760000</v>
      </c>
      <c r="E17" s="184">
        <v>1760000</v>
      </c>
      <c r="F17" s="184">
        <v>1760000</v>
      </c>
      <c r="G17" s="184">
        <v>1760000</v>
      </c>
      <c r="H17" s="184">
        <v>1760000</v>
      </c>
      <c r="I17" s="184">
        <v>1760000</v>
      </c>
      <c r="J17" s="184">
        <v>1760000</v>
      </c>
      <c r="K17" s="184">
        <v>1760000</v>
      </c>
      <c r="L17" s="184">
        <v>1760000</v>
      </c>
      <c r="M17" s="184">
        <v>1760000</v>
      </c>
      <c r="N17" s="184">
        <v>1760000</v>
      </c>
      <c r="O17" s="1751">
        <f t="shared" si="0"/>
        <v>1760000</v>
      </c>
      <c r="P17" s="97"/>
    </row>
    <row r="18" spans="1:16">
      <c r="A18" t="s">
        <v>492</v>
      </c>
      <c r="B18" s="184">
        <v>1931000</v>
      </c>
      <c r="C18" s="184">
        <v>1931000</v>
      </c>
      <c r="D18" s="184">
        <v>1931000</v>
      </c>
      <c r="E18" s="184">
        <v>1931000</v>
      </c>
      <c r="F18" s="184">
        <v>1931000</v>
      </c>
      <c r="G18" s="184">
        <v>1931000</v>
      </c>
      <c r="H18" s="184">
        <v>1931000</v>
      </c>
      <c r="I18" s="184">
        <v>1931000</v>
      </c>
      <c r="J18" s="184">
        <v>1931000</v>
      </c>
      <c r="K18" s="184">
        <v>1931000</v>
      </c>
      <c r="L18" s="184">
        <v>1931000</v>
      </c>
      <c r="M18" s="184">
        <v>1931000</v>
      </c>
      <c r="N18" s="184">
        <v>1931000</v>
      </c>
      <c r="O18" s="1751">
        <f t="shared" si="0"/>
        <v>1931000</v>
      </c>
      <c r="P18" s="97"/>
    </row>
    <row r="19" spans="1:16">
      <c r="A19" t="s">
        <v>1116</v>
      </c>
      <c r="B19" s="184">
        <v>3427000</v>
      </c>
      <c r="C19" s="184">
        <v>3427000</v>
      </c>
      <c r="D19" s="184">
        <v>3427000</v>
      </c>
      <c r="E19" s="184">
        <v>3427000</v>
      </c>
      <c r="F19" s="184">
        <v>3427000</v>
      </c>
      <c r="G19" s="184">
        <v>3427000</v>
      </c>
      <c r="H19" s="184">
        <v>3427000</v>
      </c>
      <c r="I19" s="184">
        <v>3427000</v>
      </c>
      <c r="J19" s="184">
        <v>3427000</v>
      </c>
      <c r="K19" s="184">
        <v>3427000</v>
      </c>
      <c r="L19" s="184">
        <v>3427000</v>
      </c>
      <c r="M19" s="184">
        <v>3427000</v>
      </c>
      <c r="N19" s="184">
        <v>3427000</v>
      </c>
      <c r="O19" s="1751">
        <f t="shared" si="0"/>
        <v>3427000</v>
      </c>
      <c r="P19" s="97"/>
    </row>
    <row r="20" spans="1:16">
      <c r="A20" t="s">
        <v>494</v>
      </c>
      <c r="B20" s="184">
        <v>4273000</v>
      </c>
      <c r="C20" s="184">
        <v>4273000</v>
      </c>
      <c r="D20" s="184">
        <v>4273000</v>
      </c>
      <c r="E20" s="184">
        <v>4273000</v>
      </c>
      <c r="F20" s="184">
        <v>4273000</v>
      </c>
      <c r="G20" s="184">
        <v>4273000</v>
      </c>
      <c r="H20" s="184">
        <v>4273000</v>
      </c>
      <c r="I20" s="184">
        <v>4273000</v>
      </c>
      <c r="J20" s="184">
        <v>4273000</v>
      </c>
      <c r="K20" s="184">
        <v>4273000</v>
      </c>
      <c r="L20" s="184">
        <v>4273000</v>
      </c>
      <c r="M20" s="184">
        <v>4273000</v>
      </c>
      <c r="N20" s="184">
        <v>4273000</v>
      </c>
      <c r="O20" s="1751">
        <f t="shared" si="0"/>
        <v>4273000</v>
      </c>
      <c r="P20" s="97"/>
    </row>
    <row r="21" spans="1:16">
      <c r="A21" t="s">
        <v>495</v>
      </c>
      <c r="B21" s="184">
        <v>112801000</v>
      </c>
      <c r="C21" s="184">
        <v>112801000</v>
      </c>
      <c r="D21" s="184">
        <v>112801000</v>
      </c>
      <c r="E21" s="184">
        <v>112801000</v>
      </c>
      <c r="F21" s="184">
        <v>112801000</v>
      </c>
      <c r="G21" s="184">
        <v>113311000</v>
      </c>
      <c r="H21" s="184">
        <v>113358000</v>
      </c>
      <c r="I21" s="184">
        <v>113358000</v>
      </c>
      <c r="J21" s="184">
        <v>113358000</v>
      </c>
      <c r="K21" s="184">
        <v>113358000</v>
      </c>
      <c r="L21" s="184">
        <v>113358000</v>
      </c>
      <c r="M21" s="184">
        <v>113358000</v>
      </c>
      <c r="N21" s="184">
        <v>113358000</v>
      </c>
      <c r="O21" s="1751">
        <f t="shared" si="0"/>
        <v>113140153.84615384</v>
      </c>
      <c r="P21" s="97"/>
    </row>
    <row r="22" spans="1:16">
      <c r="A22" t="s">
        <v>1074</v>
      </c>
      <c r="B22" s="184">
        <v>1362000</v>
      </c>
      <c r="C22" s="184">
        <v>1366000</v>
      </c>
      <c r="D22" s="184">
        <v>1367000</v>
      </c>
      <c r="E22" s="184">
        <v>1368000</v>
      </c>
      <c r="F22" s="184">
        <v>1369000</v>
      </c>
      <c r="G22" s="184">
        <v>1371000</v>
      </c>
      <c r="H22" s="184">
        <v>1371000</v>
      </c>
      <c r="I22" s="184">
        <v>1371000</v>
      </c>
      <c r="J22" s="184">
        <v>1371000</v>
      </c>
      <c r="K22" s="184">
        <v>1371000</v>
      </c>
      <c r="L22" s="184">
        <v>1371000</v>
      </c>
      <c r="M22" s="184">
        <v>1371000</v>
      </c>
      <c r="N22" s="184">
        <v>1371000</v>
      </c>
      <c r="O22" s="1751">
        <f t="shared" si="0"/>
        <v>1369230.7692307692</v>
      </c>
      <c r="P22" s="97"/>
    </row>
    <row r="23" spans="1:16">
      <c r="A23" t="s">
        <v>1183</v>
      </c>
      <c r="B23" s="184">
        <v>202390000</v>
      </c>
      <c r="C23" s="184">
        <v>202844000</v>
      </c>
      <c r="D23" s="184">
        <v>202181000</v>
      </c>
      <c r="E23" s="184">
        <v>204175000</v>
      </c>
      <c r="F23" s="184">
        <v>204613000</v>
      </c>
      <c r="G23" s="184">
        <v>206929000</v>
      </c>
      <c r="H23" s="184">
        <v>207064000</v>
      </c>
      <c r="I23" s="184">
        <v>205889000</v>
      </c>
      <c r="J23" s="184">
        <v>206109000</v>
      </c>
      <c r="K23" s="184">
        <v>205774000</v>
      </c>
      <c r="L23" s="184">
        <v>206148000</v>
      </c>
      <c r="M23" s="184">
        <v>206653000</v>
      </c>
      <c r="N23" s="184">
        <v>210384000</v>
      </c>
      <c r="O23" s="1751">
        <f t="shared" si="0"/>
        <v>205473307.69230768</v>
      </c>
      <c r="P23" s="97"/>
    </row>
    <row r="24" spans="1:16">
      <c r="A24" t="s">
        <v>496</v>
      </c>
      <c r="B24" s="184">
        <v>4275000</v>
      </c>
      <c r="C24" s="184">
        <v>4275000</v>
      </c>
      <c r="D24" s="184">
        <v>4275000</v>
      </c>
      <c r="E24" s="184">
        <v>4275000</v>
      </c>
      <c r="F24" s="184">
        <v>4275000</v>
      </c>
      <c r="G24" s="184">
        <v>4275000</v>
      </c>
      <c r="H24" s="184">
        <v>4275000</v>
      </c>
      <c r="I24" s="184">
        <v>4275000</v>
      </c>
      <c r="J24" s="184">
        <v>4275000</v>
      </c>
      <c r="K24" s="184">
        <v>4275000</v>
      </c>
      <c r="L24" s="184">
        <v>4275000</v>
      </c>
      <c r="M24" s="184">
        <v>4275000</v>
      </c>
      <c r="N24" s="184">
        <v>4275000</v>
      </c>
      <c r="O24" s="1751">
        <f t="shared" si="0"/>
        <v>4275000</v>
      </c>
      <c r="P24" s="97"/>
    </row>
    <row r="25" spans="1:16">
      <c r="A25" t="s">
        <v>1176</v>
      </c>
      <c r="B25" s="184">
        <v>663000</v>
      </c>
      <c r="C25" s="184">
        <v>663000</v>
      </c>
      <c r="D25" s="184">
        <v>663000</v>
      </c>
      <c r="E25" s="184">
        <v>663000</v>
      </c>
      <c r="F25" s="184">
        <v>663000</v>
      </c>
      <c r="G25" s="184">
        <v>663000</v>
      </c>
      <c r="H25" s="184">
        <v>663000</v>
      </c>
      <c r="I25" s="184">
        <v>663000</v>
      </c>
      <c r="J25" s="184">
        <v>663000</v>
      </c>
      <c r="K25" s="184">
        <v>663000</v>
      </c>
      <c r="L25" s="184">
        <v>663000</v>
      </c>
      <c r="M25" s="184">
        <v>663000</v>
      </c>
      <c r="N25" s="184">
        <v>663000</v>
      </c>
      <c r="O25" s="1751">
        <f t="shared" si="0"/>
        <v>663000</v>
      </c>
      <c r="P25" s="97"/>
    </row>
    <row r="26" spans="1:16">
      <c r="A26" t="s">
        <v>497</v>
      </c>
      <c r="B26" s="184">
        <v>175306000</v>
      </c>
      <c r="C26" s="184">
        <v>175228000</v>
      </c>
      <c r="D26" s="184">
        <v>175228000</v>
      </c>
      <c r="E26" s="184">
        <v>175220000</v>
      </c>
      <c r="F26" s="184">
        <v>175217000</v>
      </c>
      <c r="G26" s="184">
        <v>174792000</v>
      </c>
      <c r="H26" s="184">
        <v>174767000</v>
      </c>
      <c r="I26" s="184">
        <v>174740000</v>
      </c>
      <c r="J26" s="184">
        <v>174740000</v>
      </c>
      <c r="K26" s="184">
        <v>174740000</v>
      </c>
      <c r="L26" s="184">
        <v>174740000</v>
      </c>
      <c r="M26" s="184">
        <v>174740000</v>
      </c>
      <c r="N26" s="184">
        <v>174740000</v>
      </c>
      <c r="O26" s="1751">
        <f t="shared" si="0"/>
        <v>174938307.69230768</v>
      </c>
      <c r="P26" s="97"/>
    </row>
    <row r="27" spans="1:16">
      <c r="A27" t="s">
        <v>498</v>
      </c>
      <c r="B27" s="184">
        <v>26963000</v>
      </c>
      <c r="C27" s="184">
        <v>26963000</v>
      </c>
      <c r="D27" s="184">
        <v>26963000</v>
      </c>
      <c r="E27" s="184">
        <v>26963000</v>
      </c>
      <c r="F27" s="184">
        <v>26963000</v>
      </c>
      <c r="G27" s="184">
        <v>26963000</v>
      </c>
      <c r="H27" s="184">
        <v>26963000</v>
      </c>
      <c r="I27" s="184">
        <v>26963000</v>
      </c>
      <c r="J27" s="184">
        <v>26963000</v>
      </c>
      <c r="K27" s="184">
        <v>26963000</v>
      </c>
      <c r="L27" s="184">
        <v>26963000</v>
      </c>
      <c r="M27" s="184">
        <v>26963000</v>
      </c>
      <c r="N27" s="184">
        <v>26963000</v>
      </c>
      <c r="O27" s="1751">
        <f t="shared" si="0"/>
        <v>26963000</v>
      </c>
      <c r="P27" s="97"/>
    </row>
    <row r="28" spans="1:16">
      <c r="A28" t="s">
        <v>502</v>
      </c>
      <c r="B28" s="184">
        <v>5744000</v>
      </c>
      <c r="C28" s="184">
        <v>5744000</v>
      </c>
      <c r="D28" s="184">
        <v>5744000</v>
      </c>
      <c r="E28" s="184">
        <v>5744000</v>
      </c>
      <c r="F28" s="184">
        <v>5744000</v>
      </c>
      <c r="G28" s="184">
        <v>5744000</v>
      </c>
      <c r="H28" s="184">
        <v>5744000</v>
      </c>
      <c r="I28" s="184">
        <v>5744000</v>
      </c>
      <c r="J28" s="184">
        <v>5744000</v>
      </c>
      <c r="K28" s="184">
        <v>5744000</v>
      </c>
      <c r="L28" s="184">
        <v>5744000</v>
      </c>
      <c r="M28" s="184">
        <v>5744000</v>
      </c>
      <c r="N28" s="184">
        <v>5744000</v>
      </c>
      <c r="O28" s="1751">
        <f t="shared" si="0"/>
        <v>5744000</v>
      </c>
      <c r="P28" s="97"/>
    </row>
    <row r="29" spans="1:16">
      <c r="A29" t="s">
        <v>503</v>
      </c>
      <c r="B29" s="184">
        <v>1497000</v>
      </c>
      <c r="C29" s="184">
        <v>1497000</v>
      </c>
      <c r="D29" s="184">
        <v>1497000</v>
      </c>
      <c r="E29" s="184">
        <v>1497000</v>
      </c>
      <c r="F29" s="184">
        <v>1497000</v>
      </c>
      <c r="G29" s="184">
        <v>1497000</v>
      </c>
      <c r="H29" s="184">
        <v>1497000</v>
      </c>
      <c r="I29" s="184">
        <v>1497000</v>
      </c>
      <c r="J29" s="184">
        <v>1497000</v>
      </c>
      <c r="K29" s="184">
        <v>1497000</v>
      </c>
      <c r="L29" s="184">
        <v>1497000</v>
      </c>
      <c r="M29" s="184">
        <v>1497000</v>
      </c>
      <c r="N29" s="184">
        <v>1497000</v>
      </c>
      <c r="O29" s="1751">
        <f t="shared" si="0"/>
        <v>1497000</v>
      </c>
      <c r="P29" s="97"/>
    </row>
    <row r="30" spans="1:16">
      <c r="A30" t="s">
        <v>504</v>
      </c>
      <c r="B30" s="184">
        <v>94433000</v>
      </c>
      <c r="C30" s="184">
        <v>94137000</v>
      </c>
      <c r="D30" s="184">
        <v>93795000</v>
      </c>
      <c r="E30" s="184">
        <v>93896000</v>
      </c>
      <c r="F30" s="184">
        <v>93848000</v>
      </c>
      <c r="G30" s="184">
        <v>92730000</v>
      </c>
      <c r="H30" s="184">
        <v>92818000</v>
      </c>
      <c r="I30" s="184">
        <v>93054000</v>
      </c>
      <c r="J30" s="184">
        <v>93052000</v>
      </c>
      <c r="K30" s="184">
        <v>93041000</v>
      </c>
      <c r="L30" s="184">
        <v>93089000</v>
      </c>
      <c r="M30" s="184">
        <v>93247000</v>
      </c>
      <c r="N30" s="184">
        <v>96570000</v>
      </c>
      <c r="O30" s="1751">
        <f t="shared" si="0"/>
        <v>93670000</v>
      </c>
      <c r="P30" s="97"/>
    </row>
    <row r="31" spans="1:16">
      <c r="A31" t="s">
        <v>506</v>
      </c>
      <c r="B31" s="184">
        <v>3517000</v>
      </c>
      <c r="C31" s="184">
        <v>3517000</v>
      </c>
      <c r="D31" s="184">
        <v>3517000</v>
      </c>
      <c r="E31" s="184">
        <v>3520000</v>
      </c>
      <c r="F31" s="184">
        <v>3520000</v>
      </c>
      <c r="G31" s="184">
        <v>3520000</v>
      </c>
      <c r="H31" s="184">
        <v>3520000</v>
      </c>
      <c r="I31" s="184">
        <v>3520000</v>
      </c>
      <c r="J31" s="184">
        <v>3520000</v>
      </c>
      <c r="K31" s="184">
        <v>3520000</v>
      </c>
      <c r="L31" s="184">
        <v>3520000</v>
      </c>
      <c r="M31" s="184">
        <v>3520000</v>
      </c>
      <c r="N31" s="184">
        <v>3520000</v>
      </c>
      <c r="O31" s="1751">
        <f t="shared" si="0"/>
        <v>3519307.6923076925</v>
      </c>
      <c r="P31" s="97"/>
    </row>
    <row r="32" spans="1:16">
      <c r="A32" t="s">
        <v>1117</v>
      </c>
      <c r="B32" s="184">
        <v>1518000</v>
      </c>
      <c r="C32" s="184">
        <v>1518000</v>
      </c>
      <c r="D32" s="184">
        <v>1518000</v>
      </c>
      <c r="E32" s="184">
        <v>1518000</v>
      </c>
      <c r="F32" s="184">
        <v>1480000</v>
      </c>
      <c r="G32" s="184">
        <v>1480000</v>
      </c>
      <c r="H32" s="184">
        <v>1480000</v>
      </c>
      <c r="I32" s="184">
        <v>1480000</v>
      </c>
      <c r="J32" s="184">
        <v>1480000</v>
      </c>
      <c r="K32" s="184">
        <v>1480000</v>
      </c>
      <c r="L32" s="184">
        <v>1480000</v>
      </c>
      <c r="M32" s="184">
        <v>1480000</v>
      </c>
      <c r="N32" s="184">
        <v>1480000</v>
      </c>
      <c r="O32" s="1751">
        <f t="shared" si="0"/>
        <v>1491692.3076923077</v>
      </c>
      <c r="P32" s="97"/>
    </row>
    <row r="33" spans="1:16">
      <c r="A33" t="s">
        <v>507</v>
      </c>
      <c r="B33" s="184">
        <v>5395000</v>
      </c>
      <c r="C33" s="184">
        <v>5395000</v>
      </c>
      <c r="D33" s="184">
        <v>5395000</v>
      </c>
      <c r="E33" s="184">
        <v>5409000</v>
      </c>
      <c r="F33" s="184">
        <v>5409000</v>
      </c>
      <c r="G33" s="184">
        <v>5409000</v>
      </c>
      <c r="H33" s="184">
        <v>5491000</v>
      </c>
      <c r="I33" s="184">
        <v>5491000</v>
      </c>
      <c r="J33" s="184">
        <v>5491000</v>
      </c>
      <c r="K33" s="184">
        <v>5491000</v>
      </c>
      <c r="L33" s="184">
        <v>5491000</v>
      </c>
      <c r="M33" s="184">
        <v>5491000</v>
      </c>
      <c r="N33" s="184">
        <v>5491000</v>
      </c>
      <c r="O33" s="1751">
        <f t="shared" si="0"/>
        <v>5449923.076923077</v>
      </c>
      <c r="P33" s="97"/>
    </row>
    <row r="34" spans="1:16">
      <c r="A34" t="s">
        <v>1156</v>
      </c>
      <c r="B34" s="184">
        <v>150806000</v>
      </c>
      <c r="C34" s="184">
        <v>150602000</v>
      </c>
      <c r="D34" s="184">
        <v>151066000</v>
      </c>
      <c r="E34" s="184">
        <v>151202000</v>
      </c>
      <c r="F34" s="184">
        <v>151464000</v>
      </c>
      <c r="G34" s="184">
        <v>153339000</v>
      </c>
      <c r="H34" s="184">
        <v>154474000</v>
      </c>
      <c r="I34" s="184">
        <v>156435000</v>
      </c>
      <c r="J34" s="184">
        <v>156337000</v>
      </c>
      <c r="K34" s="184">
        <v>157043000</v>
      </c>
      <c r="L34" s="184">
        <v>157011000</v>
      </c>
      <c r="M34" s="184">
        <v>157917000</v>
      </c>
      <c r="N34" s="184">
        <v>157471000</v>
      </c>
      <c r="O34" s="1751">
        <f t="shared" si="0"/>
        <v>154243615.38461539</v>
      </c>
      <c r="P34" s="97"/>
    </row>
    <row r="35" spans="1:16">
      <c r="A35" t="s">
        <v>1157</v>
      </c>
      <c r="B35" s="184">
        <v>160613000</v>
      </c>
      <c r="C35" s="184">
        <v>160591000</v>
      </c>
      <c r="D35" s="184">
        <v>160488000</v>
      </c>
      <c r="E35" s="184">
        <v>161102000</v>
      </c>
      <c r="F35" s="184">
        <v>160757000</v>
      </c>
      <c r="G35" s="184">
        <v>160197000</v>
      </c>
      <c r="H35" s="184">
        <v>160094000</v>
      </c>
      <c r="I35" s="184">
        <v>159819000</v>
      </c>
      <c r="J35" s="184">
        <v>159725000</v>
      </c>
      <c r="K35" s="184">
        <v>159580000</v>
      </c>
      <c r="L35" s="184">
        <v>159576000</v>
      </c>
      <c r="M35" s="184">
        <v>159576000</v>
      </c>
      <c r="N35" s="184">
        <v>159576000</v>
      </c>
      <c r="O35" s="1751">
        <f t="shared" si="0"/>
        <v>160130307.69230768</v>
      </c>
      <c r="P35" s="97"/>
    </row>
    <row r="36" spans="1:16">
      <c r="A36" t="s">
        <v>1118</v>
      </c>
      <c r="B36" s="184">
        <v>7369000</v>
      </c>
      <c r="C36" s="184">
        <v>7369000</v>
      </c>
      <c r="D36" s="184">
        <v>7369000</v>
      </c>
      <c r="E36" s="184">
        <v>7369000</v>
      </c>
      <c r="F36" s="184">
        <v>7369000</v>
      </c>
      <c r="G36" s="184">
        <v>7369000</v>
      </c>
      <c r="H36" s="184">
        <v>7369000</v>
      </c>
      <c r="I36" s="184">
        <v>7369000</v>
      </c>
      <c r="J36" s="184">
        <v>7369000</v>
      </c>
      <c r="K36" s="184">
        <v>7369000</v>
      </c>
      <c r="L36" s="184">
        <v>7369000</v>
      </c>
      <c r="M36" s="184">
        <v>7369000</v>
      </c>
      <c r="N36" s="184">
        <v>7369000</v>
      </c>
      <c r="O36" s="1751">
        <f t="shared" si="0"/>
        <v>7369000</v>
      </c>
      <c r="P36" s="97"/>
    </row>
    <row r="37" spans="1:16">
      <c r="A37" t="s">
        <v>1119</v>
      </c>
      <c r="B37" s="184">
        <v>214000</v>
      </c>
      <c r="C37" s="184">
        <v>214000</v>
      </c>
      <c r="D37" s="184">
        <v>214000</v>
      </c>
      <c r="E37" s="184">
        <v>214000</v>
      </c>
      <c r="F37" s="184">
        <v>214000</v>
      </c>
      <c r="G37" s="184">
        <v>214000</v>
      </c>
      <c r="H37" s="184">
        <v>214000</v>
      </c>
      <c r="I37" s="184">
        <v>214000</v>
      </c>
      <c r="J37" s="184">
        <v>214000</v>
      </c>
      <c r="K37" s="184">
        <v>214000</v>
      </c>
      <c r="L37" s="184">
        <v>214000</v>
      </c>
      <c r="M37" s="184">
        <v>214000</v>
      </c>
      <c r="N37" s="184">
        <v>214000</v>
      </c>
      <c r="O37" s="1751">
        <f t="shared" si="0"/>
        <v>214000</v>
      </c>
      <c r="P37" s="97"/>
    </row>
    <row r="38" spans="1:16">
      <c r="A38" t="s">
        <v>511</v>
      </c>
      <c r="B38" s="184">
        <v>12701000</v>
      </c>
      <c r="C38" s="184">
        <v>12701000</v>
      </c>
      <c r="D38" s="184">
        <v>12701000</v>
      </c>
      <c r="E38" s="184">
        <v>12701000</v>
      </c>
      <c r="F38" s="184">
        <v>12701000</v>
      </c>
      <c r="G38" s="184">
        <v>12701000</v>
      </c>
      <c r="H38" s="184">
        <v>12701000</v>
      </c>
      <c r="I38" s="184">
        <v>12701000</v>
      </c>
      <c r="J38" s="184">
        <v>12701000</v>
      </c>
      <c r="K38" s="184">
        <v>12701000</v>
      </c>
      <c r="L38" s="184">
        <v>12701000</v>
      </c>
      <c r="M38" s="184">
        <v>12701000</v>
      </c>
      <c r="N38" s="184">
        <v>12701000</v>
      </c>
      <c r="O38" s="1751">
        <f t="shared" si="0"/>
        <v>12701000</v>
      </c>
      <c r="P38" s="97"/>
    </row>
    <row r="39" spans="1:16">
      <c r="A39" t="s">
        <v>1120</v>
      </c>
      <c r="B39" s="184">
        <v>536000</v>
      </c>
      <c r="C39" s="184">
        <v>536000</v>
      </c>
      <c r="D39" s="184">
        <v>536000</v>
      </c>
      <c r="E39" s="184">
        <v>536000</v>
      </c>
      <c r="F39" s="184">
        <v>536000</v>
      </c>
      <c r="G39" s="184">
        <v>536000</v>
      </c>
      <c r="H39" s="184">
        <v>536000</v>
      </c>
      <c r="I39" s="184">
        <v>536000</v>
      </c>
      <c r="J39" s="184">
        <v>536000</v>
      </c>
      <c r="K39" s="184">
        <v>536000</v>
      </c>
      <c r="L39" s="184">
        <v>536000</v>
      </c>
      <c r="M39" s="184">
        <v>536000</v>
      </c>
      <c r="N39" s="184">
        <v>536000</v>
      </c>
      <c r="O39" s="1751">
        <f t="shared" si="0"/>
        <v>536000</v>
      </c>
      <c r="P39" s="97"/>
    </row>
    <row r="40" spans="1:16">
      <c r="A40" t="s">
        <v>512</v>
      </c>
      <c r="B40" s="184">
        <v>5181000</v>
      </c>
      <c r="C40" s="184">
        <v>5181000</v>
      </c>
      <c r="D40" s="184">
        <v>5181000</v>
      </c>
      <c r="E40" s="184">
        <v>5181000</v>
      </c>
      <c r="F40" s="184">
        <v>5181000</v>
      </c>
      <c r="G40" s="184">
        <v>5181000</v>
      </c>
      <c r="H40" s="184">
        <v>5181000</v>
      </c>
      <c r="I40" s="184">
        <v>5181000</v>
      </c>
      <c r="J40" s="184">
        <v>5181000</v>
      </c>
      <c r="K40" s="184">
        <v>5181000</v>
      </c>
      <c r="L40" s="184">
        <v>5181000</v>
      </c>
      <c r="M40" s="184">
        <v>5181000</v>
      </c>
      <c r="N40" s="184">
        <v>5181000</v>
      </c>
      <c r="O40" s="1751">
        <f t="shared" si="0"/>
        <v>5181000</v>
      </c>
      <c r="P40" s="97"/>
    </row>
    <row r="41" spans="1:16">
      <c r="A41" t="s">
        <v>513</v>
      </c>
      <c r="B41" s="184">
        <v>70513000</v>
      </c>
      <c r="C41" s="184">
        <v>70266000</v>
      </c>
      <c r="D41" s="184">
        <v>70265000</v>
      </c>
      <c r="E41" s="184">
        <v>70277000</v>
      </c>
      <c r="F41" s="184">
        <v>71468000</v>
      </c>
      <c r="G41" s="184">
        <v>70880000</v>
      </c>
      <c r="H41" s="184">
        <v>70884000</v>
      </c>
      <c r="I41" s="184">
        <v>70884000</v>
      </c>
      <c r="J41" s="184">
        <v>70885000</v>
      </c>
      <c r="K41" s="184">
        <v>70885000</v>
      </c>
      <c r="L41" s="184">
        <v>70933000</v>
      </c>
      <c r="M41" s="184">
        <v>70933000</v>
      </c>
      <c r="N41" s="184">
        <v>70933000</v>
      </c>
      <c r="O41" s="1751">
        <f t="shared" si="0"/>
        <v>70769692.307692304</v>
      </c>
      <c r="P41" s="97"/>
    </row>
    <row r="42" spans="1:16">
      <c r="A42" t="s">
        <v>429</v>
      </c>
      <c r="B42" s="184">
        <v>49048000</v>
      </c>
      <c r="C42" s="184">
        <v>49034000</v>
      </c>
      <c r="D42" s="184">
        <v>49561000</v>
      </c>
      <c r="E42" s="184">
        <v>49613000</v>
      </c>
      <c r="F42" s="184">
        <v>49906000</v>
      </c>
      <c r="G42" s="184">
        <v>50254000</v>
      </c>
      <c r="H42" s="184">
        <v>50298000</v>
      </c>
      <c r="I42" s="184">
        <v>50777000</v>
      </c>
      <c r="J42" s="184">
        <v>50792000</v>
      </c>
      <c r="K42" s="184">
        <v>50900000</v>
      </c>
      <c r="L42" s="184">
        <v>51215000</v>
      </c>
      <c r="M42" s="184">
        <v>51656000</v>
      </c>
      <c r="N42" s="184">
        <v>51805000</v>
      </c>
      <c r="O42" s="1751">
        <f t="shared" si="0"/>
        <v>50373769.230769232</v>
      </c>
      <c r="P42" s="97"/>
    </row>
    <row r="43" spans="1:16">
      <c r="A43" t="s">
        <v>1121</v>
      </c>
      <c r="B43" s="184">
        <v>6094000</v>
      </c>
      <c r="C43" s="184">
        <v>6094000</v>
      </c>
      <c r="D43" s="184">
        <v>6094000</v>
      </c>
      <c r="E43" s="184">
        <v>6094000</v>
      </c>
      <c r="F43" s="184">
        <v>6094000</v>
      </c>
      <c r="G43" s="184">
        <v>6094000</v>
      </c>
      <c r="H43" s="184">
        <v>6094000</v>
      </c>
      <c r="I43" s="184">
        <v>6094000</v>
      </c>
      <c r="J43" s="184">
        <v>6094000</v>
      </c>
      <c r="K43" s="184">
        <v>6094000</v>
      </c>
      <c r="L43" s="184">
        <v>6094000</v>
      </c>
      <c r="M43" s="184">
        <v>6094000</v>
      </c>
      <c r="N43" s="184">
        <v>6094000</v>
      </c>
      <c r="O43" s="1751">
        <f t="shared" si="0"/>
        <v>6094000</v>
      </c>
      <c r="P43" s="97"/>
    </row>
    <row r="44" spans="1:16">
      <c r="A44" t="s">
        <v>1122</v>
      </c>
      <c r="B44" s="184">
        <v>683000</v>
      </c>
      <c r="C44" s="184">
        <v>683000</v>
      </c>
      <c r="D44" s="184">
        <v>683000</v>
      </c>
      <c r="E44" s="184">
        <v>683000</v>
      </c>
      <c r="F44" s="184">
        <v>683000</v>
      </c>
      <c r="G44" s="184">
        <v>683000</v>
      </c>
      <c r="H44" s="184">
        <v>683000</v>
      </c>
      <c r="I44" s="184">
        <v>683000</v>
      </c>
      <c r="J44" s="184">
        <v>683000</v>
      </c>
      <c r="K44" s="184">
        <v>683000</v>
      </c>
      <c r="L44" s="184">
        <v>683000</v>
      </c>
      <c r="M44" s="184">
        <v>683000</v>
      </c>
      <c r="N44" s="184">
        <v>683000</v>
      </c>
      <c r="O44" s="1751">
        <f t="shared" si="0"/>
        <v>683000</v>
      </c>
      <c r="P44" s="97"/>
    </row>
    <row r="45" spans="1:16">
      <c r="A45" t="s">
        <v>514</v>
      </c>
      <c r="B45" s="184">
        <v>125933000</v>
      </c>
      <c r="C45" s="184">
        <v>125933000</v>
      </c>
      <c r="D45" s="184">
        <v>125926000</v>
      </c>
      <c r="E45" s="184">
        <v>125926000</v>
      </c>
      <c r="F45" s="184">
        <v>125897000</v>
      </c>
      <c r="G45" s="184">
        <v>125786000</v>
      </c>
      <c r="H45" s="184">
        <v>125761000</v>
      </c>
      <c r="I45" s="184">
        <v>125793000</v>
      </c>
      <c r="J45" s="184">
        <v>125793000</v>
      </c>
      <c r="K45" s="184">
        <v>125704000</v>
      </c>
      <c r="L45" s="184">
        <v>125704000</v>
      </c>
      <c r="M45" s="184">
        <v>125704000</v>
      </c>
      <c r="N45" s="184">
        <v>125704000</v>
      </c>
      <c r="O45" s="1751">
        <f t="shared" si="0"/>
        <v>125812615.38461539</v>
      </c>
      <c r="P45" s="97"/>
    </row>
    <row r="46" spans="1:16">
      <c r="A46" t="s">
        <v>532</v>
      </c>
      <c r="B46" s="184">
        <v>701000</v>
      </c>
      <c r="C46" s="184">
        <v>701000</v>
      </c>
      <c r="D46" s="184">
        <v>701000</v>
      </c>
      <c r="E46" s="184">
        <v>701000</v>
      </c>
      <c r="F46" s="184">
        <v>701000</v>
      </c>
      <c r="G46" s="184">
        <v>701000</v>
      </c>
      <c r="H46" s="184">
        <v>701000</v>
      </c>
      <c r="I46" s="184">
        <v>701000</v>
      </c>
      <c r="J46" s="184">
        <v>701000</v>
      </c>
      <c r="K46" s="184">
        <v>701000</v>
      </c>
      <c r="L46" s="184">
        <v>701000</v>
      </c>
      <c r="M46" s="184">
        <v>701000</v>
      </c>
      <c r="N46" s="184">
        <v>701000</v>
      </c>
      <c r="O46" s="1751">
        <f t="shared" si="0"/>
        <v>701000</v>
      </c>
      <c r="P46" s="97"/>
    </row>
    <row r="47" spans="1:16">
      <c r="A47" s="2" t="s">
        <v>531</v>
      </c>
      <c r="B47" s="184">
        <v>2933000</v>
      </c>
      <c r="C47" s="184">
        <v>2933000</v>
      </c>
      <c r="D47" s="184">
        <v>2933000</v>
      </c>
      <c r="E47" s="184">
        <v>2933000</v>
      </c>
      <c r="F47" s="184">
        <v>2933000</v>
      </c>
      <c r="G47" s="184">
        <v>2933000</v>
      </c>
      <c r="H47" s="184">
        <v>2933000</v>
      </c>
      <c r="I47" s="184">
        <v>2933000</v>
      </c>
      <c r="J47" s="184">
        <v>2933000</v>
      </c>
      <c r="K47" s="184">
        <v>2933000</v>
      </c>
      <c r="L47" s="184">
        <v>2933000</v>
      </c>
      <c r="M47" s="184">
        <v>2933000</v>
      </c>
      <c r="N47" s="184">
        <v>2933000</v>
      </c>
      <c r="O47" s="1751">
        <f t="shared" si="0"/>
        <v>2933000</v>
      </c>
      <c r="P47" s="97"/>
    </row>
    <row r="48" spans="1:16">
      <c r="A48" t="s">
        <v>533</v>
      </c>
      <c r="B48" s="184">
        <v>820000</v>
      </c>
      <c r="C48" s="184">
        <v>820000</v>
      </c>
      <c r="D48" s="184">
        <v>820000</v>
      </c>
      <c r="E48" s="184">
        <v>820000</v>
      </c>
      <c r="F48" s="184">
        <v>820000</v>
      </c>
      <c r="G48" s="184">
        <v>820000</v>
      </c>
      <c r="H48" s="184">
        <v>820000</v>
      </c>
      <c r="I48" s="184">
        <v>820000</v>
      </c>
      <c r="J48" s="184">
        <v>820000</v>
      </c>
      <c r="K48" s="184">
        <v>820000</v>
      </c>
      <c r="L48" s="184">
        <v>820000</v>
      </c>
      <c r="M48" s="184">
        <v>820000</v>
      </c>
      <c r="N48" s="184">
        <v>820000</v>
      </c>
      <c r="O48" s="1751">
        <f t="shared" si="0"/>
        <v>820000</v>
      </c>
      <c r="P48" s="97"/>
    </row>
    <row r="49" spans="1:16">
      <c r="A49" t="s">
        <v>537</v>
      </c>
      <c r="B49" s="184">
        <v>568000</v>
      </c>
      <c r="C49" s="184">
        <v>568000</v>
      </c>
      <c r="D49" s="184">
        <v>568000</v>
      </c>
      <c r="E49" s="184">
        <v>568000</v>
      </c>
      <c r="F49" s="184">
        <v>568000</v>
      </c>
      <c r="G49" s="184">
        <v>568000</v>
      </c>
      <c r="H49" s="184">
        <v>568000</v>
      </c>
      <c r="I49" s="184">
        <v>568000</v>
      </c>
      <c r="J49" s="184">
        <v>568000</v>
      </c>
      <c r="K49" s="184">
        <v>568000</v>
      </c>
      <c r="L49" s="184">
        <v>568000</v>
      </c>
      <c r="M49" s="184">
        <v>568000</v>
      </c>
      <c r="N49" s="184">
        <v>568000</v>
      </c>
      <c r="O49" s="1751">
        <f t="shared" si="0"/>
        <v>568000</v>
      </c>
      <c r="P49" s="97"/>
    </row>
    <row r="50" spans="1:16">
      <c r="A50" s="1335" t="s">
        <v>1153</v>
      </c>
      <c r="B50" s="837">
        <f t="shared" ref="B50:O50" si="1">SUM(B6:B49)</f>
        <v>1306659000</v>
      </c>
      <c r="C50" s="837">
        <f t="shared" si="1"/>
        <v>1306253000</v>
      </c>
      <c r="D50" s="837">
        <f t="shared" si="1"/>
        <v>1306129000</v>
      </c>
      <c r="E50" s="837">
        <f t="shared" si="1"/>
        <v>1309049000</v>
      </c>
      <c r="F50" s="837">
        <f t="shared" si="1"/>
        <v>1310772000</v>
      </c>
      <c r="G50" s="837">
        <f t="shared" si="1"/>
        <v>1313022000</v>
      </c>
      <c r="H50" s="837">
        <f t="shared" si="1"/>
        <v>1314404000</v>
      </c>
      <c r="I50" s="837">
        <f t="shared" si="1"/>
        <v>1315635000</v>
      </c>
      <c r="J50" s="837">
        <f t="shared" si="1"/>
        <v>1315677000</v>
      </c>
      <c r="K50" s="837">
        <f t="shared" si="1"/>
        <v>1315911000</v>
      </c>
      <c r="L50" s="837">
        <f t="shared" si="1"/>
        <v>1316660000</v>
      </c>
      <c r="M50" s="837">
        <f t="shared" si="1"/>
        <v>1318868000</v>
      </c>
      <c r="N50" s="837">
        <f t="shared" si="1"/>
        <v>1325915000</v>
      </c>
      <c r="O50" s="837">
        <f t="shared" si="1"/>
        <v>1313458000.0000002</v>
      </c>
      <c r="P50" s="97"/>
    </row>
    <row r="51" spans="1:16">
      <c r="A51" s="632"/>
      <c r="B51" s="374"/>
      <c r="C51" s="374"/>
      <c r="D51" s="374"/>
      <c r="E51" s="374"/>
      <c r="F51" s="374"/>
      <c r="G51" s="374"/>
      <c r="H51" s="374"/>
      <c r="I51" s="374"/>
      <c r="J51" s="374"/>
      <c r="K51" s="374"/>
      <c r="L51" s="374"/>
      <c r="M51" s="374"/>
      <c r="N51" s="374"/>
      <c r="O51" s="374"/>
      <c r="P51" s="97"/>
    </row>
    <row r="52" spans="1:16">
      <c r="A52" s="1819" t="s">
        <v>1174</v>
      </c>
      <c r="B52" s="837">
        <v>2580000</v>
      </c>
      <c r="C52" s="837">
        <v>4796000</v>
      </c>
      <c r="D52" s="837">
        <v>4796000</v>
      </c>
      <c r="E52" s="837">
        <v>2587000</v>
      </c>
      <c r="F52" s="837">
        <v>2587000</v>
      </c>
      <c r="G52" s="837">
        <v>2587000</v>
      </c>
      <c r="H52" s="837">
        <v>2587000</v>
      </c>
      <c r="I52" s="837">
        <v>2587000</v>
      </c>
      <c r="J52" s="837">
        <v>2587000</v>
      </c>
      <c r="K52" s="837">
        <v>2587000</v>
      </c>
      <c r="L52" s="837">
        <v>2587000</v>
      </c>
      <c r="M52" s="837">
        <v>2587000</v>
      </c>
      <c r="N52" s="837">
        <v>3234000</v>
      </c>
      <c r="O52" s="837">
        <f>AVERAGE(B52:N52)</f>
        <v>2976076.923076923</v>
      </c>
      <c r="P52" s="97"/>
    </row>
    <row r="53" spans="1:16">
      <c r="A53" s="104"/>
      <c r="B53" s="1818"/>
      <c r="C53" s="1818"/>
      <c r="D53" s="1818"/>
      <c r="E53" s="1818"/>
      <c r="F53" s="1818"/>
      <c r="G53" s="1818"/>
      <c r="H53" s="1818"/>
      <c r="I53" s="1818"/>
      <c r="J53" s="1818"/>
      <c r="K53" s="1818"/>
      <c r="L53" s="1818"/>
      <c r="M53" s="1818"/>
      <c r="N53" s="1818"/>
      <c r="O53" s="1751"/>
      <c r="P53" s="97"/>
    </row>
    <row r="54" spans="1:16">
      <c r="A54" t="s">
        <v>1158</v>
      </c>
      <c r="B54" s="184">
        <v>10000</v>
      </c>
      <c r="C54" s="184">
        <v>10000</v>
      </c>
      <c r="D54" s="184">
        <v>10000</v>
      </c>
      <c r="E54" s="184">
        <v>10000</v>
      </c>
      <c r="F54" s="184">
        <v>10000</v>
      </c>
      <c r="G54" s="184">
        <v>10000</v>
      </c>
      <c r="H54" s="184">
        <v>10000</v>
      </c>
      <c r="I54" s="184">
        <v>10000</v>
      </c>
      <c r="J54" s="184">
        <v>10000</v>
      </c>
      <c r="K54" s="184">
        <v>10000</v>
      </c>
      <c r="L54" s="184">
        <v>10000</v>
      </c>
      <c r="M54" s="184">
        <v>10000</v>
      </c>
      <c r="N54" s="184">
        <v>10000</v>
      </c>
      <c r="O54" s="1751">
        <f t="shared" ref="O54:O64" si="2">AVERAGE(B54:N54)</f>
        <v>10000</v>
      </c>
      <c r="P54" s="97"/>
    </row>
    <row r="55" spans="1:16">
      <c r="A55" t="s">
        <v>1178</v>
      </c>
      <c r="B55" s="184">
        <v>682000</v>
      </c>
      <c r="C55" s="184">
        <v>682000</v>
      </c>
      <c r="D55" s="184">
        <v>682000</v>
      </c>
      <c r="E55" s="184">
        <v>682000</v>
      </c>
      <c r="F55" s="184">
        <v>682000</v>
      </c>
      <c r="G55" s="184">
        <v>682000</v>
      </c>
      <c r="H55" s="184">
        <v>682000</v>
      </c>
      <c r="I55" s="184">
        <v>682000</v>
      </c>
      <c r="J55" s="184">
        <v>682000</v>
      </c>
      <c r="K55" s="184">
        <v>682000</v>
      </c>
      <c r="L55" s="184">
        <v>682000</v>
      </c>
      <c r="M55" s="184">
        <v>682000</v>
      </c>
      <c r="N55" s="184">
        <v>682000</v>
      </c>
      <c r="O55" s="1751">
        <f t="shared" si="2"/>
        <v>682000</v>
      </c>
      <c r="P55" s="97"/>
    </row>
    <row r="56" spans="1:16">
      <c r="A56" t="s">
        <v>1179</v>
      </c>
      <c r="B56" s="184">
        <v>1071000</v>
      </c>
      <c r="C56" s="184">
        <v>1071000</v>
      </c>
      <c r="D56" s="184">
        <v>1071000</v>
      </c>
      <c r="E56" s="184">
        <v>1071000</v>
      </c>
      <c r="F56" s="184">
        <v>1071000</v>
      </c>
      <c r="G56" s="184">
        <v>1071000</v>
      </c>
      <c r="H56" s="184">
        <v>1071000</v>
      </c>
      <c r="I56" s="184">
        <v>1071000</v>
      </c>
      <c r="J56" s="184">
        <v>1071000</v>
      </c>
      <c r="K56" s="184">
        <v>1071000</v>
      </c>
      <c r="L56" s="184">
        <v>1071000</v>
      </c>
      <c r="M56" s="184">
        <v>1071000</v>
      </c>
      <c r="N56" s="184">
        <v>1071000</v>
      </c>
      <c r="O56" s="1751">
        <f t="shared" si="2"/>
        <v>1071000</v>
      </c>
      <c r="P56" s="97"/>
    </row>
    <row r="57" spans="1:16">
      <c r="A57" t="s">
        <v>490</v>
      </c>
      <c r="B57" s="184">
        <v>425000</v>
      </c>
      <c r="C57" s="184">
        <v>425000</v>
      </c>
      <c r="D57" s="184">
        <v>425000</v>
      </c>
      <c r="E57" s="184">
        <v>425000</v>
      </c>
      <c r="F57" s="184">
        <v>425000</v>
      </c>
      <c r="G57" s="184">
        <v>425000</v>
      </c>
      <c r="H57" s="184">
        <v>425000</v>
      </c>
      <c r="I57" s="184">
        <v>425000</v>
      </c>
      <c r="J57" s="184">
        <v>425000</v>
      </c>
      <c r="K57" s="184">
        <v>425000</v>
      </c>
      <c r="L57" s="184">
        <v>425000</v>
      </c>
      <c r="M57" s="184">
        <v>425000</v>
      </c>
      <c r="N57" s="184">
        <v>425000</v>
      </c>
      <c r="O57" s="1751">
        <f t="shared" si="2"/>
        <v>425000</v>
      </c>
      <c r="P57" s="97"/>
    </row>
    <row r="58" spans="1:16">
      <c r="A58" t="s">
        <v>1150</v>
      </c>
      <c r="B58" s="184">
        <v>24166000</v>
      </c>
      <c r="C58" s="184">
        <v>25983000</v>
      </c>
      <c r="D58" s="184">
        <v>25983000</v>
      </c>
      <c r="E58" s="184">
        <v>25983000</v>
      </c>
      <c r="F58" s="184">
        <v>25983000</v>
      </c>
      <c r="G58" s="184">
        <v>25983000</v>
      </c>
      <c r="H58" s="184">
        <v>25983000</v>
      </c>
      <c r="I58" s="184">
        <v>25983000</v>
      </c>
      <c r="J58" s="184">
        <v>25983000</v>
      </c>
      <c r="K58" s="184">
        <v>25983000</v>
      </c>
      <c r="L58" s="184">
        <v>25983000</v>
      </c>
      <c r="M58" s="184">
        <v>25983000</v>
      </c>
      <c r="N58" s="184">
        <v>26796000</v>
      </c>
      <c r="O58" s="1751">
        <f t="shared" si="2"/>
        <v>25905769.230769232</v>
      </c>
      <c r="P58" s="97"/>
    </row>
    <row r="59" spans="1:16">
      <c r="A59" t="s">
        <v>500</v>
      </c>
      <c r="B59" s="184">
        <v>14486000</v>
      </c>
      <c r="C59" s="184">
        <v>14486000</v>
      </c>
      <c r="D59" s="184">
        <v>14486000</v>
      </c>
      <c r="E59" s="184">
        <v>14486000</v>
      </c>
      <c r="F59" s="184">
        <v>14486000</v>
      </c>
      <c r="G59" s="184">
        <v>14486000</v>
      </c>
      <c r="H59" s="184">
        <v>14486000</v>
      </c>
      <c r="I59" s="184">
        <v>14486000</v>
      </c>
      <c r="J59" s="184">
        <v>14486000</v>
      </c>
      <c r="K59" s="184">
        <v>14486000</v>
      </c>
      <c r="L59" s="184">
        <v>14486000</v>
      </c>
      <c r="M59" s="184">
        <v>14486000</v>
      </c>
      <c r="N59" s="184">
        <v>14486000</v>
      </c>
      <c r="O59" s="1751">
        <f t="shared" si="2"/>
        <v>14486000</v>
      </c>
      <c r="P59" s="97"/>
    </row>
    <row r="60" spans="1:16">
      <c r="A60" t="s">
        <v>501</v>
      </c>
      <c r="B60" s="184">
        <v>20589000</v>
      </c>
      <c r="C60" s="184">
        <v>20589000</v>
      </c>
      <c r="D60" s="184">
        <v>20589000</v>
      </c>
      <c r="E60" s="184">
        <v>20589000</v>
      </c>
      <c r="F60" s="184">
        <v>20589000</v>
      </c>
      <c r="G60" s="184">
        <v>20589000</v>
      </c>
      <c r="H60" s="184">
        <v>20589000</v>
      </c>
      <c r="I60" s="184">
        <v>20589000</v>
      </c>
      <c r="J60" s="184">
        <v>20589000</v>
      </c>
      <c r="K60" s="184">
        <v>20589000</v>
      </c>
      <c r="L60" s="184">
        <v>20589000</v>
      </c>
      <c r="M60" s="184">
        <v>20589000</v>
      </c>
      <c r="N60" s="184">
        <v>20589000</v>
      </c>
      <c r="O60" s="1751">
        <f t="shared" si="2"/>
        <v>20589000</v>
      </c>
      <c r="P60" s="97"/>
    </row>
    <row r="61" spans="1:16">
      <c r="A61" t="s">
        <v>509</v>
      </c>
      <c r="B61" s="184">
        <v>12904000</v>
      </c>
      <c r="C61" s="184">
        <v>12904000</v>
      </c>
      <c r="D61" s="184">
        <v>12904000</v>
      </c>
      <c r="E61" s="184">
        <v>12904000</v>
      </c>
      <c r="F61" s="184">
        <v>12904000</v>
      </c>
      <c r="G61" s="184">
        <v>12904000</v>
      </c>
      <c r="H61" s="184">
        <v>12904000</v>
      </c>
      <c r="I61" s="184">
        <v>12904000</v>
      </c>
      <c r="J61" s="184">
        <v>12904000</v>
      </c>
      <c r="K61" s="184">
        <v>12904000</v>
      </c>
      <c r="L61" s="184">
        <v>12904000</v>
      </c>
      <c r="M61" s="184">
        <v>12904000</v>
      </c>
      <c r="N61" s="184">
        <v>12904000</v>
      </c>
      <c r="O61" s="1751">
        <f t="shared" si="2"/>
        <v>12904000</v>
      </c>
      <c r="P61" s="97"/>
    </row>
    <row r="62" spans="1:16">
      <c r="A62" t="s">
        <v>510</v>
      </c>
      <c r="B62" s="184">
        <v>19732000</v>
      </c>
      <c r="C62" s="184">
        <v>19732000</v>
      </c>
      <c r="D62" s="184">
        <v>19732000</v>
      </c>
      <c r="E62" s="184">
        <v>19732000</v>
      </c>
      <c r="F62" s="184">
        <v>19732000</v>
      </c>
      <c r="G62" s="184">
        <v>19732000</v>
      </c>
      <c r="H62" s="184">
        <v>19732000</v>
      </c>
      <c r="I62" s="184">
        <v>19732000</v>
      </c>
      <c r="J62" s="184">
        <v>19732000</v>
      </c>
      <c r="K62" s="184">
        <v>19732000</v>
      </c>
      <c r="L62" s="184">
        <v>19732000</v>
      </c>
      <c r="M62" s="184">
        <v>19732000</v>
      </c>
      <c r="N62" s="184">
        <v>19732000</v>
      </c>
      <c r="O62" s="1751">
        <f t="shared" si="2"/>
        <v>19732000</v>
      </c>
      <c r="P62" s="97"/>
    </row>
    <row r="63" spans="1:16">
      <c r="A63" t="s">
        <v>535</v>
      </c>
      <c r="B63" s="184">
        <v>114000</v>
      </c>
      <c r="C63" s="184">
        <v>114000</v>
      </c>
      <c r="D63" s="184">
        <v>114000</v>
      </c>
      <c r="E63" s="184">
        <v>114000</v>
      </c>
      <c r="F63" s="184">
        <v>114000</v>
      </c>
      <c r="G63" s="184">
        <v>114000</v>
      </c>
      <c r="H63" s="184">
        <v>114000</v>
      </c>
      <c r="I63" s="184">
        <v>114000</v>
      </c>
      <c r="J63" s="184">
        <v>114000</v>
      </c>
      <c r="K63" s="184">
        <v>114000</v>
      </c>
      <c r="L63" s="184">
        <v>114000</v>
      </c>
      <c r="M63" s="184">
        <v>114000</v>
      </c>
      <c r="N63" s="184">
        <v>114000</v>
      </c>
      <c r="O63" s="1751">
        <f t="shared" si="2"/>
        <v>114000</v>
      </c>
      <c r="P63" s="97"/>
    </row>
    <row r="64" spans="1:16">
      <c r="A64" t="s">
        <v>536</v>
      </c>
      <c r="B64" s="184">
        <v>331000</v>
      </c>
      <c r="C64" s="184">
        <v>331000</v>
      </c>
      <c r="D64" s="184">
        <v>331000</v>
      </c>
      <c r="E64" s="184">
        <v>331000</v>
      </c>
      <c r="F64" s="184">
        <v>331000</v>
      </c>
      <c r="G64" s="184">
        <v>331000</v>
      </c>
      <c r="H64" s="184">
        <v>331000</v>
      </c>
      <c r="I64" s="184">
        <v>331000</v>
      </c>
      <c r="J64" s="184">
        <v>331000</v>
      </c>
      <c r="K64" s="184">
        <v>331000</v>
      </c>
      <c r="L64" s="184">
        <v>331000</v>
      </c>
      <c r="M64" s="184">
        <v>331000</v>
      </c>
      <c r="N64" s="184">
        <v>331000</v>
      </c>
      <c r="O64" s="1751">
        <f t="shared" si="2"/>
        <v>331000</v>
      </c>
      <c r="P64" s="97"/>
    </row>
    <row r="65" spans="1:16">
      <c r="A65" s="1819" t="s">
        <v>1159</v>
      </c>
      <c r="B65" s="837">
        <f>SUM(B54:B64)</f>
        <v>94510000</v>
      </c>
      <c r="C65" s="837">
        <f t="shared" ref="C65:N65" si="3">SUM(C54:C64)</f>
        <v>96327000</v>
      </c>
      <c r="D65" s="837">
        <f t="shared" si="3"/>
        <v>96327000</v>
      </c>
      <c r="E65" s="837">
        <f t="shared" si="3"/>
        <v>96327000</v>
      </c>
      <c r="F65" s="837">
        <f t="shared" si="3"/>
        <v>96327000</v>
      </c>
      <c r="G65" s="837">
        <f t="shared" si="3"/>
        <v>96327000</v>
      </c>
      <c r="H65" s="837">
        <f t="shared" si="3"/>
        <v>96327000</v>
      </c>
      <c r="I65" s="837">
        <f t="shared" si="3"/>
        <v>96327000</v>
      </c>
      <c r="J65" s="837">
        <f t="shared" si="3"/>
        <v>96327000</v>
      </c>
      <c r="K65" s="837">
        <f t="shared" si="3"/>
        <v>96327000</v>
      </c>
      <c r="L65" s="837">
        <f t="shared" si="3"/>
        <v>96327000</v>
      </c>
      <c r="M65" s="837">
        <f t="shared" si="3"/>
        <v>96327000</v>
      </c>
      <c r="N65" s="837">
        <f t="shared" si="3"/>
        <v>97140000</v>
      </c>
      <c r="O65" s="837">
        <f>SUM(O54:O64)</f>
        <v>96249769.230769232</v>
      </c>
      <c r="P65" s="97"/>
    </row>
    <row r="66" spans="1:16">
      <c r="A66" s="97"/>
      <c r="B66" s="1816"/>
      <c r="C66" s="1816"/>
      <c r="D66" s="1816"/>
      <c r="E66" s="1816"/>
      <c r="F66" s="1816"/>
      <c r="G66" s="1816"/>
      <c r="H66" s="1816"/>
      <c r="I66" s="1816"/>
      <c r="J66" s="1816"/>
      <c r="K66" s="1816"/>
      <c r="L66" s="1816"/>
      <c r="M66" s="1816"/>
      <c r="N66" s="1816"/>
      <c r="O66" s="1751"/>
      <c r="P66" s="97"/>
    </row>
    <row r="67" spans="1:16">
      <c r="A67" s="104"/>
      <c r="B67" s="1818"/>
      <c r="C67" s="1818"/>
      <c r="D67" s="1818"/>
      <c r="E67" s="1818"/>
      <c r="F67" s="1818"/>
      <c r="G67" s="1818"/>
      <c r="H67" s="1818"/>
      <c r="I67" s="1818"/>
      <c r="J67" s="1818"/>
      <c r="K67" s="1818"/>
      <c r="L67" s="1818"/>
      <c r="M67" s="1818"/>
      <c r="N67" s="1818"/>
      <c r="O67" s="1751"/>
      <c r="P67" s="97"/>
    </row>
    <row r="68" spans="1:16">
      <c r="A68" t="s">
        <v>1160</v>
      </c>
      <c r="B68" s="184">
        <v>1781000</v>
      </c>
      <c r="C68" s="184">
        <v>1781000</v>
      </c>
      <c r="D68" s="184">
        <v>1781000</v>
      </c>
      <c r="E68" s="184">
        <v>1781000</v>
      </c>
      <c r="F68" s="184">
        <v>1781000</v>
      </c>
      <c r="G68" s="184">
        <v>1781000</v>
      </c>
      <c r="H68" s="184">
        <v>1781000</v>
      </c>
      <c r="I68" s="184">
        <v>1781000</v>
      </c>
      <c r="J68" s="184">
        <v>1781000</v>
      </c>
      <c r="K68" s="184">
        <v>1781000</v>
      </c>
      <c r="L68" s="184">
        <v>1781000</v>
      </c>
      <c r="M68" s="184">
        <v>1781000</v>
      </c>
      <c r="N68" s="184">
        <v>1781000</v>
      </c>
      <c r="O68" s="1751">
        <f t="shared" ref="O68:O74" si="4">AVERAGE(B68:N68)</f>
        <v>1781000</v>
      </c>
      <c r="P68" s="97"/>
    </row>
    <row r="69" spans="1:16">
      <c r="A69" t="s">
        <v>489</v>
      </c>
      <c r="B69" s="184">
        <v>1276000</v>
      </c>
      <c r="C69" s="184">
        <v>1276000</v>
      </c>
      <c r="D69" s="184">
        <v>1276000</v>
      </c>
      <c r="E69" s="184">
        <v>1276000</v>
      </c>
      <c r="F69" s="184">
        <v>1276000</v>
      </c>
      <c r="G69" s="184">
        <v>1276000</v>
      </c>
      <c r="H69" s="184">
        <v>1276000</v>
      </c>
      <c r="I69" s="184">
        <v>1276000</v>
      </c>
      <c r="J69" s="184">
        <v>1276000</v>
      </c>
      <c r="K69" s="184">
        <v>1276000</v>
      </c>
      <c r="L69" s="184">
        <v>1276000</v>
      </c>
      <c r="M69" s="184">
        <v>1276000</v>
      </c>
      <c r="N69" s="184">
        <v>1276000</v>
      </c>
      <c r="O69" s="1751">
        <f t="shared" si="4"/>
        <v>1276000</v>
      </c>
      <c r="P69" s="97"/>
    </row>
    <row r="70" spans="1:16">
      <c r="A70" t="s">
        <v>493</v>
      </c>
      <c r="B70" s="184">
        <v>43323000</v>
      </c>
      <c r="C70" s="184">
        <v>43219000</v>
      </c>
      <c r="D70" s="184">
        <v>43219000</v>
      </c>
      <c r="E70" s="184">
        <v>43219000</v>
      </c>
      <c r="F70" s="184">
        <v>43219000</v>
      </c>
      <c r="G70" s="184">
        <v>43219000</v>
      </c>
      <c r="H70" s="184">
        <v>43219000</v>
      </c>
      <c r="I70" s="184">
        <v>43219000</v>
      </c>
      <c r="J70" s="184">
        <v>43219000</v>
      </c>
      <c r="K70" s="184">
        <v>43219000</v>
      </c>
      <c r="L70" s="184">
        <v>43219000</v>
      </c>
      <c r="M70" s="184">
        <v>43219000</v>
      </c>
      <c r="N70" s="184">
        <v>43219000</v>
      </c>
      <c r="O70" s="1751">
        <f t="shared" si="4"/>
        <v>43227000</v>
      </c>
      <c r="P70" s="97"/>
    </row>
    <row r="71" spans="1:16">
      <c r="A71" t="s">
        <v>499</v>
      </c>
      <c r="B71" s="184">
        <v>22972000</v>
      </c>
      <c r="C71" s="184">
        <v>22956000</v>
      </c>
      <c r="D71" s="184">
        <v>22956000</v>
      </c>
      <c r="E71" s="184">
        <v>22956000</v>
      </c>
      <c r="F71" s="184">
        <v>22956000</v>
      </c>
      <c r="G71" s="184">
        <v>22956000</v>
      </c>
      <c r="H71" s="184">
        <v>22956000</v>
      </c>
      <c r="I71" s="184">
        <v>22956000</v>
      </c>
      <c r="J71" s="184">
        <v>22956000</v>
      </c>
      <c r="K71" s="184">
        <v>22956000</v>
      </c>
      <c r="L71" s="184">
        <v>22956000</v>
      </c>
      <c r="M71" s="184">
        <v>22956000</v>
      </c>
      <c r="N71" s="184">
        <v>22956000</v>
      </c>
      <c r="O71" s="1751">
        <f t="shared" si="4"/>
        <v>22957230.769230768</v>
      </c>
      <c r="P71" s="97"/>
    </row>
    <row r="72" spans="1:16">
      <c r="A72" t="s">
        <v>505</v>
      </c>
      <c r="B72" s="184">
        <v>204000</v>
      </c>
      <c r="C72" s="184">
        <v>204000</v>
      </c>
      <c r="D72" s="184">
        <v>204000</v>
      </c>
      <c r="E72" s="184">
        <v>204000</v>
      </c>
      <c r="F72" s="184">
        <v>204000</v>
      </c>
      <c r="G72" s="184">
        <v>204000</v>
      </c>
      <c r="H72" s="184">
        <v>204000</v>
      </c>
      <c r="I72" s="184">
        <v>204000</v>
      </c>
      <c r="J72" s="184">
        <v>204000</v>
      </c>
      <c r="K72" s="184">
        <v>204000</v>
      </c>
      <c r="L72" s="184">
        <v>204000</v>
      </c>
      <c r="M72" s="184">
        <v>204000</v>
      </c>
      <c r="N72" s="184">
        <v>204000</v>
      </c>
      <c r="O72" s="1751">
        <f t="shared" si="4"/>
        <v>204000</v>
      </c>
      <c r="P72" s="97"/>
    </row>
    <row r="73" spans="1:16">
      <c r="A73" t="s">
        <v>508</v>
      </c>
      <c r="B73" s="184">
        <v>24753000</v>
      </c>
      <c r="C73" s="184">
        <v>24709000</v>
      </c>
      <c r="D73" s="184">
        <v>24709000</v>
      </c>
      <c r="E73" s="184">
        <v>24709000</v>
      </c>
      <c r="F73" s="184">
        <v>24709000</v>
      </c>
      <c r="G73" s="184">
        <v>24709000</v>
      </c>
      <c r="H73" s="184">
        <v>24709000</v>
      </c>
      <c r="I73" s="184">
        <v>24709000</v>
      </c>
      <c r="J73" s="184">
        <v>24709000</v>
      </c>
      <c r="K73" s="184">
        <v>24709000</v>
      </c>
      <c r="L73" s="184">
        <v>24709000</v>
      </c>
      <c r="M73" s="184">
        <v>24709000</v>
      </c>
      <c r="N73" s="184">
        <v>24709000</v>
      </c>
      <c r="O73" s="1751">
        <f t="shared" si="4"/>
        <v>24712384.615384616</v>
      </c>
      <c r="P73" s="97"/>
    </row>
    <row r="74" spans="1:16">
      <c r="A74" t="s">
        <v>534</v>
      </c>
      <c r="B74" s="184">
        <v>670000</v>
      </c>
      <c r="C74" s="184">
        <v>653000</v>
      </c>
      <c r="D74" s="184">
        <v>653000</v>
      </c>
      <c r="E74" s="184">
        <v>653000</v>
      </c>
      <c r="F74" s="184">
        <v>653000</v>
      </c>
      <c r="G74" s="184">
        <v>653000</v>
      </c>
      <c r="H74" s="184">
        <v>653000</v>
      </c>
      <c r="I74" s="184">
        <v>653000</v>
      </c>
      <c r="J74" s="184">
        <v>653000</v>
      </c>
      <c r="K74" s="184">
        <v>653000</v>
      </c>
      <c r="L74" s="184">
        <v>653000</v>
      </c>
      <c r="M74" s="184">
        <v>653000</v>
      </c>
      <c r="N74" s="184">
        <v>653000</v>
      </c>
      <c r="O74" s="1751">
        <f t="shared" si="4"/>
        <v>654307.69230769225</v>
      </c>
      <c r="P74" s="97"/>
    </row>
    <row r="75" spans="1:16">
      <c r="A75" s="1335" t="s">
        <v>1140</v>
      </c>
      <c r="B75" s="1820">
        <f>SUM(B68:B74)</f>
        <v>94979000</v>
      </c>
      <c r="C75" s="1820">
        <f t="shared" ref="C75:O75" si="5">SUM(C68:C74)</f>
        <v>94798000</v>
      </c>
      <c r="D75" s="1820">
        <f t="shared" si="5"/>
        <v>94798000</v>
      </c>
      <c r="E75" s="1820">
        <f t="shared" si="5"/>
        <v>94798000</v>
      </c>
      <c r="F75" s="1820">
        <f t="shared" si="5"/>
        <v>94798000</v>
      </c>
      <c r="G75" s="1820">
        <f t="shared" si="5"/>
        <v>94798000</v>
      </c>
      <c r="H75" s="1820">
        <f t="shared" si="5"/>
        <v>94798000</v>
      </c>
      <c r="I75" s="1820">
        <f t="shared" si="5"/>
        <v>94798000</v>
      </c>
      <c r="J75" s="1820">
        <f t="shared" si="5"/>
        <v>94798000</v>
      </c>
      <c r="K75" s="1820">
        <f t="shared" si="5"/>
        <v>94798000</v>
      </c>
      <c r="L75" s="1820">
        <f t="shared" si="5"/>
        <v>94798000</v>
      </c>
      <c r="M75" s="1820">
        <f t="shared" si="5"/>
        <v>94798000</v>
      </c>
      <c r="N75" s="1820">
        <f>SUM(N68:N74)</f>
        <v>94798000</v>
      </c>
      <c r="O75" s="1820">
        <f t="shared" si="5"/>
        <v>94811923.076923087</v>
      </c>
      <c r="P75" s="97"/>
    </row>
    <row r="76" spans="1:16">
      <c r="A76" s="632"/>
      <c r="B76" s="638"/>
      <c r="C76" s="638"/>
      <c r="D76" s="638"/>
      <c r="E76" s="638"/>
      <c r="F76" s="638"/>
      <c r="G76" s="638"/>
      <c r="H76" s="638"/>
      <c r="I76" s="638"/>
      <c r="J76" s="638"/>
      <c r="K76" s="638"/>
      <c r="L76" s="638"/>
      <c r="M76" s="638"/>
      <c r="N76" s="638"/>
      <c r="O76" s="638"/>
      <c r="P76" s="97"/>
    </row>
    <row r="77" spans="1:16">
      <c r="A77" t="s">
        <v>1034</v>
      </c>
      <c r="B77" s="184">
        <v>2000</v>
      </c>
      <c r="C77" s="184">
        <v>2000</v>
      </c>
      <c r="D77" s="184">
        <v>2000</v>
      </c>
      <c r="E77" s="184">
        <v>2000</v>
      </c>
      <c r="F77" s="184">
        <v>2000</v>
      </c>
      <c r="G77" s="184">
        <v>2000</v>
      </c>
      <c r="H77" s="184">
        <v>2000</v>
      </c>
      <c r="I77" s="184">
        <v>2000</v>
      </c>
      <c r="J77" s="184">
        <v>2000</v>
      </c>
      <c r="K77" s="184">
        <v>2000</v>
      </c>
      <c r="L77" s="184">
        <v>2000</v>
      </c>
      <c r="M77" s="184">
        <v>2000</v>
      </c>
      <c r="N77" s="184">
        <v>2000</v>
      </c>
      <c r="O77" s="1751">
        <f t="shared" ref="O77:O107" si="6">AVERAGE(B77:N77)</f>
        <v>2000</v>
      </c>
      <c r="P77" s="97"/>
    </row>
    <row r="78" spans="1:16">
      <c r="A78" t="s">
        <v>1035</v>
      </c>
      <c r="B78" s="184">
        <v>29000</v>
      </c>
      <c r="C78" s="184">
        <v>29000</v>
      </c>
      <c r="D78" s="184">
        <v>29000</v>
      </c>
      <c r="E78" s="184">
        <v>29000</v>
      </c>
      <c r="F78" s="184">
        <v>29000</v>
      </c>
      <c r="G78" s="184">
        <v>29000</v>
      </c>
      <c r="H78" s="184">
        <v>29000</v>
      </c>
      <c r="I78" s="184">
        <v>29000</v>
      </c>
      <c r="J78" s="184">
        <v>29000</v>
      </c>
      <c r="K78" s="184">
        <v>29000</v>
      </c>
      <c r="L78" s="184">
        <v>29000</v>
      </c>
      <c r="M78" s="184">
        <v>29000</v>
      </c>
      <c r="N78" s="184">
        <v>29000</v>
      </c>
      <c r="O78" s="1751">
        <f t="shared" si="6"/>
        <v>29000</v>
      </c>
      <c r="P78" s="97"/>
    </row>
    <row r="79" spans="1:16">
      <c r="A79" t="s">
        <v>1036</v>
      </c>
      <c r="B79" s="184">
        <v>132000</v>
      </c>
      <c r="C79" s="184">
        <v>132000</v>
      </c>
      <c r="D79" s="184">
        <v>132000</v>
      </c>
      <c r="E79" s="184">
        <v>132000</v>
      </c>
      <c r="F79" s="184">
        <v>132000</v>
      </c>
      <c r="G79" s="184">
        <v>132000</v>
      </c>
      <c r="H79" s="184">
        <v>132000</v>
      </c>
      <c r="I79" s="184">
        <v>132000</v>
      </c>
      <c r="J79" s="184">
        <v>132000</v>
      </c>
      <c r="K79" s="184">
        <v>132000</v>
      </c>
      <c r="L79" s="184">
        <v>132000</v>
      </c>
      <c r="M79" s="184">
        <v>132000</v>
      </c>
      <c r="N79" s="184">
        <v>132000</v>
      </c>
      <c r="O79" s="1751">
        <f t="shared" si="6"/>
        <v>132000</v>
      </c>
      <c r="P79" s="97"/>
    </row>
    <row r="80" spans="1:16">
      <c r="A80" t="s">
        <v>1037</v>
      </c>
      <c r="B80" s="184">
        <v>1000</v>
      </c>
      <c r="C80" s="184">
        <v>1000</v>
      </c>
      <c r="D80" s="184">
        <v>1000</v>
      </c>
      <c r="E80" s="184">
        <v>1000</v>
      </c>
      <c r="F80" s="184">
        <v>1000</v>
      </c>
      <c r="G80" s="184">
        <v>1000</v>
      </c>
      <c r="H80" s="184">
        <v>1000</v>
      </c>
      <c r="I80" s="184">
        <v>1000</v>
      </c>
      <c r="J80" s="184">
        <v>1000</v>
      </c>
      <c r="K80" s="184">
        <v>1000</v>
      </c>
      <c r="L80" s="184">
        <v>1000</v>
      </c>
      <c r="M80" s="184">
        <v>1000</v>
      </c>
      <c r="N80" s="184">
        <v>1000</v>
      </c>
      <c r="O80" s="1751">
        <f t="shared" si="6"/>
        <v>1000</v>
      </c>
      <c r="P80" s="97"/>
    </row>
    <row r="81" spans="1:16">
      <c r="A81" t="s">
        <v>1038</v>
      </c>
      <c r="B81" s="184">
        <v>7000</v>
      </c>
      <c r="C81" s="184">
        <v>7000</v>
      </c>
      <c r="D81" s="184">
        <v>7000</v>
      </c>
      <c r="E81" s="184">
        <v>7000</v>
      </c>
      <c r="F81" s="184">
        <v>7000</v>
      </c>
      <c r="G81" s="184">
        <v>7000</v>
      </c>
      <c r="H81" s="184">
        <v>7000</v>
      </c>
      <c r="I81" s="184">
        <v>7000</v>
      </c>
      <c r="J81" s="184">
        <v>7000</v>
      </c>
      <c r="K81" s="184">
        <v>7000</v>
      </c>
      <c r="L81" s="184">
        <v>7000</v>
      </c>
      <c r="M81" s="184">
        <v>7000</v>
      </c>
      <c r="N81" s="184">
        <v>7000</v>
      </c>
      <c r="O81" s="1751">
        <f t="shared" si="6"/>
        <v>7000</v>
      </c>
      <c r="P81" s="97"/>
    </row>
    <row r="82" spans="1:16">
      <c r="A82" t="s">
        <v>1125</v>
      </c>
      <c r="B82" s="184">
        <v>40000</v>
      </c>
      <c r="C82" s="184">
        <v>40000</v>
      </c>
      <c r="D82" s="184">
        <v>40000</v>
      </c>
      <c r="E82" s="184">
        <v>40000</v>
      </c>
      <c r="F82" s="184">
        <v>40000</v>
      </c>
      <c r="G82" s="184">
        <v>40000</v>
      </c>
      <c r="H82" s="184">
        <v>40000</v>
      </c>
      <c r="I82" s="184">
        <v>40000</v>
      </c>
      <c r="J82" s="184">
        <v>40000</v>
      </c>
      <c r="K82" s="184">
        <v>40000</v>
      </c>
      <c r="L82" s="184">
        <v>40000</v>
      </c>
      <c r="M82" s="184">
        <v>40000</v>
      </c>
      <c r="N82" s="184">
        <v>40000</v>
      </c>
      <c r="O82" s="1751">
        <f t="shared" si="6"/>
        <v>40000</v>
      </c>
      <c r="P82" s="97"/>
    </row>
    <row r="83" spans="1:16">
      <c r="A83" t="s">
        <v>1078</v>
      </c>
      <c r="B83" s="184">
        <v>1684000</v>
      </c>
      <c r="C83" s="184">
        <v>1684000</v>
      </c>
      <c r="D83" s="184">
        <v>1684000</v>
      </c>
      <c r="E83" s="184">
        <v>1684000</v>
      </c>
      <c r="F83" s="184">
        <v>1684000</v>
      </c>
      <c r="G83" s="184">
        <v>1684000</v>
      </c>
      <c r="H83" s="184">
        <v>1684000</v>
      </c>
      <c r="I83" s="184">
        <v>1684000</v>
      </c>
      <c r="J83" s="184">
        <v>1684000</v>
      </c>
      <c r="K83" s="184">
        <v>1684000</v>
      </c>
      <c r="L83" s="184">
        <v>1684000</v>
      </c>
      <c r="M83" s="184">
        <v>1684000</v>
      </c>
      <c r="N83" s="184">
        <v>1684000</v>
      </c>
      <c r="O83" s="1751">
        <f t="shared" si="6"/>
        <v>1684000</v>
      </c>
      <c r="P83" s="97"/>
    </row>
    <row r="84" spans="1:16">
      <c r="A84" t="s">
        <v>1039</v>
      </c>
      <c r="B84" s="184">
        <v>153000</v>
      </c>
      <c r="C84" s="184">
        <v>153000</v>
      </c>
      <c r="D84" s="184">
        <v>153000</v>
      </c>
      <c r="E84" s="184">
        <v>153000</v>
      </c>
      <c r="F84" s="184">
        <v>153000</v>
      </c>
      <c r="G84" s="184">
        <v>153000</v>
      </c>
      <c r="H84" s="184">
        <v>153000</v>
      </c>
      <c r="I84" s="184">
        <v>153000</v>
      </c>
      <c r="J84" s="184">
        <v>153000</v>
      </c>
      <c r="K84" s="184">
        <v>153000</v>
      </c>
      <c r="L84" s="184">
        <v>153000</v>
      </c>
      <c r="M84" s="184">
        <v>153000</v>
      </c>
      <c r="N84" s="184">
        <v>153000</v>
      </c>
      <c r="O84" s="1751">
        <f t="shared" si="6"/>
        <v>153000</v>
      </c>
      <c r="P84" s="97"/>
    </row>
    <row r="85" spans="1:16">
      <c r="A85" t="s">
        <v>1040</v>
      </c>
      <c r="B85" s="184">
        <v>79000</v>
      </c>
      <c r="C85" s="184">
        <v>79000</v>
      </c>
      <c r="D85" s="184">
        <v>79000</v>
      </c>
      <c r="E85" s="184">
        <v>79000</v>
      </c>
      <c r="F85" s="184">
        <v>79000</v>
      </c>
      <c r="G85" s="184">
        <v>79000</v>
      </c>
      <c r="H85" s="184">
        <v>79000</v>
      </c>
      <c r="I85" s="184">
        <v>79000</v>
      </c>
      <c r="J85" s="184">
        <v>79000</v>
      </c>
      <c r="K85" s="184">
        <v>79000</v>
      </c>
      <c r="L85" s="184">
        <v>79000</v>
      </c>
      <c r="M85" s="184">
        <v>79000</v>
      </c>
      <c r="N85" s="184">
        <v>79000</v>
      </c>
      <c r="O85" s="1751">
        <f t="shared" si="6"/>
        <v>79000</v>
      </c>
      <c r="P85" s="97"/>
    </row>
    <row r="86" spans="1:16">
      <c r="A86" t="s">
        <v>1041</v>
      </c>
      <c r="B86" s="184">
        <v>405000</v>
      </c>
      <c r="C86" s="184">
        <v>405000</v>
      </c>
      <c r="D86" s="184">
        <v>405000</v>
      </c>
      <c r="E86" s="184">
        <v>405000</v>
      </c>
      <c r="F86" s="184">
        <v>405000</v>
      </c>
      <c r="G86" s="184">
        <v>405000</v>
      </c>
      <c r="H86" s="184">
        <v>405000</v>
      </c>
      <c r="I86" s="184">
        <v>405000</v>
      </c>
      <c r="J86" s="184">
        <v>405000</v>
      </c>
      <c r="K86" s="184">
        <v>405000</v>
      </c>
      <c r="L86" s="184">
        <v>405000</v>
      </c>
      <c r="M86" s="184">
        <v>405000</v>
      </c>
      <c r="N86" s="184">
        <v>405000</v>
      </c>
      <c r="O86" s="1751">
        <f t="shared" si="6"/>
        <v>405000</v>
      </c>
      <c r="P86" s="97"/>
    </row>
    <row r="87" spans="1:16">
      <c r="A87" t="s">
        <v>1042</v>
      </c>
      <c r="B87" s="184">
        <v>144000</v>
      </c>
      <c r="C87" s="184">
        <v>144000</v>
      </c>
      <c r="D87" s="184">
        <v>144000</v>
      </c>
      <c r="E87" s="184">
        <v>144000</v>
      </c>
      <c r="F87" s="184">
        <v>144000</v>
      </c>
      <c r="G87" s="184">
        <v>144000</v>
      </c>
      <c r="H87" s="184">
        <v>144000</v>
      </c>
      <c r="I87" s="184">
        <v>144000</v>
      </c>
      <c r="J87" s="184">
        <v>144000</v>
      </c>
      <c r="K87" s="184">
        <v>144000</v>
      </c>
      <c r="L87" s="184">
        <v>144000</v>
      </c>
      <c r="M87" s="184">
        <v>144000</v>
      </c>
      <c r="N87" s="184">
        <v>144000</v>
      </c>
      <c r="O87" s="1751">
        <f t="shared" si="6"/>
        <v>144000</v>
      </c>
      <c r="P87" s="97"/>
    </row>
    <row r="88" spans="1:16">
      <c r="A88" t="s">
        <v>1043</v>
      </c>
      <c r="B88" s="184">
        <v>134000</v>
      </c>
      <c r="C88" s="184">
        <v>134000</v>
      </c>
      <c r="D88" s="184">
        <v>134000</v>
      </c>
      <c r="E88" s="184">
        <v>134000</v>
      </c>
      <c r="F88" s="184">
        <v>134000</v>
      </c>
      <c r="G88" s="184">
        <v>134000</v>
      </c>
      <c r="H88" s="184">
        <v>134000</v>
      </c>
      <c r="I88" s="184">
        <v>134000</v>
      </c>
      <c r="J88" s="184">
        <v>134000</v>
      </c>
      <c r="K88" s="184">
        <v>134000</v>
      </c>
      <c r="L88" s="184">
        <v>134000</v>
      </c>
      <c r="M88" s="184">
        <v>134000</v>
      </c>
      <c r="N88" s="184">
        <v>134000</v>
      </c>
      <c r="O88" s="1751">
        <f t="shared" si="6"/>
        <v>134000</v>
      </c>
      <c r="P88" s="97"/>
    </row>
    <row r="89" spans="1:16">
      <c r="A89" t="s">
        <v>1044</v>
      </c>
      <c r="B89" s="184">
        <v>112000</v>
      </c>
      <c r="C89" s="184">
        <v>112000</v>
      </c>
      <c r="D89" s="184">
        <v>112000</v>
      </c>
      <c r="E89" s="184">
        <v>112000</v>
      </c>
      <c r="F89" s="184">
        <v>112000</v>
      </c>
      <c r="G89" s="184">
        <v>112000</v>
      </c>
      <c r="H89" s="184">
        <v>112000</v>
      </c>
      <c r="I89" s="184">
        <v>112000</v>
      </c>
      <c r="J89" s="184">
        <v>112000</v>
      </c>
      <c r="K89" s="184">
        <v>112000</v>
      </c>
      <c r="L89" s="184">
        <v>112000</v>
      </c>
      <c r="M89" s="184">
        <v>112000</v>
      </c>
      <c r="N89" s="184">
        <v>112000</v>
      </c>
      <c r="O89" s="1751">
        <f t="shared" si="6"/>
        <v>112000</v>
      </c>
      <c r="P89" s="97"/>
    </row>
    <row r="90" spans="1:16">
      <c r="A90" t="s">
        <v>1045</v>
      </c>
      <c r="B90" s="184">
        <v>5413000</v>
      </c>
      <c r="C90" s="184">
        <v>5413000</v>
      </c>
      <c r="D90" s="184">
        <v>5413000</v>
      </c>
      <c r="E90" s="184">
        <v>5413000</v>
      </c>
      <c r="F90" s="184">
        <v>5413000</v>
      </c>
      <c r="G90" s="184">
        <v>5413000</v>
      </c>
      <c r="H90" s="184">
        <v>5413000</v>
      </c>
      <c r="I90" s="184">
        <v>5413000</v>
      </c>
      <c r="J90" s="184">
        <v>5413000</v>
      </c>
      <c r="K90" s="184">
        <v>5413000</v>
      </c>
      <c r="L90" s="184">
        <v>5413000</v>
      </c>
      <c r="M90" s="184">
        <v>5413000</v>
      </c>
      <c r="N90" s="184">
        <v>5413000</v>
      </c>
      <c r="O90" s="1751">
        <f t="shared" si="6"/>
        <v>5413000</v>
      </c>
      <c r="P90" s="97"/>
    </row>
    <row r="91" spans="1:16">
      <c r="A91" t="s">
        <v>1063</v>
      </c>
      <c r="B91" s="184">
        <v>5619000</v>
      </c>
      <c r="C91" s="184">
        <v>5619000</v>
      </c>
      <c r="D91" s="184">
        <v>5619000</v>
      </c>
      <c r="E91" s="184">
        <v>5619000</v>
      </c>
      <c r="F91" s="184">
        <v>5619000</v>
      </c>
      <c r="G91" s="184">
        <v>5619000</v>
      </c>
      <c r="H91" s="184">
        <v>5619000</v>
      </c>
      <c r="I91" s="184">
        <v>5619000</v>
      </c>
      <c r="J91" s="184">
        <v>5619000</v>
      </c>
      <c r="K91" s="184">
        <v>5619000</v>
      </c>
      <c r="L91" s="184">
        <v>5619000</v>
      </c>
      <c r="M91" s="184">
        <v>5619000</v>
      </c>
      <c r="N91" s="184">
        <v>5619000</v>
      </c>
      <c r="O91" s="1751">
        <f t="shared" si="6"/>
        <v>5619000</v>
      </c>
      <c r="P91" s="97"/>
    </row>
    <row r="92" spans="1:16">
      <c r="A92" t="s">
        <v>1167</v>
      </c>
      <c r="B92" s="184">
        <v>5035000</v>
      </c>
      <c r="C92" s="184">
        <v>5035000</v>
      </c>
      <c r="D92" s="184">
        <v>5035000</v>
      </c>
      <c r="E92" s="184">
        <v>5035000</v>
      </c>
      <c r="F92" s="184">
        <v>5035000</v>
      </c>
      <c r="G92" s="184">
        <v>5035000</v>
      </c>
      <c r="H92" s="184">
        <v>5035000</v>
      </c>
      <c r="I92" s="184">
        <v>5035000</v>
      </c>
      <c r="J92" s="184">
        <v>5035000</v>
      </c>
      <c r="K92" s="184">
        <v>5035000</v>
      </c>
      <c r="L92" s="184">
        <v>5035000</v>
      </c>
      <c r="M92" s="184">
        <v>5035000</v>
      </c>
      <c r="N92" s="184">
        <v>5035000</v>
      </c>
      <c r="O92" s="1751">
        <f t="shared" si="6"/>
        <v>5035000</v>
      </c>
      <c r="P92" s="97"/>
    </row>
    <row r="93" spans="1:16">
      <c r="A93" t="s">
        <v>1046</v>
      </c>
      <c r="B93" s="184">
        <v>3189000</v>
      </c>
      <c r="C93" s="184">
        <v>3189000</v>
      </c>
      <c r="D93" s="184">
        <v>3189000</v>
      </c>
      <c r="E93" s="184">
        <v>3189000</v>
      </c>
      <c r="F93" s="184">
        <v>3189000</v>
      </c>
      <c r="G93" s="184">
        <v>3189000</v>
      </c>
      <c r="H93" s="184">
        <v>3189000</v>
      </c>
      <c r="I93" s="184">
        <v>3189000</v>
      </c>
      <c r="J93" s="184">
        <v>3189000</v>
      </c>
      <c r="K93" s="184">
        <v>3189000</v>
      </c>
      <c r="L93" s="184">
        <v>3189000</v>
      </c>
      <c r="M93" s="184">
        <v>3189000</v>
      </c>
      <c r="N93" s="184">
        <v>3189000</v>
      </c>
      <c r="O93" s="1751">
        <f t="shared" si="6"/>
        <v>3189000</v>
      </c>
      <c r="P93" s="97"/>
    </row>
    <row r="94" spans="1:16">
      <c r="A94" t="s">
        <v>1047</v>
      </c>
      <c r="B94" s="184">
        <v>3815000</v>
      </c>
      <c r="C94" s="184">
        <v>3815000</v>
      </c>
      <c r="D94" s="184">
        <v>3815000</v>
      </c>
      <c r="E94" s="184">
        <v>3815000</v>
      </c>
      <c r="F94" s="184">
        <v>3815000</v>
      </c>
      <c r="G94" s="184">
        <v>3815000</v>
      </c>
      <c r="H94" s="184">
        <v>3815000</v>
      </c>
      <c r="I94" s="184">
        <v>3815000</v>
      </c>
      <c r="J94" s="184">
        <v>3815000</v>
      </c>
      <c r="K94" s="184">
        <v>3815000</v>
      </c>
      <c r="L94" s="184">
        <v>3815000</v>
      </c>
      <c r="M94" s="184">
        <v>3815000</v>
      </c>
      <c r="N94" s="184">
        <v>3815000</v>
      </c>
      <c r="O94" s="1751">
        <f t="shared" si="6"/>
        <v>3815000</v>
      </c>
      <c r="P94" s="97"/>
    </row>
    <row r="95" spans="1:16">
      <c r="A95" t="s">
        <v>1048</v>
      </c>
      <c r="B95" s="184">
        <v>1732000</v>
      </c>
      <c r="C95" s="184">
        <v>1732000</v>
      </c>
      <c r="D95" s="184">
        <v>1732000</v>
      </c>
      <c r="E95" s="184">
        <v>1732000</v>
      </c>
      <c r="F95" s="184">
        <v>1732000</v>
      </c>
      <c r="G95" s="184">
        <v>1732000</v>
      </c>
      <c r="H95" s="184">
        <v>1732000</v>
      </c>
      <c r="I95" s="184">
        <v>1732000</v>
      </c>
      <c r="J95" s="184">
        <v>1732000</v>
      </c>
      <c r="K95" s="184">
        <v>1732000</v>
      </c>
      <c r="L95" s="184">
        <v>1732000</v>
      </c>
      <c r="M95" s="184">
        <v>1732000</v>
      </c>
      <c r="N95" s="184">
        <v>1732000</v>
      </c>
      <c r="O95" s="1751">
        <f t="shared" si="6"/>
        <v>1732000</v>
      </c>
      <c r="P95" s="97"/>
    </row>
    <row r="96" spans="1:16">
      <c r="A96" t="s">
        <v>1049</v>
      </c>
      <c r="B96" s="184">
        <v>411000</v>
      </c>
      <c r="C96" s="184">
        <v>411000</v>
      </c>
      <c r="D96" s="184">
        <v>411000</v>
      </c>
      <c r="E96" s="184">
        <v>411000</v>
      </c>
      <c r="F96" s="184">
        <v>411000</v>
      </c>
      <c r="G96" s="184">
        <v>411000</v>
      </c>
      <c r="H96" s="184">
        <v>411000</v>
      </c>
      <c r="I96" s="184">
        <v>411000</v>
      </c>
      <c r="J96" s="184">
        <v>411000</v>
      </c>
      <c r="K96" s="184">
        <v>411000</v>
      </c>
      <c r="L96" s="184">
        <v>411000</v>
      </c>
      <c r="M96" s="184">
        <v>411000</v>
      </c>
      <c r="N96" s="184">
        <v>411000</v>
      </c>
      <c r="O96" s="1751">
        <f t="shared" si="6"/>
        <v>411000</v>
      </c>
      <c r="P96" s="97"/>
    </row>
    <row r="97" spans="1:16">
      <c r="A97" t="s">
        <v>1050</v>
      </c>
      <c r="B97" s="184">
        <v>8919000</v>
      </c>
      <c r="C97" s="184">
        <v>8919000</v>
      </c>
      <c r="D97" s="184">
        <v>8919000</v>
      </c>
      <c r="E97" s="184">
        <v>8919000</v>
      </c>
      <c r="F97" s="184">
        <v>8919000</v>
      </c>
      <c r="G97" s="184">
        <v>8919000</v>
      </c>
      <c r="H97" s="184">
        <v>8919000</v>
      </c>
      <c r="I97" s="184">
        <v>8919000</v>
      </c>
      <c r="J97" s="184">
        <v>8919000</v>
      </c>
      <c r="K97" s="184">
        <v>8919000</v>
      </c>
      <c r="L97" s="184">
        <v>8919000</v>
      </c>
      <c r="M97" s="184">
        <v>8919000</v>
      </c>
      <c r="N97" s="184">
        <v>8919000</v>
      </c>
      <c r="O97" s="1751">
        <f t="shared" si="6"/>
        <v>8919000</v>
      </c>
      <c r="P97" s="97"/>
    </row>
    <row r="98" spans="1:16">
      <c r="A98" t="s">
        <v>1051</v>
      </c>
      <c r="B98" s="184">
        <v>9381000</v>
      </c>
      <c r="C98" s="184">
        <v>9381000</v>
      </c>
      <c r="D98" s="184">
        <v>9381000</v>
      </c>
      <c r="E98" s="184">
        <v>9381000</v>
      </c>
      <c r="F98" s="184">
        <v>9381000</v>
      </c>
      <c r="G98" s="184">
        <v>9381000</v>
      </c>
      <c r="H98" s="184">
        <v>9381000</v>
      </c>
      <c r="I98" s="184">
        <v>9381000</v>
      </c>
      <c r="J98" s="184">
        <v>9381000</v>
      </c>
      <c r="K98" s="184">
        <v>9381000</v>
      </c>
      <c r="L98" s="184">
        <v>9381000</v>
      </c>
      <c r="M98" s="184">
        <v>9381000</v>
      </c>
      <c r="N98" s="184">
        <v>9381000</v>
      </c>
      <c r="O98" s="1751">
        <f t="shared" si="6"/>
        <v>9381000</v>
      </c>
      <c r="P98" s="97"/>
    </row>
    <row r="99" spans="1:16">
      <c r="A99" t="s">
        <v>1052</v>
      </c>
      <c r="B99" s="184">
        <v>2700000</v>
      </c>
      <c r="C99" s="184">
        <v>2700000</v>
      </c>
      <c r="D99" s="184">
        <v>2700000</v>
      </c>
      <c r="E99" s="184">
        <v>2700000</v>
      </c>
      <c r="F99" s="184">
        <v>2700000</v>
      </c>
      <c r="G99" s="184">
        <v>2700000</v>
      </c>
      <c r="H99" s="184">
        <v>2700000</v>
      </c>
      <c r="I99" s="184">
        <v>2700000</v>
      </c>
      <c r="J99" s="184">
        <v>2700000</v>
      </c>
      <c r="K99" s="184">
        <v>2700000</v>
      </c>
      <c r="L99" s="184">
        <v>2700000</v>
      </c>
      <c r="M99" s="184">
        <v>2700000</v>
      </c>
      <c r="N99" s="184">
        <v>2700000</v>
      </c>
      <c r="O99" s="1751">
        <f t="shared" si="6"/>
        <v>2700000</v>
      </c>
      <c r="P99" s="97"/>
    </row>
    <row r="100" spans="1:16">
      <c r="A100" t="s">
        <v>1079</v>
      </c>
      <c r="B100" s="184">
        <v>24186000</v>
      </c>
      <c r="C100" s="184">
        <v>24186000</v>
      </c>
      <c r="D100" s="184">
        <v>24186000</v>
      </c>
      <c r="E100" s="184">
        <v>24186000</v>
      </c>
      <c r="F100" s="184">
        <v>24186000</v>
      </c>
      <c r="G100" s="184">
        <v>24186000</v>
      </c>
      <c r="H100" s="184">
        <v>24186000</v>
      </c>
      <c r="I100" s="184">
        <v>24186000</v>
      </c>
      <c r="J100" s="184">
        <v>24186000</v>
      </c>
      <c r="K100" s="184">
        <v>24186000</v>
      </c>
      <c r="L100" s="184">
        <v>24186000</v>
      </c>
      <c r="M100" s="184">
        <v>24186000</v>
      </c>
      <c r="N100" s="184">
        <v>24186000</v>
      </c>
      <c r="O100" s="1751">
        <f t="shared" si="6"/>
        <v>24186000</v>
      </c>
      <c r="P100" s="97"/>
    </row>
    <row r="101" spans="1:16">
      <c r="A101" t="s">
        <v>1053</v>
      </c>
      <c r="B101" s="184">
        <v>1783000</v>
      </c>
      <c r="C101" s="184">
        <v>1783000</v>
      </c>
      <c r="D101" s="184">
        <v>1783000</v>
      </c>
      <c r="E101" s="184">
        <v>1780000</v>
      </c>
      <c r="F101" s="184">
        <v>1780000</v>
      </c>
      <c r="G101" s="184">
        <v>1780000</v>
      </c>
      <c r="H101" s="184">
        <v>1780000</v>
      </c>
      <c r="I101" s="184">
        <v>1780000</v>
      </c>
      <c r="J101" s="184">
        <v>1780000</v>
      </c>
      <c r="K101" s="184">
        <v>1780000</v>
      </c>
      <c r="L101" s="184">
        <v>1780000</v>
      </c>
      <c r="M101" s="184">
        <v>1780000</v>
      </c>
      <c r="N101" s="184">
        <v>1780000</v>
      </c>
      <c r="O101" s="1751">
        <f t="shared" si="6"/>
        <v>1780692.3076923077</v>
      </c>
      <c r="P101" s="97"/>
    </row>
    <row r="102" spans="1:16">
      <c r="A102" t="s">
        <v>1054</v>
      </c>
      <c r="B102" s="184">
        <v>31000</v>
      </c>
      <c r="C102" s="184">
        <v>31000</v>
      </c>
      <c r="D102" s="184">
        <v>31000</v>
      </c>
      <c r="E102" s="184">
        <v>31000</v>
      </c>
      <c r="F102" s="184">
        <v>31000</v>
      </c>
      <c r="G102" s="184">
        <v>31000</v>
      </c>
      <c r="H102" s="184">
        <v>31000</v>
      </c>
      <c r="I102" s="184">
        <v>31000</v>
      </c>
      <c r="J102" s="184">
        <v>31000</v>
      </c>
      <c r="K102" s="184">
        <v>31000</v>
      </c>
      <c r="L102" s="184">
        <v>31000</v>
      </c>
      <c r="M102" s="184">
        <v>31000</v>
      </c>
      <c r="N102" s="184">
        <v>31000</v>
      </c>
      <c r="O102" s="1751">
        <f t="shared" si="6"/>
        <v>31000</v>
      </c>
      <c r="P102" s="97"/>
    </row>
    <row r="103" spans="1:16">
      <c r="A103" t="s">
        <v>1055</v>
      </c>
      <c r="B103" s="184">
        <v>206000</v>
      </c>
      <c r="C103" s="184">
        <v>206000</v>
      </c>
      <c r="D103" s="184">
        <v>206000</v>
      </c>
      <c r="E103" s="184">
        <v>206000</v>
      </c>
      <c r="F103" s="184">
        <v>206000</v>
      </c>
      <c r="G103" s="184">
        <v>206000</v>
      </c>
      <c r="H103" s="184">
        <v>206000</v>
      </c>
      <c r="I103" s="184">
        <v>206000</v>
      </c>
      <c r="J103" s="184">
        <v>206000</v>
      </c>
      <c r="K103" s="184">
        <v>206000</v>
      </c>
      <c r="L103" s="184">
        <v>206000</v>
      </c>
      <c r="M103" s="184">
        <v>206000</v>
      </c>
      <c r="N103" s="184">
        <v>206000</v>
      </c>
      <c r="O103" s="1751">
        <f t="shared" si="6"/>
        <v>206000</v>
      </c>
      <c r="P103" s="97"/>
    </row>
    <row r="104" spans="1:16">
      <c r="A104" t="s">
        <v>1056</v>
      </c>
      <c r="B104" s="184">
        <v>127000</v>
      </c>
      <c r="C104" s="184">
        <v>127000</v>
      </c>
      <c r="D104" s="184">
        <v>127000</v>
      </c>
      <c r="E104" s="184">
        <v>127000</v>
      </c>
      <c r="F104" s="184">
        <v>127000</v>
      </c>
      <c r="G104" s="184">
        <v>127000</v>
      </c>
      <c r="H104" s="184">
        <v>127000</v>
      </c>
      <c r="I104" s="184">
        <v>127000</v>
      </c>
      <c r="J104" s="184">
        <v>127000</v>
      </c>
      <c r="K104" s="184">
        <v>127000</v>
      </c>
      <c r="L104" s="184">
        <v>127000</v>
      </c>
      <c r="M104" s="184">
        <v>127000</v>
      </c>
      <c r="N104" s="184">
        <v>127000</v>
      </c>
      <c r="O104" s="1751">
        <f t="shared" si="6"/>
        <v>127000</v>
      </c>
      <c r="P104" s="97"/>
    </row>
    <row r="105" spans="1:16">
      <c r="A105" t="s">
        <v>1064</v>
      </c>
      <c r="B105" s="184">
        <v>4059000</v>
      </c>
      <c r="C105" s="184">
        <v>4059000</v>
      </c>
      <c r="D105" s="184">
        <v>4059000</v>
      </c>
      <c r="E105" s="184">
        <v>4059000</v>
      </c>
      <c r="F105" s="184">
        <v>4059000</v>
      </c>
      <c r="G105" s="184">
        <v>4059000</v>
      </c>
      <c r="H105" s="184">
        <v>4059000</v>
      </c>
      <c r="I105" s="184">
        <v>4059000</v>
      </c>
      <c r="J105" s="184">
        <v>4059000</v>
      </c>
      <c r="K105" s="184">
        <v>4059000</v>
      </c>
      <c r="L105" s="184">
        <v>4059000</v>
      </c>
      <c r="M105" s="184">
        <v>4059000</v>
      </c>
      <c r="N105" s="184">
        <v>4059000</v>
      </c>
      <c r="O105" s="1751">
        <f t="shared" si="6"/>
        <v>4059000</v>
      </c>
      <c r="P105" s="97"/>
    </row>
    <row r="106" spans="1:16">
      <c r="A106" t="s">
        <v>1065</v>
      </c>
      <c r="B106" s="184">
        <v>4730000</v>
      </c>
      <c r="C106" s="184">
        <v>4730000</v>
      </c>
      <c r="D106" s="184">
        <v>4730000</v>
      </c>
      <c r="E106" s="184">
        <v>4730000</v>
      </c>
      <c r="F106" s="184">
        <v>4730000</v>
      </c>
      <c r="G106" s="184">
        <v>4730000</v>
      </c>
      <c r="H106" s="184">
        <v>4730000</v>
      </c>
      <c r="I106" s="184">
        <v>4730000</v>
      </c>
      <c r="J106" s="184">
        <v>4730000</v>
      </c>
      <c r="K106" s="184">
        <v>4730000</v>
      </c>
      <c r="L106" s="184">
        <v>4730000</v>
      </c>
      <c r="M106" s="184">
        <v>4730000</v>
      </c>
      <c r="N106" s="184">
        <v>4730000</v>
      </c>
      <c r="O106" s="1751">
        <f t="shared" si="6"/>
        <v>4730000</v>
      </c>
      <c r="P106" s="97"/>
    </row>
    <row r="107" spans="1:16">
      <c r="A107" t="s">
        <v>1057</v>
      </c>
      <c r="B107" s="184">
        <v>209000</v>
      </c>
      <c r="C107" s="184">
        <v>209000</v>
      </c>
      <c r="D107" s="184">
        <v>209000</v>
      </c>
      <c r="E107" s="184">
        <v>209000</v>
      </c>
      <c r="F107" s="184">
        <v>209000</v>
      </c>
      <c r="G107" s="184">
        <v>209000</v>
      </c>
      <c r="H107" s="184">
        <v>209000</v>
      </c>
      <c r="I107" s="184">
        <v>209000</v>
      </c>
      <c r="J107" s="184">
        <v>209000</v>
      </c>
      <c r="K107" s="184">
        <v>209000</v>
      </c>
      <c r="L107" s="184">
        <v>209000</v>
      </c>
      <c r="M107" s="184">
        <v>209000</v>
      </c>
      <c r="N107" s="184">
        <v>209000</v>
      </c>
      <c r="O107" s="1751">
        <f t="shared" si="6"/>
        <v>209000</v>
      </c>
      <c r="P107" s="97"/>
    </row>
    <row r="108" spans="1:16">
      <c r="A108" t="s">
        <v>1058</v>
      </c>
      <c r="B108" s="184">
        <v>92000</v>
      </c>
      <c r="C108" s="184">
        <v>92000</v>
      </c>
      <c r="D108" s="184">
        <v>92000</v>
      </c>
      <c r="E108" s="184">
        <v>92000</v>
      </c>
      <c r="F108" s="184">
        <v>92000</v>
      </c>
      <c r="G108" s="184">
        <v>92000</v>
      </c>
      <c r="H108" s="184">
        <v>92000</v>
      </c>
      <c r="I108" s="184">
        <v>92000</v>
      </c>
      <c r="J108" s="184">
        <v>92000</v>
      </c>
      <c r="K108" s="184">
        <v>92000</v>
      </c>
      <c r="L108" s="184">
        <v>92000</v>
      </c>
      <c r="M108" s="184">
        <v>92000</v>
      </c>
      <c r="N108" s="184">
        <v>92000</v>
      </c>
      <c r="O108" s="1751">
        <f t="shared" ref="O108:O149" si="7">AVERAGE(B108:N108)</f>
        <v>92000</v>
      </c>
      <c r="P108" s="97"/>
    </row>
    <row r="109" spans="1:16">
      <c r="A109" t="s">
        <v>1059</v>
      </c>
      <c r="B109" s="184">
        <v>26000</v>
      </c>
      <c r="C109" s="184">
        <v>26000</v>
      </c>
      <c r="D109" s="184">
        <v>26000</v>
      </c>
      <c r="E109" s="184">
        <v>26000</v>
      </c>
      <c r="F109" s="184">
        <v>26000</v>
      </c>
      <c r="G109" s="184">
        <v>26000</v>
      </c>
      <c r="H109" s="184">
        <v>26000</v>
      </c>
      <c r="I109" s="184">
        <v>26000</v>
      </c>
      <c r="J109" s="184">
        <v>26000</v>
      </c>
      <c r="K109" s="184">
        <v>26000</v>
      </c>
      <c r="L109" s="184">
        <v>26000</v>
      </c>
      <c r="M109" s="184">
        <v>26000</v>
      </c>
      <c r="N109" s="184">
        <v>26000</v>
      </c>
      <c r="O109" s="1751">
        <f t="shared" si="7"/>
        <v>26000</v>
      </c>
      <c r="P109" s="97"/>
    </row>
    <row r="110" spans="1:16">
      <c r="A110" t="s">
        <v>1080</v>
      </c>
      <c r="B110" s="184">
        <v>2835000</v>
      </c>
      <c r="C110" s="184">
        <v>2835000</v>
      </c>
      <c r="D110" s="184">
        <v>2835000</v>
      </c>
      <c r="E110" s="184">
        <v>2835000</v>
      </c>
      <c r="F110" s="184">
        <v>2835000</v>
      </c>
      <c r="G110" s="184">
        <v>2835000</v>
      </c>
      <c r="H110" s="184">
        <v>2835000</v>
      </c>
      <c r="I110" s="184">
        <v>2835000</v>
      </c>
      <c r="J110" s="184">
        <v>2835000</v>
      </c>
      <c r="K110" s="184">
        <v>2835000</v>
      </c>
      <c r="L110" s="184">
        <v>2835000</v>
      </c>
      <c r="M110" s="184">
        <v>2835000</v>
      </c>
      <c r="N110" s="184">
        <v>2835000</v>
      </c>
      <c r="O110" s="1751">
        <f t="shared" si="7"/>
        <v>2835000</v>
      </c>
      <c r="P110" s="97"/>
    </row>
    <row r="111" spans="1:16">
      <c r="A111" t="s">
        <v>1060</v>
      </c>
      <c r="B111" s="184">
        <v>3525000</v>
      </c>
      <c r="C111" s="184">
        <v>3525000</v>
      </c>
      <c r="D111" s="184">
        <v>3525000</v>
      </c>
      <c r="E111" s="184">
        <v>3525000</v>
      </c>
      <c r="F111" s="184">
        <v>3525000</v>
      </c>
      <c r="G111" s="184">
        <v>3525000</v>
      </c>
      <c r="H111" s="184">
        <v>3525000</v>
      </c>
      <c r="I111" s="184">
        <v>3525000</v>
      </c>
      <c r="J111" s="184">
        <v>3525000</v>
      </c>
      <c r="K111" s="184">
        <v>3525000</v>
      </c>
      <c r="L111" s="184">
        <v>3525000</v>
      </c>
      <c r="M111" s="184">
        <v>3525000</v>
      </c>
      <c r="N111" s="184">
        <v>3525000</v>
      </c>
      <c r="O111" s="1751">
        <f t="shared" si="7"/>
        <v>3525000</v>
      </c>
      <c r="P111" s="97"/>
    </row>
    <row r="112" spans="1:16">
      <c r="A112" t="s">
        <v>1061</v>
      </c>
      <c r="B112" s="184">
        <v>137000</v>
      </c>
      <c r="C112" s="184">
        <v>137000</v>
      </c>
      <c r="D112" s="184">
        <v>137000</v>
      </c>
      <c r="E112" s="184">
        <v>137000</v>
      </c>
      <c r="F112" s="184">
        <v>137000</v>
      </c>
      <c r="G112" s="184">
        <v>137000</v>
      </c>
      <c r="H112" s="184">
        <v>137000</v>
      </c>
      <c r="I112" s="184">
        <v>137000</v>
      </c>
      <c r="J112" s="184">
        <v>137000</v>
      </c>
      <c r="K112" s="184">
        <v>137000</v>
      </c>
      <c r="L112" s="184">
        <v>137000</v>
      </c>
      <c r="M112" s="184">
        <v>137000</v>
      </c>
      <c r="N112" s="184">
        <v>137000</v>
      </c>
      <c r="O112" s="1751">
        <f t="shared" si="7"/>
        <v>137000</v>
      </c>
      <c r="P112" s="97"/>
    </row>
    <row r="113" spans="1:16">
      <c r="A113" t="s">
        <v>1062</v>
      </c>
      <c r="B113" s="184">
        <v>13000</v>
      </c>
      <c r="C113" s="184">
        <v>13000</v>
      </c>
      <c r="D113" s="184">
        <v>13000</v>
      </c>
      <c r="E113" s="184">
        <v>13000</v>
      </c>
      <c r="F113" s="184">
        <v>13000</v>
      </c>
      <c r="G113" s="184">
        <v>13000</v>
      </c>
      <c r="H113" s="184">
        <v>13000</v>
      </c>
      <c r="I113" s="184">
        <v>13000</v>
      </c>
      <c r="J113" s="184">
        <v>13000</v>
      </c>
      <c r="K113" s="184">
        <v>13000</v>
      </c>
      <c r="L113" s="184">
        <v>13000</v>
      </c>
      <c r="M113" s="184">
        <v>13000</v>
      </c>
      <c r="N113" s="184">
        <v>13000</v>
      </c>
      <c r="O113" s="1751">
        <f t="shared" si="7"/>
        <v>13000</v>
      </c>
      <c r="P113" s="97"/>
    </row>
    <row r="114" spans="1:16">
      <c r="A114" t="s">
        <v>0</v>
      </c>
      <c r="B114" s="184">
        <v>2706000</v>
      </c>
      <c r="C114" s="184">
        <v>2706000</v>
      </c>
      <c r="D114" s="184">
        <v>2706000</v>
      </c>
      <c r="E114" s="184">
        <v>2706000</v>
      </c>
      <c r="F114" s="184">
        <v>2706000</v>
      </c>
      <c r="G114" s="184">
        <v>2706000</v>
      </c>
      <c r="H114" s="184">
        <v>2706000</v>
      </c>
      <c r="I114" s="184">
        <v>2706000</v>
      </c>
      <c r="J114" s="184">
        <v>2706000</v>
      </c>
      <c r="K114" s="184">
        <v>2706000</v>
      </c>
      <c r="L114" s="184">
        <v>2706000</v>
      </c>
      <c r="M114" s="184">
        <v>2706000</v>
      </c>
      <c r="N114" s="184">
        <v>2706000</v>
      </c>
      <c r="O114" s="1751">
        <f t="shared" si="7"/>
        <v>2706000</v>
      </c>
      <c r="P114" s="97"/>
    </row>
    <row r="115" spans="1:16">
      <c r="A115" t="s">
        <v>1</v>
      </c>
      <c r="B115" s="184">
        <v>2885000</v>
      </c>
      <c r="C115" s="184">
        <v>2885000</v>
      </c>
      <c r="D115" s="184">
        <v>2885000</v>
      </c>
      <c r="E115" s="184">
        <v>2885000</v>
      </c>
      <c r="F115" s="184">
        <v>2885000</v>
      </c>
      <c r="G115" s="184">
        <v>2885000</v>
      </c>
      <c r="H115" s="184">
        <v>2885000</v>
      </c>
      <c r="I115" s="184">
        <v>2885000</v>
      </c>
      <c r="J115" s="184">
        <v>2885000</v>
      </c>
      <c r="K115" s="184">
        <v>2885000</v>
      </c>
      <c r="L115" s="184">
        <v>2885000</v>
      </c>
      <c r="M115" s="184">
        <v>2885000</v>
      </c>
      <c r="N115" s="184">
        <v>2885000</v>
      </c>
      <c r="O115" s="1751">
        <f t="shared" si="7"/>
        <v>2885000</v>
      </c>
      <c r="P115" s="97"/>
    </row>
    <row r="116" spans="1:16">
      <c r="A116" t="s">
        <v>2</v>
      </c>
      <c r="B116" s="184">
        <v>2050000</v>
      </c>
      <c r="C116" s="184">
        <v>2050000</v>
      </c>
      <c r="D116" s="184">
        <v>2050000</v>
      </c>
      <c r="E116" s="184">
        <v>2050000</v>
      </c>
      <c r="F116" s="184">
        <v>2050000</v>
      </c>
      <c r="G116" s="184">
        <v>2050000</v>
      </c>
      <c r="H116" s="184">
        <v>2050000</v>
      </c>
      <c r="I116" s="184">
        <v>2050000</v>
      </c>
      <c r="J116" s="184">
        <v>2050000</v>
      </c>
      <c r="K116" s="184">
        <v>2050000</v>
      </c>
      <c r="L116" s="184">
        <v>2050000</v>
      </c>
      <c r="M116" s="184">
        <v>2050000</v>
      </c>
      <c r="N116" s="184">
        <v>2050000</v>
      </c>
      <c r="O116" s="1751">
        <f t="shared" si="7"/>
        <v>2050000</v>
      </c>
      <c r="P116" s="97"/>
    </row>
    <row r="117" spans="1:16">
      <c r="A117" t="s">
        <v>3</v>
      </c>
      <c r="B117" s="184">
        <v>10815000</v>
      </c>
      <c r="C117" s="184">
        <v>10815000</v>
      </c>
      <c r="D117" s="184">
        <v>10815000</v>
      </c>
      <c r="E117" s="184">
        <v>10815000</v>
      </c>
      <c r="F117" s="184">
        <v>10815000</v>
      </c>
      <c r="G117" s="184">
        <v>10815000</v>
      </c>
      <c r="H117" s="184">
        <v>10815000</v>
      </c>
      <c r="I117" s="184">
        <v>10815000</v>
      </c>
      <c r="J117" s="184">
        <v>10815000</v>
      </c>
      <c r="K117" s="184">
        <v>10815000</v>
      </c>
      <c r="L117" s="184">
        <v>10815000</v>
      </c>
      <c r="M117" s="184">
        <v>10815000</v>
      </c>
      <c r="N117" s="184">
        <v>10815000</v>
      </c>
      <c r="O117" s="1751">
        <f t="shared" si="7"/>
        <v>10815000</v>
      </c>
      <c r="P117" s="97"/>
    </row>
    <row r="118" spans="1:16">
      <c r="A118" t="s">
        <v>1161</v>
      </c>
      <c r="B118" s="184">
        <v>9688000</v>
      </c>
      <c r="C118" s="184">
        <v>9688000</v>
      </c>
      <c r="D118" s="184">
        <v>9688000</v>
      </c>
      <c r="E118" s="184">
        <v>9688000</v>
      </c>
      <c r="F118" s="184">
        <v>9688000</v>
      </c>
      <c r="G118" s="184">
        <v>9688000</v>
      </c>
      <c r="H118" s="184">
        <v>9688000</v>
      </c>
      <c r="I118" s="184">
        <v>9688000</v>
      </c>
      <c r="J118" s="184">
        <v>9688000</v>
      </c>
      <c r="K118" s="184">
        <v>9688000</v>
      </c>
      <c r="L118" s="184">
        <v>9688000</v>
      </c>
      <c r="M118" s="184">
        <v>9688000</v>
      </c>
      <c r="N118" s="184">
        <v>9688000</v>
      </c>
      <c r="O118" s="1751">
        <f t="shared" si="7"/>
        <v>9688000</v>
      </c>
      <c r="P118" s="97"/>
    </row>
    <row r="119" spans="1:16">
      <c r="A119" t="s">
        <v>4</v>
      </c>
      <c r="B119" s="184">
        <v>8292000</v>
      </c>
      <c r="C119" s="184">
        <v>8292000</v>
      </c>
      <c r="D119" s="184">
        <v>8292000</v>
      </c>
      <c r="E119" s="184">
        <v>8292000</v>
      </c>
      <c r="F119" s="184">
        <v>8292000</v>
      </c>
      <c r="G119" s="184">
        <v>8292000</v>
      </c>
      <c r="H119" s="184">
        <v>8292000</v>
      </c>
      <c r="I119" s="184">
        <v>8292000</v>
      </c>
      <c r="J119" s="184">
        <v>8292000</v>
      </c>
      <c r="K119" s="184">
        <v>8292000</v>
      </c>
      <c r="L119" s="184">
        <v>8292000</v>
      </c>
      <c r="M119" s="184">
        <v>8292000</v>
      </c>
      <c r="N119" s="184">
        <v>8292000</v>
      </c>
      <c r="O119" s="1751">
        <f t="shared" si="7"/>
        <v>8292000</v>
      </c>
      <c r="P119" s="97"/>
    </row>
    <row r="120" spans="1:16">
      <c r="A120" t="s">
        <v>5</v>
      </c>
      <c r="B120" s="184">
        <v>152000</v>
      </c>
      <c r="C120" s="184">
        <v>152000</v>
      </c>
      <c r="D120" s="184">
        <v>152000</v>
      </c>
      <c r="E120" s="184">
        <v>152000</v>
      </c>
      <c r="F120" s="184">
        <v>152000</v>
      </c>
      <c r="G120" s="184">
        <v>152000</v>
      </c>
      <c r="H120" s="184">
        <v>152000</v>
      </c>
      <c r="I120" s="184">
        <v>152000</v>
      </c>
      <c r="J120" s="184">
        <v>152000</v>
      </c>
      <c r="K120" s="184">
        <v>152000</v>
      </c>
      <c r="L120" s="184">
        <v>152000</v>
      </c>
      <c r="M120" s="184">
        <v>152000</v>
      </c>
      <c r="N120" s="184">
        <v>152000</v>
      </c>
      <c r="O120" s="1751">
        <f t="shared" si="7"/>
        <v>152000</v>
      </c>
      <c r="P120" s="97"/>
    </row>
    <row r="121" spans="1:16">
      <c r="A121" t="s">
        <v>6</v>
      </c>
      <c r="B121" s="184">
        <v>159000</v>
      </c>
      <c r="C121" s="184">
        <v>159000</v>
      </c>
      <c r="D121" s="184">
        <v>159000</v>
      </c>
      <c r="E121" s="184">
        <v>159000</v>
      </c>
      <c r="F121" s="184">
        <v>159000</v>
      </c>
      <c r="G121" s="184">
        <v>159000</v>
      </c>
      <c r="H121" s="184">
        <v>159000</v>
      </c>
      <c r="I121" s="184">
        <v>159000</v>
      </c>
      <c r="J121" s="184">
        <v>159000</v>
      </c>
      <c r="K121" s="184">
        <v>159000</v>
      </c>
      <c r="L121" s="184">
        <v>159000</v>
      </c>
      <c r="M121" s="184">
        <v>159000</v>
      </c>
      <c r="N121" s="184">
        <v>159000</v>
      </c>
      <c r="O121" s="1751">
        <f t="shared" si="7"/>
        <v>159000</v>
      </c>
      <c r="P121" s="97"/>
    </row>
    <row r="122" spans="1:16">
      <c r="A122" t="s">
        <v>1066</v>
      </c>
      <c r="B122" s="184">
        <v>45000</v>
      </c>
      <c r="C122" s="184">
        <v>45000</v>
      </c>
      <c r="D122" s="184">
        <v>45000</v>
      </c>
      <c r="E122" s="184">
        <v>45000</v>
      </c>
      <c r="F122" s="184">
        <v>45000</v>
      </c>
      <c r="G122" s="184">
        <v>45000</v>
      </c>
      <c r="H122" s="184">
        <v>45000</v>
      </c>
      <c r="I122" s="184">
        <v>45000</v>
      </c>
      <c r="J122" s="184">
        <v>45000</v>
      </c>
      <c r="K122" s="184">
        <v>45000</v>
      </c>
      <c r="L122" s="184">
        <v>45000</v>
      </c>
      <c r="M122" s="184">
        <v>45000</v>
      </c>
      <c r="N122" s="184">
        <v>45000</v>
      </c>
      <c r="O122" s="1751">
        <f t="shared" si="7"/>
        <v>45000</v>
      </c>
      <c r="P122" s="97"/>
    </row>
    <row r="123" spans="1:16">
      <c r="A123" t="s">
        <v>7</v>
      </c>
      <c r="B123" s="184">
        <v>1545000</v>
      </c>
      <c r="C123" s="184">
        <v>1545000</v>
      </c>
      <c r="D123" s="184">
        <v>1545000</v>
      </c>
      <c r="E123" s="184">
        <v>1545000</v>
      </c>
      <c r="F123" s="184">
        <v>1545000</v>
      </c>
      <c r="G123" s="184">
        <v>1545000</v>
      </c>
      <c r="H123" s="184">
        <v>1545000</v>
      </c>
      <c r="I123" s="184">
        <v>1545000</v>
      </c>
      <c r="J123" s="184">
        <v>1545000</v>
      </c>
      <c r="K123" s="184">
        <v>1545000</v>
      </c>
      <c r="L123" s="184">
        <v>1545000</v>
      </c>
      <c r="M123" s="184">
        <v>1545000</v>
      </c>
      <c r="N123" s="184">
        <v>1545000</v>
      </c>
      <c r="O123" s="1751">
        <f t="shared" si="7"/>
        <v>1545000</v>
      </c>
      <c r="P123" s="97"/>
    </row>
    <row r="124" spans="1:16">
      <c r="A124" t="s">
        <v>8</v>
      </c>
      <c r="B124" s="184">
        <v>11000</v>
      </c>
      <c r="C124" s="184">
        <v>11000</v>
      </c>
      <c r="D124" s="184">
        <v>11000</v>
      </c>
      <c r="E124" s="184">
        <v>11000</v>
      </c>
      <c r="F124" s="184">
        <v>11000</v>
      </c>
      <c r="G124" s="184">
        <v>11000</v>
      </c>
      <c r="H124" s="184">
        <v>11000</v>
      </c>
      <c r="I124" s="184">
        <v>11000</v>
      </c>
      <c r="J124" s="184">
        <v>11000</v>
      </c>
      <c r="K124" s="184">
        <v>11000</v>
      </c>
      <c r="L124" s="184">
        <v>11000</v>
      </c>
      <c r="M124" s="184">
        <v>11000</v>
      </c>
      <c r="N124" s="184">
        <v>11000</v>
      </c>
      <c r="O124" s="1751">
        <f t="shared" si="7"/>
        <v>11000</v>
      </c>
      <c r="P124" s="97"/>
    </row>
    <row r="125" spans="1:16">
      <c r="A125" t="s">
        <v>9</v>
      </c>
      <c r="B125" s="184">
        <v>935000</v>
      </c>
      <c r="C125" s="184">
        <v>935000</v>
      </c>
      <c r="D125" s="184">
        <v>935000</v>
      </c>
      <c r="E125" s="184">
        <v>935000</v>
      </c>
      <c r="F125" s="184">
        <v>935000</v>
      </c>
      <c r="G125" s="184">
        <v>935000</v>
      </c>
      <c r="H125" s="184">
        <v>935000</v>
      </c>
      <c r="I125" s="184">
        <v>935000</v>
      </c>
      <c r="J125" s="184">
        <v>935000</v>
      </c>
      <c r="K125" s="184">
        <v>935000</v>
      </c>
      <c r="L125" s="184">
        <v>935000</v>
      </c>
      <c r="M125" s="184">
        <v>935000</v>
      </c>
      <c r="N125" s="184">
        <v>935000</v>
      </c>
      <c r="O125" s="1751">
        <f t="shared" si="7"/>
        <v>935000</v>
      </c>
      <c r="P125" s="97"/>
    </row>
    <row r="126" spans="1:16">
      <c r="A126" t="s">
        <v>10</v>
      </c>
      <c r="B126" s="184">
        <v>19000</v>
      </c>
      <c r="C126" s="184">
        <v>19000</v>
      </c>
      <c r="D126" s="184">
        <v>19000</v>
      </c>
      <c r="E126" s="184">
        <v>19000</v>
      </c>
      <c r="F126" s="184">
        <v>19000</v>
      </c>
      <c r="G126" s="184">
        <v>19000</v>
      </c>
      <c r="H126" s="184">
        <v>19000</v>
      </c>
      <c r="I126" s="184">
        <v>19000</v>
      </c>
      <c r="J126" s="184">
        <v>19000</v>
      </c>
      <c r="K126" s="184">
        <v>19000</v>
      </c>
      <c r="L126" s="184">
        <v>19000</v>
      </c>
      <c r="M126" s="184">
        <v>19000</v>
      </c>
      <c r="N126" s="184">
        <v>19000</v>
      </c>
      <c r="O126" s="1751">
        <f t="shared" si="7"/>
        <v>19000</v>
      </c>
      <c r="P126" s="97"/>
    </row>
    <row r="127" spans="1:16">
      <c r="A127" t="s">
        <v>11</v>
      </c>
      <c r="B127" s="184">
        <v>237000</v>
      </c>
      <c r="C127" s="184">
        <v>237000</v>
      </c>
      <c r="D127" s="184">
        <v>237000</v>
      </c>
      <c r="E127" s="184">
        <v>237000</v>
      </c>
      <c r="F127" s="184">
        <v>237000</v>
      </c>
      <c r="G127" s="184">
        <v>194000</v>
      </c>
      <c r="H127" s="184">
        <v>194000</v>
      </c>
      <c r="I127" s="184">
        <v>194000</v>
      </c>
      <c r="J127" s="184">
        <v>194000</v>
      </c>
      <c r="K127" s="184">
        <v>194000</v>
      </c>
      <c r="L127" s="184">
        <v>194000</v>
      </c>
      <c r="M127" s="184">
        <v>194000</v>
      </c>
      <c r="N127" s="184">
        <v>194000</v>
      </c>
      <c r="O127" s="1751">
        <f>AVERAGE(B127:N127)</f>
        <v>210538.46153846153</v>
      </c>
      <c r="P127" s="97"/>
    </row>
    <row r="128" spans="1:16">
      <c r="A128" t="s">
        <v>12</v>
      </c>
      <c r="B128" s="184">
        <v>63000</v>
      </c>
      <c r="C128" s="184">
        <v>63000</v>
      </c>
      <c r="D128" s="184">
        <v>63000</v>
      </c>
      <c r="E128" s="184">
        <v>63000</v>
      </c>
      <c r="F128" s="184">
        <v>63000</v>
      </c>
      <c r="G128" s="184">
        <v>63000</v>
      </c>
      <c r="H128" s="184">
        <v>63000</v>
      </c>
      <c r="I128" s="184">
        <v>63000</v>
      </c>
      <c r="J128" s="184">
        <v>63000</v>
      </c>
      <c r="K128" s="184">
        <v>63000</v>
      </c>
      <c r="L128" s="184">
        <v>63000</v>
      </c>
      <c r="M128" s="184">
        <v>63000</v>
      </c>
      <c r="N128" s="184">
        <v>63000</v>
      </c>
      <c r="O128" s="1751">
        <f t="shared" si="7"/>
        <v>63000</v>
      </c>
      <c r="P128" s="97"/>
    </row>
    <row r="129" spans="1:16">
      <c r="A129" t="s">
        <v>1126</v>
      </c>
      <c r="B129" s="184">
        <v>89000</v>
      </c>
      <c r="C129" s="184">
        <v>89000</v>
      </c>
      <c r="D129" s="184">
        <v>89000</v>
      </c>
      <c r="E129" s="184">
        <v>89000</v>
      </c>
      <c r="F129" s="184">
        <v>89000</v>
      </c>
      <c r="G129" s="184">
        <v>89000</v>
      </c>
      <c r="H129" s="184">
        <v>89000</v>
      </c>
      <c r="I129" s="184">
        <v>89000</v>
      </c>
      <c r="J129" s="184">
        <v>89000</v>
      </c>
      <c r="K129" s="184">
        <v>89000</v>
      </c>
      <c r="L129" s="184">
        <v>89000</v>
      </c>
      <c r="M129" s="184">
        <v>89000</v>
      </c>
      <c r="N129" s="184">
        <v>89000</v>
      </c>
      <c r="O129" s="1751">
        <f t="shared" si="7"/>
        <v>89000</v>
      </c>
      <c r="P129" s="97"/>
    </row>
    <row r="130" spans="1:16">
      <c r="A130" t="s">
        <v>13</v>
      </c>
      <c r="B130" s="184">
        <v>152000</v>
      </c>
      <c r="C130" s="184">
        <v>152000</v>
      </c>
      <c r="D130" s="184">
        <v>152000</v>
      </c>
      <c r="E130" s="184">
        <v>152000</v>
      </c>
      <c r="F130" s="184">
        <v>152000</v>
      </c>
      <c r="G130" s="184">
        <v>152000</v>
      </c>
      <c r="H130" s="184">
        <v>152000</v>
      </c>
      <c r="I130" s="184">
        <v>152000</v>
      </c>
      <c r="J130" s="184">
        <v>152000</v>
      </c>
      <c r="K130" s="184">
        <v>152000</v>
      </c>
      <c r="L130" s="184">
        <v>152000</v>
      </c>
      <c r="M130" s="184">
        <v>152000</v>
      </c>
      <c r="N130" s="184">
        <v>152000</v>
      </c>
      <c r="O130" s="1751">
        <f t="shared" si="7"/>
        <v>152000</v>
      </c>
      <c r="P130" s="97"/>
    </row>
    <row r="131" spans="1:16">
      <c r="A131" t="s">
        <v>14</v>
      </c>
      <c r="B131" s="184">
        <v>1156000</v>
      </c>
      <c r="C131" s="184">
        <v>1156000</v>
      </c>
      <c r="D131" s="184">
        <v>1156000</v>
      </c>
      <c r="E131" s="184">
        <v>1156000</v>
      </c>
      <c r="F131" s="184">
        <v>1156000</v>
      </c>
      <c r="G131" s="184">
        <v>1156000</v>
      </c>
      <c r="H131" s="184">
        <v>1156000</v>
      </c>
      <c r="I131" s="184">
        <v>1175000</v>
      </c>
      <c r="J131" s="184">
        <v>1175000</v>
      </c>
      <c r="K131" s="184">
        <v>1175000</v>
      </c>
      <c r="L131" s="184">
        <v>1175000</v>
      </c>
      <c r="M131" s="184">
        <v>1175000</v>
      </c>
      <c r="N131" s="184">
        <v>1175000</v>
      </c>
      <c r="O131" s="1751">
        <f t="shared" si="7"/>
        <v>1164769.2307692308</v>
      </c>
      <c r="P131" s="97"/>
    </row>
    <row r="132" spans="1:16">
      <c r="A132" t="s">
        <v>1081</v>
      </c>
      <c r="B132" s="184">
        <v>4534000</v>
      </c>
      <c r="C132" s="184">
        <v>4534000</v>
      </c>
      <c r="D132" s="184">
        <v>4534000</v>
      </c>
      <c r="E132" s="184">
        <v>4534000</v>
      </c>
      <c r="F132" s="184">
        <v>4534000</v>
      </c>
      <c r="G132" s="184">
        <v>4534000</v>
      </c>
      <c r="H132" s="184">
        <v>4534000</v>
      </c>
      <c r="I132" s="184">
        <v>4534000</v>
      </c>
      <c r="J132" s="184">
        <v>4534000</v>
      </c>
      <c r="K132" s="184">
        <v>4534000</v>
      </c>
      <c r="L132" s="184">
        <v>4534000</v>
      </c>
      <c r="M132" s="184">
        <v>4534000</v>
      </c>
      <c r="N132" s="184">
        <v>4534000</v>
      </c>
      <c r="O132" s="1751">
        <f t="shared" si="7"/>
        <v>4534000</v>
      </c>
      <c r="P132" s="97"/>
    </row>
    <row r="133" spans="1:16">
      <c r="A133" t="s">
        <v>15</v>
      </c>
      <c r="B133" s="184">
        <v>1665000</v>
      </c>
      <c r="C133" s="184">
        <v>1665000</v>
      </c>
      <c r="D133" s="184">
        <v>1665000</v>
      </c>
      <c r="E133" s="184">
        <v>1665000</v>
      </c>
      <c r="F133" s="184">
        <v>1665000</v>
      </c>
      <c r="G133" s="184">
        <v>1665000</v>
      </c>
      <c r="H133" s="184">
        <v>1665000</v>
      </c>
      <c r="I133" s="184">
        <v>1665000</v>
      </c>
      <c r="J133" s="184">
        <v>1665000</v>
      </c>
      <c r="K133" s="184">
        <v>1665000</v>
      </c>
      <c r="L133" s="184">
        <v>1665000</v>
      </c>
      <c r="M133" s="184">
        <v>1665000</v>
      </c>
      <c r="N133" s="184">
        <v>1665000</v>
      </c>
      <c r="O133" s="1751">
        <f t="shared" si="7"/>
        <v>1665000</v>
      </c>
      <c r="P133" s="97"/>
    </row>
    <row r="134" spans="1:16">
      <c r="A134" t="s">
        <v>1168</v>
      </c>
      <c r="B134" s="184">
        <v>3000</v>
      </c>
      <c r="C134" s="184">
        <v>3000</v>
      </c>
      <c r="D134" s="184">
        <v>3000</v>
      </c>
      <c r="E134" s="184">
        <v>3000</v>
      </c>
      <c r="F134" s="184">
        <v>3000</v>
      </c>
      <c r="G134" s="184">
        <v>3000</v>
      </c>
      <c r="H134" s="184">
        <v>3000</v>
      </c>
      <c r="I134" s="184">
        <v>3000</v>
      </c>
      <c r="J134" s="184">
        <v>3000</v>
      </c>
      <c r="K134" s="184">
        <v>3000</v>
      </c>
      <c r="L134" s="184">
        <v>3000</v>
      </c>
      <c r="M134" s="184">
        <v>3000</v>
      </c>
      <c r="N134" s="184">
        <v>3000</v>
      </c>
      <c r="O134" s="1751">
        <f t="shared" si="7"/>
        <v>3000</v>
      </c>
      <c r="P134" s="97"/>
    </row>
    <row r="135" spans="1:16">
      <c r="A135" t="s">
        <v>16</v>
      </c>
      <c r="B135" s="184">
        <v>252000</v>
      </c>
      <c r="C135" s="184">
        <v>252000</v>
      </c>
      <c r="D135" s="184">
        <v>252000</v>
      </c>
      <c r="E135" s="184">
        <v>252000</v>
      </c>
      <c r="F135" s="184">
        <v>252000</v>
      </c>
      <c r="G135" s="184">
        <v>252000</v>
      </c>
      <c r="H135" s="184">
        <v>252000</v>
      </c>
      <c r="I135" s="184">
        <v>252000</v>
      </c>
      <c r="J135" s="184">
        <v>252000</v>
      </c>
      <c r="K135" s="184">
        <v>252000</v>
      </c>
      <c r="L135" s="184">
        <v>252000</v>
      </c>
      <c r="M135" s="184">
        <v>252000</v>
      </c>
      <c r="N135" s="184">
        <v>252000</v>
      </c>
      <c r="O135" s="1751">
        <f t="shared" si="7"/>
        <v>252000</v>
      </c>
      <c r="P135" s="97"/>
    </row>
    <row r="136" spans="1:16">
      <c r="A136" t="s">
        <v>17</v>
      </c>
      <c r="B136" s="184">
        <v>9000</v>
      </c>
      <c r="C136" s="184">
        <v>9000</v>
      </c>
      <c r="D136" s="184">
        <v>9000</v>
      </c>
      <c r="E136" s="184">
        <v>9000</v>
      </c>
      <c r="F136" s="184">
        <v>9000</v>
      </c>
      <c r="G136" s="184">
        <v>9000</v>
      </c>
      <c r="H136" s="184">
        <v>9000</v>
      </c>
      <c r="I136" s="184">
        <v>9000</v>
      </c>
      <c r="J136" s="184">
        <v>9000</v>
      </c>
      <c r="K136" s="184">
        <v>9000</v>
      </c>
      <c r="L136" s="184">
        <v>9000</v>
      </c>
      <c r="M136" s="184">
        <v>9000</v>
      </c>
      <c r="N136" s="184">
        <v>9000</v>
      </c>
      <c r="O136" s="1751">
        <f t="shared" si="7"/>
        <v>9000</v>
      </c>
      <c r="P136" s="97"/>
    </row>
    <row r="137" spans="1:16">
      <c r="A137" t="s">
        <v>18</v>
      </c>
      <c r="B137" s="184">
        <v>164000</v>
      </c>
      <c r="C137" s="184">
        <v>164000</v>
      </c>
      <c r="D137" s="184">
        <v>164000</v>
      </c>
      <c r="E137" s="184">
        <v>164000</v>
      </c>
      <c r="F137" s="184">
        <v>164000</v>
      </c>
      <c r="G137" s="184">
        <v>164000</v>
      </c>
      <c r="H137" s="184">
        <v>164000</v>
      </c>
      <c r="I137" s="184">
        <v>164000</v>
      </c>
      <c r="J137" s="184">
        <v>164000</v>
      </c>
      <c r="K137" s="184">
        <v>164000</v>
      </c>
      <c r="L137" s="184">
        <v>164000</v>
      </c>
      <c r="M137" s="184">
        <v>164000</v>
      </c>
      <c r="N137" s="184">
        <v>164000</v>
      </c>
      <c r="O137" s="1751">
        <f t="shared" si="7"/>
        <v>164000</v>
      </c>
      <c r="P137" s="97"/>
    </row>
    <row r="138" spans="1:16">
      <c r="A138" t="s">
        <v>19</v>
      </c>
      <c r="B138" s="184">
        <v>103000</v>
      </c>
      <c r="C138" s="184">
        <v>103000</v>
      </c>
      <c r="D138" s="184">
        <v>103000</v>
      </c>
      <c r="E138" s="184">
        <v>103000</v>
      </c>
      <c r="F138" s="184">
        <v>103000</v>
      </c>
      <c r="G138" s="184">
        <v>103000</v>
      </c>
      <c r="H138" s="184">
        <v>103000</v>
      </c>
      <c r="I138" s="184">
        <v>103000</v>
      </c>
      <c r="J138" s="184">
        <v>103000</v>
      </c>
      <c r="K138" s="184">
        <v>103000</v>
      </c>
      <c r="L138" s="184">
        <v>103000</v>
      </c>
      <c r="M138" s="184">
        <v>103000</v>
      </c>
      <c r="N138" s="184">
        <v>103000</v>
      </c>
      <c r="O138" s="1751">
        <f t="shared" si="7"/>
        <v>103000</v>
      </c>
      <c r="P138" s="97"/>
    </row>
    <row r="139" spans="1:16">
      <c r="A139" t="s">
        <v>20</v>
      </c>
      <c r="B139" s="184">
        <v>63000</v>
      </c>
      <c r="C139" s="184">
        <v>63000</v>
      </c>
      <c r="D139" s="184">
        <v>63000</v>
      </c>
      <c r="E139" s="184">
        <v>63000</v>
      </c>
      <c r="F139" s="184">
        <v>63000</v>
      </c>
      <c r="G139" s="184">
        <v>63000</v>
      </c>
      <c r="H139" s="184">
        <v>63000</v>
      </c>
      <c r="I139" s="184">
        <v>63000</v>
      </c>
      <c r="J139" s="184">
        <v>63000</v>
      </c>
      <c r="K139" s="184">
        <v>63000</v>
      </c>
      <c r="L139" s="184">
        <v>63000</v>
      </c>
      <c r="M139" s="184">
        <v>63000</v>
      </c>
      <c r="N139" s="184">
        <v>63000</v>
      </c>
      <c r="O139" s="1751">
        <f t="shared" si="7"/>
        <v>63000</v>
      </c>
      <c r="P139" s="97"/>
    </row>
    <row r="140" spans="1:16">
      <c r="A140" t="s">
        <v>1127</v>
      </c>
      <c r="B140" s="184">
        <v>68000</v>
      </c>
      <c r="C140" s="184">
        <v>68000</v>
      </c>
      <c r="D140" s="184">
        <v>68000</v>
      </c>
      <c r="E140" s="184">
        <v>68000</v>
      </c>
      <c r="F140" s="184">
        <v>68000</v>
      </c>
      <c r="G140" s="184">
        <v>68000</v>
      </c>
      <c r="H140" s="184">
        <v>68000</v>
      </c>
      <c r="I140" s="184">
        <v>68000</v>
      </c>
      <c r="J140" s="184">
        <v>68000</v>
      </c>
      <c r="K140" s="184">
        <v>68000</v>
      </c>
      <c r="L140" s="184">
        <v>68000</v>
      </c>
      <c r="M140" s="184">
        <v>68000</v>
      </c>
      <c r="N140" s="184">
        <v>68000</v>
      </c>
      <c r="O140" s="1751">
        <f t="shared" si="7"/>
        <v>68000</v>
      </c>
      <c r="P140" s="97"/>
    </row>
    <row r="141" spans="1:16">
      <c r="A141" t="s">
        <v>21</v>
      </c>
      <c r="B141" s="184">
        <v>59000</v>
      </c>
      <c r="C141" s="184">
        <v>59000</v>
      </c>
      <c r="D141" s="184">
        <v>59000</v>
      </c>
      <c r="E141" s="184">
        <v>59000</v>
      </c>
      <c r="F141" s="184">
        <v>59000</v>
      </c>
      <c r="G141" s="184">
        <v>59000</v>
      </c>
      <c r="H141" s="184">
        <v>59000</v>
      </c>
      <c r="I141" s="184">
        <v>59000</v>
      </c>
      <c r="J141" s="184">
        <v>59000</v>
      </c>
      <c r="K141" s="184">
        <v>59000</v>
      </c>
      <c r="L141" s="184">
        <v>59000</v>
      </c>
      <c r="M141" s="184">
        <v>59000</v>
      </c>
      <c r="N141" s="184">
        <v>59000</v>
      </c>
      <c r="O141" s="1751">
        <f t="shared" si="7"/>
        <v>59000</v>
      </c>
      <c r="P141" s="97"/>
    </row>
    <row r="142" spans="1:16">
      <c r="A142" t="s">
        <v>22</v>
      </c>
      <c r="B142" s="184">
        <v>378000</v>
      </c>
      <c r="C142" s="184">
        <v>378000</v>
      </c>
      <c r="D142" s="184">
        <v>378000</v>
      </c>
      <c r="E142" s="184">
        <v>378000</v>
      </c>
      <c r="F142" s="184">
        <v>378000</v>
      </c>
      <c r="G142" s="184">
        <v>378000</v>
      </c>
      <c r="H142" s="184">
        <v>378000</v>
      </c>
      <c r="I142" s="184">
        <v>378000</v>
      </c>
      <c r="J142" s="184">
        <v>378000</v>
      </c>
      <c r="K142" s="184">
        <v>378000</v>
      </c>
      <c r="L142" s="184">
        <v>378000</v>
      </c>
      <c r="M142" s="184">
        <v>378000</v>
      </c>
      <c r="N142" s="184">
        <v>378000</v>
      </c>
      <c r="O142" s="1751">
        <f t="shared" si="7"/>
        <v>378000</v>
      </c>
      <c r="P142" s="97"/>
    </row>
    <row r="143" spans="1:16">
      <c r="A143" t="s">
        <v>1082</v>
      </c>
      <c r="B143" s="184">
        <v>3023000</v>
      </c>
      <c r="C143" s="184">
        <v>3023000</v>
      </c>
      <c r="D143" s="184">
        <v>3023000</v>
      </c>
      <c r="E143" s="184">
        <v>3023000</v>
      </c>
      <c r="F143" s="184">
        <v>3023000</v>
      </c>
      <c r="G143" s="184">
        <v>3023000</v>
      </c>
      <c r="H143" s="184">
        <v>3023000</v>
      </c>
      <c r="I143" s="184">
        <v>3023000</v>
      </c>
      <c r="J143" s="184">
        <v>3023000</v>
      </c>
      <c r="K143" s="184">
        <v>3023000</v>
      </c>
      <c r="L143" s="184">
        <v>3023000</v>
      </c>
      <c r="M143" s="184">
        <v>3023000</v>
      </c>
      <c r="N143" s="184">
        <v>3023000</v>
      </c>
      <c r="O143" s="1751">
        <f t="shared" si="7"/>
        <v>3023000</v>
      </c>
      <c r="P143" s="97"/>
    </row>
    <row r="144" spans="1:16">
      <c r="A144" t="s">
        <v>1128</v>
      </c>
      <c r="B144" s="184">
        <v>510000</v>
      </c>
      <c r="C144" s="184">
        <v>510000</v>
      </c>
      <c r="D144" s="184">
        <v>510000</v>
      </c>
      <c r="E144" s="184">
        <v>510000</v>
      </c>
      <c r="F144" s="184">
        <v>510000</v>
      </c>
      <c r="G144" s="184">
        <v>510000</v>
      </c>
      <c r="H144" s="184">
        <v>510000</v>
      </c>
      <c r="I144" s="184">
        <v>510000</v>
      </c>
      <c r="J144" s="184">
        <v>510000</v>
      </c>
      <c r="K144" s="184">
        <v>510000</v>
      </c>
      <c r="L144" s="184">
        <v>510000</v>
      </c>
      <c r="M144" s="184">
        <v>510000</v>
      </c>
      <c r="N144" s="184">
        <v>510000</v>
      </c>
      <c r="O144" s="1751">
        <f t="shared" si="7"/>
        <v>510000</v>
      </c>
      <c r="P144" s="97"/>
    </row>
    <row r="145" spans="1:16">
      <c r="A145" t="s">
        <v>1169</v>
      </c>
      <c r="B145" s="184">
        <v>3475000</v>
      </c>
      <c r="C145" s="184">
        <v>3475000</v>
      </c>
      <c r="D145" s="184">
        <v>3475000</v>
      </c>
      <c r="E145" s="184">
        <v>3475000</v>
      </c>
      <c r="F145" s="184">
        <v>3475000</v>
      </c>
      <c r="G145" s="184">
        <v>3475000</v>
      </c>
      <c r="H145" s="184">
        <v>3475000</v>
      </c>
      <c r="I145" s="184">
        <v>3475000</v>
      </c>
      <c r="J145" s="184">
        <v>3475000</v>
      </c>
      <c r="K145" s="184">
        <v>3475000</v>
      </c>
      <c r="L145" s="184">
        <v>3475000</v>
      </c>
      <c r="M145" s="184">
        <v>3475000</v>
      </c>
      <c r="N145" s="184">
        <v>3475000</v>
      </c>
      <c r="O145" s="1751">
        <f>AVERAGE(B145:N145)</f>
        <v>3475000</v>
      </c>
      <c r="P145" s="97"/>
    </row>
    <row r="146" spans="1:16">
      <c r="A146" t="s">
        <v>1083</v>
      </c>
      <c r="B146" s="184">
        <v>22546000</v>
      </c>
      <c r="C146" s="184">
        <v>22546000</v>
      </c>
      <c r="D146" s="184">
        <v>22546000</v>
      </c>
      <c r="E146" s="184">
        <v>22546000</v>
      </c>
      <c r="F146" s="184">
        <v>22546000</v>
      </c>
      <c r="G146" s="184">
        <v>22546000</v>
      </c>
      <c r="H146" s="184">
        <v>22546000</v>
      </c>
      <c r="I146" s="184">
        <v>22546000</v>
      </c>
      <c r="J146" s="184">
        <v>22546000</v>
      </c>
      <c r="K146" s="184">
        <v>22546000</v>
      </c>
      <c r="L146" s="184">
        <v>22546000</v>
      </c>
      <c r="M146" s="184">
        <v>22546000</v>
      </c>
      <c r="N146" s="184">
        <v>22546000</v>
      </c>
      <c r="O146" s="1751">
        <f t="shared" si="7"/>
        <v>22546000</v>
      </c>
      <c r="P146" s="97"/>
    </row>
    <row r="147" spans="1:16">
      <c r="A147" t="s">
        <v>1129</v>
      </c>
      <c r="B147" s="184">
        <v>3837000</v>
      </c>
      <c r="C147" s="184">
        <v>3837000</v>
      </c>
      <c r="D147" s="184">
        <v>3837000</v>
      </c>
      <c r="E147" s="184">
        <v>3837000</v>
      </c>
      <c r="F147" s="184">
        <v>3837000</v>
      </c>
      <c r="G147" s="184">
        <v>3837000</v>
      </c>
      <c r="H147" s="184">
        <v>3837000</v>
      </c>
      <c r="I147" s="184">
        <v>3837000</v>
      </c>
      <c r="J147" s="184">
        <v>3837000</v>
      </c>
      <c r="K147" s="184">
        <v>3837000</v>
      </c>
      <c r="L147" s="184">
        <v>3837000</v>
      </c>
      <c r="M147" s="184">
        <v>3837000</v>
      </c>
      <c r="N147" s="184">
        <v>3837000</v>
      </c>
      <c r="O147" s="1751">
        <f t="shared" si="7"/>
        <v>3837000</v>
      </c>
      <c r="P147" s="97"/>
    </row>
    <row r="148" spans="1:16">
      <c r="A148" t="s">
        <v>1130</v>
      </c>
      <c r="B148" s="184">
        <v>8000</v>
      </c>
      <c r="C148" s="184">
        <v>0</v>
      </c>
      <c r="D148" s="184">
        <v>0</v>
      </c>
      <c r="E148" s="184">
        <v>0</v>
      </c>
      <c r="F148" s="184">
        <v>0</v>
      </c>
      <c r="G148" s="184">
        <v>0</v>
      </c>
      <c r="H148" s="184">
        <v>0</v>
      </c>
      <c r="I148" s="184">
        <v>0</v>
      </c>
      <c r="J148" s="184">
        <v>0</v>
      </c>
      <c r="K148" s="184">
        <v>0</v>
      </c>
      <c r="L148" s="184">
        <v>0</v>
      </c>
      <c r="M148" s="184">
        <v>0</v>
      </c>
      <c r="N148" s="184">
        <v>0</v>
      </c>
      <c r="O148" s="1751">
        <f t="shared" si="7"/>
        <v>615.38461538461536</v>
      </c>
      <c r="P148" s="97"/>
    </row>
    <row r="149" spans="1:16">
      <c r="A149" t="s">
        <v>1131</v>
      </c>
      <c r="B149" s="184">
        <v>1080000</v>
      </c>
      <c r="C149" s="184">
        <v>1080000</v>
      </c>
      <c r="D149" s="184">
        <v>1080000</v>
      </c>
      <c r="E149" s="184">
        <v>1080000</v>
      </c>
      <c r="F149" s="184">
        <v>1080000</v>
      </c>
      <c r="G149" s="184">
        <v>1080000</v>
      </c>
      <c r="H149" s="184">
        <v>1080000</v>
      </c>
      <c r="I149" s="184">
        <v>1080000</v>
      </c>
      <c r="J149" s="184">
        <v>1080000</v>
      </c>
      <c r="K149" s="184">
        <v>1080000</v>
      </c>
      <c r="L149" s="184">
        <v>1080000</v>
      </c>
      <c r="M149" s="184">
        <v>1080000</v>
      </c>
      <c r="N149" s="184">
        <v>1080000</v>
      </c>
      <c r="O149" s="1751">
        <f t="shared" si="7"/>
        <v>1080000</v>
      </c>
      <c r="P149" s="97"/>
    </row>
    <row r="150" spans="1:16">
      <c r="A150" t="s">
        <v>23</v>
      </c>
      <c r="B150" s="428">
        <v>3086000</v>
      </c>
      <c r="C150" s="184">
        <v>3086000</v>
      </c>
      <c r="D150" s="184">
        <v>3086000</v>
      </c>
      <c r="E150" s="184">
        <v>3086000</v>
      </c>
      <c r="F150" s="184">
        <v>3086000</v>
      </c>
      <c r="G150" s="184">
        <v>3086000</v>
      </c>
      <c r="H150" s="184">
        <v>3086000</v>
      </c>
      <c r="I150" s="184">
        <v>3086000</v>
      </c>
      <c r="J150" s="184">
        <v>3086000</v>
      </c>
      <c r="K150" s="184">
        <v>3086000</v>
      </c>
      <c r="L150" s="184">
        <v>3086000</v>
      </c>
      <c r="M150" s="184">
        <v>3086000</v>
      </c>
      <c r="N150" s="184">
        <v>3086000</v>
      </c>
      <c r="O150" s="1751">
        <f>AVERAGE(B150:N150)</f>
        <v>3086000</v>
      </c>
      <c r="P150" s="97"/>
    </row>
    <row r="151" spans="1:16">
      <c r="A151" s="1335" t="s">
        <v>1151</v>
      </c>
      <c r="B151" s="1817">
        <f>SUM(B77:B150)</f>
        <v>176957000</v>
      </c>
      <c r="C151" s="1817">
        <f t="shared" ref="C151:M151" si="8">SUM(C77:C149)</f>
        <v>173863000</v>
      </c>
      <c r="D151" s="1817">
        <f t="shared" si="8"/>
        <v>173863000</v>
      </c>
      <c r="E151" s="1817">
        <f t="shared" si="8"/>
        <v>173860000</v>
      </c>
      <c r="F151" s="1817">
        <f t="shared" si="8"/>
        <v>173860000</v>
      </c>
      <c r="G151" s="1817">
        <f t="shared" si="8"/>
        <v>173817000</v>
      </c>
      <c r="H151" s="1817">
        <f t="shared" si="8"/>
        <v>173817000</v>
      </c>
      <c r="I151" s="1817">
        <f t="shared" si="8"/>
        <v>173836000</v>
      </c>
      <c r="J151" s="1817">
        <f t="shared" si="8"/>
        <v>173836000</v>
      </c>
      <c r="K151" s="1817">
        <f t="shared" si="8"/>
        <v>173836000</v>
      </c>
      <c r="L151" s="1817">
        <f t="shared" si="8"/>
        <v>173836000</v>
      </c>
      <c r="M151" s="1817">
        <f t="shared" si="8"/>
        <v>173836000</v>
      </c>
      <c r="N151" s="1817">
        <f>SUM(N77:N150)</f>
        <v>176922000</v>
      </c>
      <c r="O151" s="1817">
        <f>SUM(O77:O150)</f>
        <v>176929615.38461539</v>
      </c>
      <c r="P151" s="97"/>
    </row>
    <row r="152" spans="1:16">
      <c r="A152" s="97"/>
      <c r="B152" s="445"/>
      <c r="D152" s="125"/>
      <c r="O152" s="638"/>
      <c r="P152" s="97"/>
    </row>
    <row r="153" spans="1:16">
      <c r="A153" t="s">
        <v>1170</v>
      </c>
      <c r="B153" s="184">
        <v>3515000</v>
      </c>
      <c r="C153" s="184">
        <v>3515000</v>
      </c>
      <c r="D153" s="184">
        <v>3515000</v>
      </c>
      <c r="E153" s="184">
        <v>3515000</v>
      </c>
      <c r="F153" s="184">
        <v>3515000</v>
      </c>
      <c r="G153" s="184">
        <v>3515000</v>
      </c>
      <c r="H153" s="184">
        <v>3515000</v>
      </c>
      <c r="I153" s="184">
        <v>3515000</v>
      </c>
      <c r="J153" s="184">
        <v>3515000</v>
      </c>
      <c r="K153" s="184">
        <v>3515000</v>
      </c>
      <c r="L153" s="184">
        <v>3515000</v>
      </c>
      <c r="M153" s="184">
        <v>3515000</v>
      </c>
      <c r="N153" s="184">
        <v>3515000</v>
      </c>
      <c r="O153" s="1751">
        <f t="shared" ref="O153:O155" si="9">AVERAGE(B153:N153)</f>
        <v>3515000</v>
      </c>
      <c r="P153" s="97"/>
    </row>
    <row r="154" spans="1:16">
      <c r="A154" t="s">
        <v>1171</v>
      </c>
      <c r="B154" s="184">
        <v>89000</v>
      </c>
      <c r="C154" s="184">
        <v>89000</v>
      </c>
      <c r="D154" s="184">
        <v>89000</v>
      </c>
      <c r="E154" s="184">
        <v>89000</v>
      </c>
      <c r="F154" s="184">
        <v>89000</v>
      </c>
      <c r="G154" s="184">
        <v>89000</v>
      </c>
      <c r="H154" s="184">
        <v>89000</v>
      </c>
      <c r="I154" s="184">
        <v>89000</v>
      </c>
      <c r="J154" s="184">
        <v>89000</v>
      </c>
      <c r="K154" s="184">
        <v>89000</v>
      </c>
      <c r="L154" s="184">
        <v>89000</v>
      </c>
      <c r="M154" s="184">
        <v>89000</v>
      </c>
      <c r="N154" s="184">
        <v>89000</v>
      </c>
      <c r="O154" s="1751">
        <f t="shared" si="9"/>
        <v>89000</v>
      </c>
      <c r="P154" s="97"/>
    </row>
    <row r="155" spans="1:16">
      <c r="A155" t="s">
        <v>1172</v>
      </c>
      <c r="B155" s="184">
        <v>269000</v>
      </c>
      <c r="C155" s="184">
        <v>269000</v>
      </c>
      <c r="D155" s="184">
        <v>269000</v>
      </c>
      <c r="E155" s="184">
        <v>269000</v>
      </c>
      <c r="F155" s="184">
        <v>269000</v>
      </c>
      <c r="G155" s="184">
        <v>269000</v>
      </c>
      <c r="H155" s="184">
        <v>269000</v>
      </c>
      <c r="I155" s="184">
        <v>269000</v>
      </c>
      <c r="J155" s="184">
        <v>269000</v>
      </c>
      <c r="K155" s="184">
        <v>269000</v>
      </c>
      <c r="L155" s="184">
        <v>269000</v>
      </c>
      <c r="M155" s="184">
        <v>269000</v>
      </c>
      <c r="N155" s="184">
        <v>269000</v>
      </c>
      <c r="O155" s="1751">
        <f t="shared" si="9"/>
        <v>269000</v>
      </c>
      <c r="P155" s="97"/>
    </row>
    <row r="156" spans="1:16">
      <c r="A156" s="1335" t="s">
        <v>1152</v>
      </c>
      <c r="B156" s="1821">
        <f t="shared" ref="B156:O156" si="10">SUM(B153:B155)</f>
        <v>3873000</v>
      </c>
      <c r="C156" s="1821">
        <f t="shared" si="10"/>
        <v>3873000</v>
      </c>
      <c r="D156" s="1821">
        <f t="shared" si="10"/>
        <v>3873000</v>
      </c>
      <c r="E156" s="1821">
        <f t="shared" si="10"/>
        <v>3873000</v>
      </c>
      <c r="F156" s="1821">
        <f t="shared" si="10"/>
        <v>3873000</v>
      </c>
      <c r="G156" s="1821">
        <f t="shared" si="10"/>
        <v>3873000</v>
      </c>
      <c r="H156" s="1821">
        <f t="shared" si="10"/>
        <v>3873000</v>
      </c>
      <c r="I156" s="1821">
        <f t="shared" si="10"/>
        <v>3873000</v>
      </c>
      <c r="J156" s="1821">
        <f t="shared" si="10"/>
        <v>3873000</v>
      </c>
      <c r="K156" s="1821">
        <f t="shared" si="10"/>
        <v>3873000</v>
      </c>
      <c r="L156" s="1821">
        <f t="shared" si="10"/>
        <v>3873000</v>
      </c>
      <c r="M156" s="1821">
        <f t="shared" si="10"/>
        <v>3873000</v>
      </c>
      <c r="N156" s="1821">
        <f t="shared" si="10"/>
        <v>3873000</v>
      </c>
      <c r="O156" s="1821">
        <f t="shared" si="10"/>
        <v>3873000</v>
      </c>
      <c r="P156" s="97"/>
    </row>
    <row r="157" spans="1:16">
      <c r="A157" s="183"/>
      <c r="B157" s="1813"/>
      <c r="C157" s="1813"/>
      <c r="D157" s="1813"/>
      <c r="E157" s="1813"/>
      <c r="F157" s="1813"/>
      <c r="G157" s="1813"/>
      <c r="H157" s="1813"/>
      <c r="I157" s="1813"/>
      <c r="J157" s="1813"/>
      <c r="K157" s="1813"/>
      <c r="L157" s="1813"/>
      <c r="M157" s="1813"/>
      <c r="N157" s="1813"/>
      <c r="O157" s="1751"/>
      <c r="P157" s="97"/>
    </row>
    <row r="158" spans="1:16">
      <c r="A158" s="820"/>
      <c r="B158" s="820"/>
      <c r="C158" s="820"/>
      <c r="D158" s="820"/>
      <c r="E158" s="820"/>
      <c r="F158" s="820"/>
      <c r="G158" s="820"/>
      <c r="H158" s="820"/>
      <c r="I158" s="820"/>
      <c r="J158" s="820"/>
      <c r="K158" s="820"/>
      <c r="L158" s="820"/>
      <c r="M158" s="820"/>
      <c r="N158" s="1535"/>
      <c r="O158" s="1336"/>
      <c r="P158" s="97"/>
    </row>
    <row r="159" spans="1:16" ht="15.75">
      <c r="A159" s="775" t="s">
        <v>1132</v>
      </c>
      <c r="B159" s="1801">
        <f t="shared" ref="B159:N159" si="11">B151+B50</f>
        <v>1483616000</v>
      </c>
      <c r="C159" s="1801">
        <f t="shared" si="11"/>
        <v>1480116000</v>
      </c>
      <c r="D159" s="1801">
        <f t="shared" si="11"/>
        <v>1479992000</v>
      </c>
      <c r="E159" s="1801">
        <f t="shared" si="11"/>
        <v>1482909000</v>
      </c>
      <c r="F159" s="1801">
        <f t="shared" si="11"/>
        <v>1484632000</v>
      </c>
      <c r="G159" s="1801">
        <f t="shared" si="11"/>
        <v>1486839000</v>
      </c>
      <c r="H159" s="1801">
        <f t="shared" si="11"/>
        <v>1488221000</v>
      </c>
      <c r="I159" s="1801">
        <f t="shared" si="11"/>
        <v>1489471000</v>
      </c>
      <c r="J159" s="1801">
        <f t="shared" si="11"/>
        <v>1489513000</v>
      </c>
      <c r="K159" s="1801">
        <f t="shared" si="11"/>
        <v>1489747000</v>
      </c>
      <c r="L159" s="1801">
        <f t="shared" si="11"/>
        <v>1490496000</v>
      </c>
      <c r="M159" s="1801">
        <f t="shared" si="11"/>
        <v>1492704000</v>
      </c>
      <c r="N159" s="1801">
        <f t="shared" si="11"/>
        <v>1502837000</v>
      </c>
      <c r="O159" s="1801">
        <f>AVERAGE(B159:N159)</f>
        <v>1487776384.6153846</v>
      </c>
      <c r="P159" s="97"/>
    </row>
    <row r="160" spans="1:16" ht="15.75">
      <c r="A160" s="775" t="s">
        <v>1133</v>
      </c>
      <c r="B160" s="1801">
        <f t="shared" ref="B160:N160" si="12">B156+B65</f>
        <v>98383000</v>
      </c>
      <c r="C160" s="1801">
        <f t="shared" si="12"/>
        <v>100200000</v>
      </c>
      <c r="D160" s="1801">
        <f t="shared" si="12"/>
        <v>100200000</v>
      </c>
      <c r="E160" s="1801">
        <f t="shared" si="12"/>
        <v>100200000</v>
      </c>
      <c r="F160" s="1801">
        <f t="shared" si="12"/>
        <v>100200000</v>
      </c>
      <c r="G160" s="1801">
        <f t="shared" si="12"/>
        <v>100200000</v>
      </c>
      <c r="H160" s="1801">
        <f t="shared" si="12"/>
        <v>100200000</v>
      </c>
      <c r="I160" s="1801">
        <f t="shared" si="12"/>
        <v>100200000</v>
      </c>
      <c r="J160" s="1801">
        <f t="shared" si="12"/>
        <v>100200000</v>
      </c>
      <c r="K160" s="1801">
        <f t="shared" si="12"/>
        <v>100200000</v>
      </c>
      <c r="L160" s="1801">
        <f t="shared" si="12"/>
        <v>100200000</v>
      </c>
      <c r="M160" s="1801">
        <f t="shared" si="12"/>
        <v>100200000</v>
      </c>
      <c r="N160" s="1801">
        <f t="shared" si="12"/>
        <v>101013000</v>
      </c>
      <c r="O160" s="1801">
        <f>AVERAGE(B160:N160)</f>
        <v>100122769.23076923</v>
      </c>
      <c r="P160" s="97"/>
    </row>
    <row r="161" spans="1:16" ht="15.75">
      <c r="A161" s="775" t="s">
        <v>1134</v>
      </c>
      <c r="B161" s="1801">
        <f t="shared" ref="B161:N161" si="13">B75</f>
        <v>94979000</v>
      </c>
      <c r="C161" s="1801">
        <f t="shared" si="13"/>
        <v>94798000</v>
      </c>
      <c r="D161" s="1801">
        <f t="shared" si="13"/>
        <v>94798000</v>
      </c>
      <c r="E161" s="1801">
        <f t="shared" si="13"/>
        <v>94798000</v>
      </c>
      <c r="F161" s="1801">
        <f t="shared" si="13"/>
        <v>94798000</v>
      </c>
      <c r="G161" s="1801">
        <f t="shared" si="13"/>
        <v>94798000</v>
      </c>
      <c r="H161" s="1801">
        <f t="shared" si="13"/>
        <v>94798000</v>
      </c>
      <c r="I161" s="1801">
        <f t="shared" si="13"/>
        <v>94798000</v>
      </c>
      <c r="J161" s="1801">
        <f t="shared" si="13"/>
        <v>94798000</v>
      </c>
      <c r="K161" s="1801">
        <f t="shared" si="13"/>
        <v>94798000</v>
      </c>
      <c r="L161" s="1801">
        <f t="shared" si="13"/>
        <v>94798000</v>
      </c>
      <c r="M161" s="1801">
        <f t="shared" si="13"/>
        <v>94798000</v>
      </c>
      <c r="N161" s="1801">
        <f t="shared" si="13"/>
        <v>94798000</v>
      </c>
      <c r="O161" s="1801">
        <f>AVERAGE(B161:N161)</f>
        <v>94811923.076923072</v>
      </c>
      <c r="P161" s="97"/>
    </row>
    <row r="162" spans="1:16" ht="15.75">
      <c r="A162" s="180" t="s">
        <v>1173</v>
      </c>
      <c r="B162" s="1835">
        <f t="shared" ref="B162:N162" si="14">B52</f>
        <v>2580000</v>
      </c>
      <c r="C162" s="1835">
        <f t="shared" si="14"/>
        <v>4796000</v>
      </c>
      <c r="D162" s="1835">
        <f t="shared" si="14"/>
        <v>4796000</v>
      </c>
      <c r="E162" s="1835">
        <f t="shared" si="14"/>
        <v>2587000</v>
      </c>
      <c r="F162" s="1835">
        <f t="shared" si="14"/>
        <v>2587000</v>
      </c>
      <c r="G162" s="1835">
        <f t="shared" si="14"/>
        <v>2587000</v>
      </c>
      <c r="H162" s="1835">
        <f t="shared" si="14"/>
        <v>2587000</v>
      </c>
      <c r="I162" s="1835">
        <f t="shared" si="14"/>
        <v>2587000</v>
      </c>
      <c r="J162" s="1835">
        <f t="shared" si="14"/>
        <v>2587000</v>
      </c>
      <c r="K162" s="1835">
        <f t="shared" si="14"/>
        <v>2587000</v>
      </c>
      <c r="L162" s="1835">
        <f t="shared" si="14"/>
        <v>2587000</v>
      </c>
      <c r="M162" s="1835">
        <f t="shared" si="14"/>
        <v>2587000</v>
      </c>
      <c r="N162" s="1835">
        <f t="shared" si="14"/>
        <v>3234000</v>
      </c>
      <c r="O162" s="1801">
        <f>AVERAGE(B162:N162)</f>
        <v>2976076.923076923</v>
      </c>
      <c r="P162" s="97"/>
    </row>
    <row r="163" spans="1:16">
      <c r="A163" s="775" t="s">
        <v>1135</v>
      </c>
      <c r="B163" s="837">
        <f>SUM(B159:B162)</f>
        <v>1679558000</v>
      </c>
      <c r="C163" s="837">
        <f t="shared" ref="C163:M163" si="15">SUM(C159:C162)</f>
        <v>1679910000</v>
      </c>
      <c r="D163" s="837">
        <f t="shared" si="15"/>
        <v>1679786000</v>
      </c>
      <c r="E163" s="837">
        <f t="shared" si="15"/>
        <v>1680494000</v>
      </c>
      <c r="F163" s="837">
        <f t="shared" si="15"/>
        <v>1682217000</v>
      </c>
      <c r="G163" s="837">
        <f t="shared" si="15"/>
        <v>1684424000</v>
      </c>
      <c r="H163" s="837">
        <f t="shared" si="15"/>
        <v>1685806000</v>
      </c>
      <c r="I163" s="837">
        <f t="shared" si="15"/>
        <v>1687056000</v>
      </c>
      <c r="J163" s="837">
        <f t="shared" si="15"/>
        <v>1687098000</v>
      </c>
      <c r="K163" s="837">
        <f t="shared" si="15"/>
        <v>1687332000</v>
      </c>
      <c r="L163" s="837">
        <f t="shared" si="15"/>
        <v>1688081000</v>
      </c>
      <c r="M163" s="837">
        <f t="shared" si="15"/>
        <v>1690289000</v>
      </c>
      <c r="N163" s="837">
        <f>SUM(N159:N162)</f>
        <v>1701882000</v>
      </c>
      <c r="O163" s="837">
        <f>SUM(O159:O162)</f>
        <v>1685687153.8461537</v>
      </c>
      <c r="P163" s="97"/>
    </row>
    <row r="164" spans="1:16">
      <c r="A164" s="820"/>
      <c r="B164" s="820"/>
      <c r="C164" s="820"/>
      <c r="D164" s="820"/>
      <c r="E164" s="820"/>
      <c r="F164" s="820"/>
      <c r="G164" s="820"/>
      <c r="H164" s="820"/>
      <c r="I164" s="820"/>
      <c r="J164" s="820"/>
      <c r="K164" s="820"/>
      <c r="L164" s="820"/>
      <c r="M164" s="820"/>
      <c r="N164" s="97"/>
      <c r="O164" s="97"/>
      <c r="P164" s="97"/>
    </row>
    <row r="165" spans="1:16">
      <c r="A165" s="1799" t="s">
        <v>1136</v>
      </c>
      <c r="B165" s="820"/>
      <c r="C165" s="820"/>
      <c r="D165" s="820"/>
      <c r="E165" s="820"/>
      <c r="F165" s="820"/>
      <c r="G165" s="820"/>
      <c r="H165" s="820"/>
      <c r="I165" s="820"/>
      <c r="J165" s="820"/>
      <c r="K165" s="820"/>
      <c r="L165" s="820"/>
      <c r="M165" s="820"/>
      <c r="N165" s="97"/>
      <c r="O165" s="1800" t="s">
        <v>1137</v>
      </c>
      <c r="P165" s="97"/>
    </row>
    <row r="166" spans="1:16">
      <c r="A166" s="1799"/>
      <c r="B166" s="820"/>
      <c r="C166" s="820"/>
      <c r="D166" s="820"/>
      <c r="E166" s="820"/>
      <c r="F166" s="820"/>
      <c r="G166" s="820"/>
      <c r="H166" s="820"/>
      <c r="I166" s="820"/>
      <c r="J166" s="820"/>
      <c r="K166" s="820"/>
      <c r="L166" s="820"/>
      <c r="M166" s="820"/>
      <c r="N166" s="97"/>
      <c r="O166" s="1800"/>
      <c r="P166" s="97"/>
    </row>
    <row r="167" spans="1:16">
      <c r="A167" s="820"/>
      <c r="B167" s="820"/>
      <c r="C167" s="820"/>
      <c r="D167" s="820"/>
      <c r="E167" s="820"/>
      <c r="F167" s="820"/>
      <c r="G167" s="820"/>
      <c r="H167" s="820"/>
      <c r="I167" s="820"/>
      <c r="J167" s="820"/>
      <c r="K167" s="820"/>
      <c r="L167" s="820"/>
      <c r="M167" s="820"/>
      <c r="N167" s="97"/>
      <c r="O167" s="97"/>
      <c r="P167" s="97"/>
    </row>
    <row r="168" spans="1:16">
      <c r="A168" s="818" t="s">
        <v>1139</v>
      </c>
      <c r="O168" s="821"/>
      <c r="P168" s="97"/>
    </row>
    <row r="169" spans="1:16" ht="15">
      <c r="A169" s="775" t="s">
        <v>538</v>
      </c>
      <c r="B169" s="1434">
        <f t="shared" ref="B169:N169" si="16">B5</f>
        <v>44531</v>
      </c>
      <c r="C169" s="1434">
        <f t="shared" si="16"/>
        <v>44562</v>
      </c>
      <c r="D169" s="1434">
        <f t="shared" si="16"/>
        <v>44593</v>
      </c>
      <c r="E169" s="1434">
        <f t="shared" si="16"/>
        <v>44621</v>
      </c>
      <c r="F169" s="1434">
        <f t="shared" si="16"/>
        <v>44652</v>
      </c>
      <c r="G169" s="1434">
        <f t="shared" si="16"/>
        <v>44682</v>
      </c>
      <c r="H169" s="1434">
        <f t="shared" si="16"/>
        <v>44713</v>
      </c>
      <c r="I169" s="1434">
        <f t="shared" si="16"/>
        <v>44743</v>
      </c>
      <c r="J169" s="1434">
        <f t="shared" si="16"/>
        <v>44774</v>
      </c>
      <c r="K169" s="1434">
        <f t="shared" si="16"/>
        <v>44805</v>
      </c>
      <c r="L169" s="1434">
        <f t="shared" si="16"/>
        <v>44835</v>
      </c>
      <c r="M169" s="1434">
        <f t="shared" si="16"/>
        <v>44866</v>
      </c>
      <c r="N169" s="1434">
        <f t="shared" si="16"/>
        <v>44896</v>
      </c>
      <c r="O169" s="819" t="s">
        <v>79</v>
      </c>
      <c r="P169" s="97"/>
    </row>
    <row r="170" spans="1:16">
      <c r="A170" s="1849" t="s">
        <v>1166</v>
      </c>
      <c r="B170" s="428">
        <v>3629000</v>
      </c>
      <c r="C170" s="428">
        <v>3645000</v>
      </c>
      <c r="D170" s="428">
        <v>3661000</v>
      </c>
      <c r="E170" s="428">
        <v>3676000</v>
      </c>
      <c r="F170" s="428">
        <v>3692000</v>
      </c>
      <c r="G170" s="428">
        <v>3708000</v>
      </c>
      <c r="H170" s="428">
        <v>3723000</v>
      </c>
      <c r="I170" s="428">
        <v>3739000</v>
      </c>
      <c r="J170" s="428">
        <v>3754000</v>
      </c>
      <c r="K170" s="428">
        <v>3770000</v>
      </c>
      <c r="L170" s="428">
        <v>3786000</v>
      </c>
      <c r="M170" s="428">
        <v>3801000</v>
      </c>
      <c r="N170" s="428">
        <v>3817000</v>
      </c>
      <c r="O170" s="184">
        <f t="shared" ref="O170:O213" si="17">AVERAGE(B170:N170)</f>
        <v>3723153.846153846</v>
      </c>
      <c r="P170" s="97"/>
    </row>
    <row r="171" spans="1:16">
      <c r="A171" s="1849" t="s">
        <v>427</v>
      </c>
      <c r="B171" s="428">
        <v>620000</v>
      </c>
      <c r="C171" s="428">
        <v>631000</v>
      </c>
      <c r="D171" s="428">
        <v>642000</v>
      </c>
      <c r="E171" s="428">
        <v>653000</v>
      </c>
      <c r="F171" s="428">
        <v>663000</v>
      </c>
      <c r="G171" s="428">
        <v>674000</v>
      </c>
      <c r="H171" s="428">
        <v>685000</v>
      </c>
      <c r="I171" s="428">
        <v>696000</v>
      </c>
      <c r="J171" s="428">
        <v>706000</v>
      </c>
      <c r="K171" s="428">
        <v>717000</v>
      </c>
      <c r="L171" s="428">
        <v>728000</v>
      </c>
      <c r="M171" s="428">
        <v>739000</v>
      </c>
      <c r="N171" s="428">
        <v>749000</v>
      </c>
      <c r="O171" s="184">
        <f t="shared" si="17"/>
        <v>684846.15384615387</v>
      </c>
      <c r="P171" s="97"/>
    </row>
    <row r="172" spans="1:16">
      <c r="A172" s="1849" t="s">
        <v>487</v>
      </c>
      <c r="B172" s="428">
        <v>9826000</v>
      </c>
      <c r="C172" s="428">
        <v>9844000</v>
      </c>
      <c r="D172" s="428">
        <v>9862000</v>
      </c>
      <c r="E172" s="428">
        <v>9880000</v>
      </c>
      <c r="F172" s="428">
        <v>9898000</v>
      </c>
      <c r="G172" s="428">
        <v>9916000</v>
      </c>
      <c r="H172" s="428">
        <v>9934000</v>
      </c>
      <c r="I172" s="428">
        <v>9952000</v>
      </c>
      <c r="J172" s="428">
        <v>9970000</v>
      </c>
      <c r="K172" s="428">
        <v>9988000</v>
      </c>
      <c r="L172" s="428">
        <v>10005000</v>
      </c>
      <c r="M172" s="428">
        <v>10023000</v>
      </c>
      <c r="N172" s="428">
        <v>10041000</v>
      </c>
      <c r="O172" s="184">
        <f t="shared" si="17"/>
        <v>9933769.2307692301</v>
      </c>
      <c r="P172" s="97"/>
    </row>
    <row r="173" spans="1:16">
      <c r="A173" s="1849" t="s">
        <v>1114</v>
      </c>
      <c r="B173" s="428">
        <v>68000</v>
      </c>
      <c r="C173" s="428">
        <v>68000</v>
      </c>
      <c r="D173" s="428">
        <v>68000</v>
      </c>
      <c r="E173" s="428">
        <v>68000</v>
      </c>
      <c r="F173" s="428">
        <v>69000</v>
      </c>
      <c r="G173" s="428">
        <v>69000</v>
      </c>
      <c r="H173" s="428">
        <v>69000</v>
      </c>
      <c r="I173" s="428">
        <v>69000</v>
      </c>
      <c r="J173" s="428">
        <v>69000</v>
      </c>
      <c r="K173" s="428">
        <v>69000</v>
      </c>
      <c r="L173" s="428">
        <v>69000</v>
      </c>
      <c r="M173" s="428">
        <v>69000</v>
      </c>
      <c r="N173" s="428">
        <v>69000</v>
      </c>
      <c r="O173" s="184">
        <f t="shared" si="17"/>
        <v>68692.307692307688</v>
      </c>
      <c r="P173" s="97"/>
    </row>
    <row r="174" spans="1:16">
      <c r="A174" s="1849" t="s">
        <v>1115</v>
      </c>
      <c r="B174" s="428">
        <v>50000</v>
      </c>
      <c r="C174" s="428">
        <v>50000</v>
      </c>
      <c r="D174" s="428">
        <v>50000</v>
      </c>
      <c r="E174" s="428">
        <v>50000</v>
      </c>
      <c r="F174" s="428">
        <v>50000</v>
      </c>
      <c r="G174" s="428">
        <v>50000</v>
      </c>
      <c r="H174" s="428">
        <v>50000</v>
      </c>
      <c r="I174" s="428">
        <v>50000</v>
      </c>
      <c r="J174" s="428">
        <v>50000</v>
      </c>
      <c r="K174" s="428">
        <v>50000</v>
      </c>
      <c r="L174" s="428">
        <v>50000</v>
      </c>
      <c r="M174" s="428">
        <v>50000</v>
      </c>
      <c r="N174" s="428">
        <v>50000</v>
      </c>
      <c r="O174" s="184">
        <f t="shared" si="17"/>
        <v>50000</v>
      </c>
      <c r="P174" s="97"/>
    </row>
    <row r="175" spans="1:16">
      <c r="A175" s="1849" t="s">
        <v>491</v>
      </c>
      <c r="B175" s="428">
        <v>668000</v>
      </c>
      <c r="C175" s="428">
        <v>674000</v>
      </c>
      <c r="D175" s="428">
        <v>680000</v>
      </c>
      <c r="E175" s="428">
        <v>686000</v>
      </c>
      <c r="F175" s="428">
        <v>691000</v>
      </c>
      <c r="G175" s="428">
        <v>697000</v>
      </c>
      <c r="H175" s="428">
        <v>703000</v>
      </c>
      <c r="I175" s="428">
        <v>709000</v>
      </c>
      <c r="J175" s="428">
        <v>714000</v>
      </c>
      <c r="K175" s="428">
        <v>720000</v>
      </c>
      <c r="L175" s="428">
        <v>726000</v>
      </c>
      <c r="M175" s="428">
        <v>732000</v>
      </c>
      <c r="N175" s="428">
        <v>737000</v>
      </c>
      <c r="O175" s="184">
        <f t="shared" si="17"/>
        <v>702846.15384615387</v>
      </c>
      <c r="P175" s="97"/>
    </row>
    <row r="176" spans="1:16">
      <c r="A176" s="1849" t="s">
        <v>428</v>
      </c>
      <c r="B176" s="428">
        <v>365000</v>
      </c>
      <c r="C176" s="428">
        <v>367000</v>
      </c>
      <c r="D176" s="428">
        <v>370000</v>
      </c>
      <c r="E176" s="428">
        <v>372000</v>
      </c>
      <c r="F176" s="428">
        <v>374000</v>
      </c>
      <c r="G176" s="428">
        <v>377000</v>
      </c>
      <c r="H176" s="428">
        <v>379000</v>
      </c>
      <c r="I176" s="428">
        <v>381000</v>
      </c>
      <c r="J176" s="428">
        <v>384000</v>
      </c>
      <c r="K176" s="428">
        <v>386000</v>
      </c>
      <c r="L176" s="428">
        <v>388000</v>
      </c>
      <c r="M176" s="428">
        <v>391000</v>
      </c>
      <c r="N176" s="428">
        <v>393000</v>
      </c>
      <c r="O176" s="184">
        <f t="shared" si="17"/>
        <v>379000</v>
      </c>
      <c r="P176" s="97"/>
    </row>
    <row r="177" spans="1:16">
      <c r="A177" s="1849" t="s">
        <v>492</v>
      </c>
      <c r="B177" s="428">
        <v>966000</v>
      </c>
      <c r="C177" s="428">
        <v>968000</v>
      </c>
      <c r="D177" s="428">
        <v>970000</v>
      </c>
      <c r="E177" s="428">
        <v>972000</v>
      </c>
      <c r="F177" s="428">
        <v>975000</v>
      </c>
      <c r="G177" s="428">
        <v>977000</v>
      </c>
      <c r="H177" s="428">
        <v>979000</v>
      </c>
      <c r="I177" s="428">
        <v>981000</v>
      </c>
      <c r="J177" s="428">
        <v>983000</v>
      </c>
      <c r="K177" s="428">
        <v>985000</v>
      </c>
      <c r="L177" s="428">
        <v>987000</v>
      </c>
      <c r="M177" s="428">
        <v>989000</v>
      </c>
      <c r="N177" s="428">
        <v>992000</v>
      </c>
      <c r="O177" s="184">
        <f>AVERAGE(B177:N177)</f>
        <v>978769.23076923075</v>
      </c>
      <c r="P177" s="97"/>
    </row>
    <row r="178" spans="1:16">
      <c r="A178" s="1849" t="s">
        <v>1175</v>
      </c>
      <c r="B178" s="428">
        <v>220000</v>
      </c>
      <c r="C178" s="428">
        <v>220000</v>
      </c>
      <c r="D178" s="428">
        <v>220000</v>
      </c>
      <c r="E178" s="428">
        <v>220000</v>
      </c>
      <c r="F178" s="428">
        <v>220000</v>
      </c>
      <c r="G178" s="428">
        <v>220000</v>
      </c>
      <c r="H178" s="428">
        <v>220000</v>
      </c>
      <c r="I178" s="428">
        <v>220000</v>
      </c>
      <c r="J178" s="428">
        <v>220000</v>
      </c>
      <c r="K178" s="428">
        <v>220000</v>
      </c>
      <c r="L178" s="428">
        <v>220000</v>
      </c>
      <c r="M178" s="428">
        <v>220000</v>
      </c>
      <c r="N178" s="428">
        <v>220000</v>
      </c>
      <c r="O178" s="184">
        <v>22334713.636923078</v>
      </c>
      <c r="P178" s="97"/>
    </row>
    <row r="179" spans="1:16">
      <c r="A179" s="126" t="s">
        <v>1116</v>
      </c>
      <c r="B179" s="428">
        <v>1112000</v>
      </c>
      <c r="C179" s="428">
        <v>1119000</v>
      </c>
      <c r="D179" s="428">
        <v>1126000</v>
      </c>
      <c r="E179" s="428">
        <v>1132000</v>
      </c>
      <c r="F179" s="428">
        <v>1139000</v>
      </c>
      <c r="G179" s="428">
        <v>1145000</v>
      </c>
      <c r="H179" s="428">
        <v>1152000</v>
      </c>
      <c r="I179" s="428">
        <v>1159000</v>
      </c>
      <c r="J179" s="428">
        <v>1165000</v>
      </c>
      <c r="K179" s="428">
        <v>1172000</v>
      </c>
      <c r="L179" s="428">
        <v>1178000</v>
      </c>
      <c r="M179" s="428">
        <v>1185000</v>
      </c>
      <c r="N179" s="428">
        <v>1192000</v>
      </c>
      <c r="O179" s="184">
        <f t="shared" si="17"/>
        <v>1152000</v>
      </c>
      <c r="P179" s="97"/>
    </row>
    <row r="180" spans="1:16">
      <c r="A180" s="126" t="s">
        <v>494</v>
      </c>
      <c r="B180" s="428">
        <v>140000</v>
      </c>
      <c r="C180" s="428">
        <v>148000</v>
      </c>
      <c r="D180" s="428">
        <v>156000</v>
      </c>
      <c r="E180" s="428">
        <v>164000</v>
      </c>
      <c r="F180" s="428">
        <v>173000</v>
      </c>
      <c r="G180" s="428">
        <v>181000</v>
      </c>
      <c r="H180" s="428">
        <v>189000</v>
      </c>
      <c r="I180" s="428">
        <v>197000</v>
      </c>
      <c r="J180" s="428">
        <v>205000</v>
      </c>
      <c r="K180" s="428">
        <v>214000</v>
      </c>
      <c r="L180" s="428">
        <v>222000</v>
      </c>
      <c r="M180" s="428">
        <v>230000</v>
      </c>
      <c r="N180" s="428">
        <v>238000</v>
      </c>
      <c r="O180" s="184">
        <f t="shared" si="17"/>
        <v>189000</v>
      </c>
      <c r="P180" s="97"/>
    </row>
    <row r="181" spans="1:16">
      <c r="A181" s="126" t="s">
        <v>495</v>
      </c>
      <c r="B181" s="428">
        <v>25537000</v>
      </c>
      <c r="C181" s="428">
        <v>25754000</v>
      </c>
      <c r="D181" s="428">
        <v>25972000</v>
      </c>
      <c r="E181" s="428">
        <v>26189000</v>
      </c>
      <c r="F181" s="428">
        <v>26406000</v>
      </c>
      <c r="G181" s="428">
        <v>26623000</v>
      </c>
      <c r="H181" s="428">
        <v>26842000</v>
      </c>
      <c r="I181" s="428">
        <v>27060000</v>
      </c>
      <c r="J181" s="428">
        <v>27278000</v>
      </c>
      <c r="K181" s="428">
        <v>27496000</v>
      </c>
      <c r="L181" s="428">
        <v>27715000</v>
      </c>
      <c r="M181" s="428">
        <v>27933000</v>
      </c>
      <c r="N181" s="428">
        <v>28151000</v>
      </c>
      <c r="O181" s="184">
        <f t="shared" si="17"/>
        <v>26842769.230769232</v>
      </c>
      <c r="P181" s="97"/>
    </row>
    <row r="182" spans="1:16">
      <c r="A182" s="126" t="s">
        <v>1074</v>
      </c>
      <c r="B182" s="428">
        <v>90000</v>
      </c>
      <c r="C182" s="428">
        <v>93000</v>
      </c>
      <c r="D182" s="428">
        <v>96000</v>
      </c>
      <c r="E182" s="428">
        <v>99000</v>
      </c>
      <c r="F182" s="428">
        <v>102000</v>
      </c>
      <c r="G182" s="428">
        <v>104000</v>
      </c>
      <c r="H182" s="428">
        <v>107000</v>
      </c>
      <c r="I182" s="428">
        <v>110000</v>
      </c>
      <c r="J182" s="428">
        <v>113000</v>
      </c>
      <c r="K182" s="428">
        <v>116000</v>
      </c>
      <c r="L182" s="428">
        <v>118000</v>
      </c>
      <c r="M182" s="428">
        <v>121000</v>
      </c>
      <c r="N182" s="428">
        <v>124000</v>
      </c>
      <c r="O182" s="184">
        <f t="shared" si="17"/>
        <v>107153.84615384616</v>
      </c>
      <c r="P182" s="97"/>
    </row>
    <row r="183" spans="1:16">
      <c r="A183" s="126" t="s">
        <v>1183</v>
      </c>
      <c r="B183" s="428">
        <v>24533000</v>
      </c>
      <c r="C183" s="428">
        <v>24944000</v>
      </c>
      <c r="D183" s="428">
        <v>25358000</v>
      </c>
      <c r="E183" s="428">
        <v>25773000</v>
      </c>
      <c r="F183" s="428">
        <v>26179000</v>
      </c>
      <c r="G183" s="428">
        <v>26596000</v>
      </c>
      <c r="H183" s="428">
        <v>26974000</v>
      </c>
      <c r="I183" s="428">
        <v>27389000</v>
      </c>
      <c r="J183" s="428">
        <v>27804000</v>
      </c>
      <c r="K183" s="428">
        <v>28224000</v>
      </c>
      <c r="L183" s="428">
        <v>28637000</v>
      </c>
      <c r="M183" s="428">
        <v>29055000</v>
      </c>
      <c r="N183" s="428">
        <v>29476000</v>
      </c>
      <c r="O183" s="184">
        <f t="shared" si="17"/>
        <v>26995538.46153846</v>
      </c>
      <c r="P183" s="97"/>
    </row>
    <row r="184" spans="1:16">
      <c r="A184" s="126" t="s">
        <v>496</v>
      </c>
      <c r="B184" s="428">
        <v>2527000</v>
      </c>
      <c r="C184" s="428">
        <v>2536000</v>
      </c>
      <c r="D184" s="428">
        <v>2545000</v>
      </c>
      <c r="E184" s="428">
        <v>2554000</v>
      </c>
      <c r="F184" s="428">
        <v>2562000</v>
      </c>
      <c r="G184" s="428">
        <v>2571000</v>
      </c>
      <c r="H184" s="428">
        <v>2580000</v>
      </c>
      <c r="I184" s="428">
        <v>2589000</v>
      </c>
      <c r="J184" s="428">
        <v>2598000</v>
      </c>
      <c r="K184" s="428">
        <v>2607000</v>
      </c>
      <c r="L184" s="428">
        <v>2616000</v>
      </c>
      <c r="M184" s="428">
        <v>2625000</v>
      </c>
      <c r="N184" s="428">
        <v>2633000</v>
      </c>
      <c r="O184" s="184">
        <f t="shared" si="17"/>
        <v>2580230.769230769</v>
      </c>
      <c r="P184" s="97"/>
    </row>
    <row r="185" spans="1:16">
      <c r="A185" s="126" t="s">
        <v>1176</v>
      </c>
      <c r="B185" s="428">
        <v>91000</v>
      </c>
      <c r="C185" s="428">
        <v>93000</v>
      </c>
      <c r="D185" s="428">
        <v>94000</v>
      </c>
      <c r="E185" s="428">
        <v>95000</v>
      </c>
      <c r="F185" s="428">
        <v>97000</v>
      </c>
      <c r="G185" s="428">
        <v>98000</v>
      </c>
      <c r="H185" s="428">
        <v>100000</v>
      </c>
      <c r="I185" s="428">
        <v>101000</v>
      </c>
      <c r="J185" s="428">
        <v>102000</v>
      </c>
      <c r="K185" s="428">
        <v>104000</v>
      </c>
      <c r="L185" s="428">
        <v>105000</v>
      </c>
      <c r="M185" s="428">
        <v>106000</v>
      </c>
      <c r="N185" s="428">
        <v>108000</v>
      </c>
      <c r="O185" s="184">
        <f t="shared" si="17"/>
        <v>99538.461538461532</v>
      </c>
      <c r="P185" s="97"/>
    </row>
    <row r="186" spans="1:16">
      <c r="A186" s="126" t="s">
        <v>497</v>
      </c>
      <c r="B186" s="428">
        <v>67141000</v>
      </c>
      <c r="C186" s="428">
        <v>67425000</v>
      </c>
      <c r="D186" s="428">
        <v>67786000</v>
      </c>
      <c r="E186" s="428">
        <v>68138000</v>
      </c>
      <c r="F186" s="428">
        <v>68476000</v>
      </c>
      <c r="G186" s="428">
        <v>68332000</v>
      </c>
      <c r="H186" s="428">
        <v>68656000</v>
      </c>
      <c r="I186" s="428">
        <v>68988000</v>
      </c>
      <c r="J186" s="428">
        <v>69348000</v>
      </c>
      <c r="K186" s="428">
        <v>69708000</v>
      </c>
      <c r="L186" s="428">
        <v>70069000</v>
      </c>
      <c r="M186" s="428">
        <v>70431000</v>
      </c>
      <c r="N186" s="428">
        <v>70792000</v>
      </c>
      <c r="O186" s="184">
        <f t="shared" si="17"/>
        <v>68868461.538461536</v>
      </c>
      <c r="P186" s="97"/>
    </row>
    <row r="187" spans="1:16">
      <c r="A187" s="126" t="s">
        <v>502</v>
      </c>
      <c r="B187" s="428">
        <v>8755000</v>
      </c>
      <c r="C187" s="428">
        <v>8783000</v>
      </c>
      <c r="D187" s="428">
        <v>8811000</v>
      </c>
      <c r="E187" s="428">
        <v>8839000</v>
      </c>
      <c r="F187" s="428">
        <v>8867000</v>
      </c>
      <c r="G187" s="428">
        <v>8896000</v>
      </c>
      <c r="H187" s="428">
        <v>8924000</v>
      </c>
      <c r="I187" s="428">
        <v>8952000</v>
      </c>
      <c r="J187" s="428">
        <v>8980000</v>
      </c>
      <c r="K187" s="428">
        <v>9008000</v>
      </c>
      <c r="L187" s="428">
        <v>9036000</v>
      </c>
      <c r="M187" s="428">
        <v>9064000</v>
      </c>
      <c r="N187" s="428">
        <v>9092000</v>
      </c>
      <c r="O187" s="184">
        <f t="shared" si="17"/>
        <v>8923615.384615384</v>
      </c>
      <c r="P187" s="97"/>
    </row>
    <row r="188" spans="1:16">
      <c r="A188" s="126" t="s">
        <v>503</v>
      </c>
      <c r="B188" s="428">
        <v>2331000</v>
      </c>
      <c r="C188" s="428">
        <v>2337000</v>
      </c>
      <c r="D188" s="428">
        <v>2343000</v>
      </c>
      <c r="E188" s="428">
        <v>2349000</v>
      </c>
      <c r="F188" s="428">
        <v>2355000</v>
      </c>
      <c r="G188" s="428">
        <v>2361000</v>
      </c>
      <c r="H188" s="428">
        <v>2367000</v>
      </c>
      <c r="I188" s="428">
        <v>2373000</v>
      </c>
      <c r="J188" s="428">
        <v>2379000</v>
      </c>
      <c r="K188" s="428">
        <v>2385000</v>
      </c>
      <c r="L188" s="428">
        <v>2391000</v>
      </c>
      <c r="M188" s="428">
        <v>2397000</v>
      </c>
      <c r="N188" s="428">
        <v>2403000</v>
      </c>
      <c r="O188" s="184">
        <f t="shared" si="17"/>
        <v>2367000</v>
      </c>
      <c r="P188" s="97"/>
    </row>
    <row r="189" spans="1:16">
      <c r="A189" s="126" t="s">
        <v>498</v>
      </c>
      <c r="B189" s="428">
        <v>1011000</v>
      </c>
      <c r="C189" s="428">
        <v>1012000</v>
      </c>
      <c r="D189" s="428">
        <v>1014000</v>
      </c>
      <c r="E189" s="428">
        <v>1015000</v>
      </c>
      <c r="F189" s="428">
        <v>1017000</v>
      </c>
      <c r="G189" s="428">
        <v>1018000</v>
      </c>
      <c r="H189" s="428">
        <v>1019000</v>
      </c>
      <c r="I189" s="428">
        <v>1021000</v>
      </c>
      <c r="J189" s="428">
        <v>1022000</v>
      </c>
      <c r="K189" s="428">
        <v>1024000</v>
      </c>
      <c r="L189" s="428">
        <v>1025000</v>
      </c>
      <c r="M189" s="428">
        <v>1026000</v>
      </c>
      <c r="N189" s="428">
        <v>1028000</v>
      </c>
      <c r="O189" s="184">
        <f t="shared" si="17"/>
        <v>1019384.6153846154</v>
      </c>
      <c r="P189" s="97"/>
    </row>
    <row r="190" spans="1:16">
      <c r="A190" s="126" t="s">
        <v>504</v>
      </c>
      <c r="B190" s="428">
        <v>36921012.25499586</v>
      </c>
      <c r="C190" s="428">
        <v>37768000</v>
      </c>
      <c r="D190" s="428">
        <v>37995000</v>
      </c>
      <c r="E190" s="428">
        <v>38233000</v>
      </c>
      <c r="F190" s="428">
        <v>38465000</v>
      </c>
      <c r="G190" s="428">
        <v>38652000</v>
      </c>
      <c r="H190" s="428">
        <v>38882000</v>
      </c>
      <c r="I190" s="428">
        <v>39112000</v>
      </c>
      <c r="J190" s="428">
        <v>39342000</v>
      </c>
      <c r="K190" s="428">
        <v>39573000</v>
      </c>
      <c r="L190" s="428">
        <v>39803000</v>
      </c>
      <c r="M190" s="428">
        <v>39895000</v>
      </c>
      <c r="N190" s="428">
        <v>40130000</v>
      </c>
      <c r="O190" s="184">
        <f t="shared" si="17"/>
        <v>38828539.404230446</v>
      </c>
      <c r="P190" s="97"/>
    </row>
    <row r="191" spans="1:16">
      <c r="A191" s="126" t="s">
        <v>1177</v>
      </c>
      <c r="B191" s="428">
        <v>323000</v>
      </c>
      <c r="C191" s="428">
        <v>323000</v>
      </c>
      <c r="D191" s="428">
        <v>323000</v>
      </c>
      <c r="E191" s="428">
        <v>323000</v>
      </c>
      <c r="F191" s="428">
        <v>323000</v>
      </c>
      <c r="G191" s="428">
        <v>323000</v>
      </c>
      <c r="H191" s="428">
        <v>323000</v>
      </c>
      <c r="I191" s="428">
        <v>323000</v>
      </c>
      <c r="J191" s="428">
        <v>323000</v>
      </c>
      <c r="K191" s="428">
        <v>323000</v>
      </c>
      <c r="L191" s="428">
        <v>323000</v>
      </c>
      <c r="M191" s="428">
        <v>323000</v>
      </c>
      <c r="N191" s="428">
        <v>323000</v>
      </c>
      <c r="O191" s="184">
        <f t="shared" si="17"/>
        <v>323000</v>
      </c>
      <c r="P191" s="97"/>
    </row>
    <row r="192" spans="1:16">
      <c r="A192" s="126" t="s">
        <v>506</v>
      </c>
      <c r="B192" s="428">
        <v>2480000</v>
      </c>
      <c r="C192" s="428">
        <v>2489000</v>
      </c>
      <c r="D192" s="428">
        <v>2498000</v>
      </c>
      <c r="E192" s="428">
        <v>2506000</v>
      </c>
      <c r="F192" s="428">
        <v>2515000</v>
      </c>
      <c r="G192" s="428">
        <v>2524000</v>
      </c>
      <c r="H192" s="428">
        <v>2533000</v>
      </c>
      <c r="I192" s="428">
        <v>2542000</v>
      </c>
      <c r="J192" s="428">
        <v>2551000</v>
      </c>
      <c r="K192" s="428">
        <v>2560000</v>
      </c>
      <c r="L192" s="428">
        <v>2569000</v>
      </c>
      <c r="M192" s="428">
        <v>2578000</v>
      </c>
      <c r="N192" s="428">
        <v>2587000</v>
      </c>
      <c r="O192" s="184">
        <f t="shared" si="17"/>
        <v>2533230.769230769</v>
      </c>
      <c r="P192" s="97"/>
    </row>
    <row r="193" spans="1:16">
      <c r="A193" s="126" t="s">
        <v>507</v>
      </c>
      <c r="B193" s="428">
        <v>2218000</v>
      </c>
      <c r="C193" s="1813">
        <v>2422000</v>
      </c>
      <c r="D193" s="428">
        <v>2436000</v>
      </c>
      <c r="E193" s="428">
        <v>2449000</v>
      </c>
      <c r="F193" s="428">
        <v>2463000</v>
      </c>
      <c r="G193" s="428">
        <v>2477000</v>
      </c>
      <c r="H193" s="428">
        <v>2491000</v>
      </c>
      <c r="I193" s="428">
        <v>2505000</v>
      </c>
      <c r="J193" s="428">
        <v>2519000</v>
      </c>
      <c r="K193" s="428">
        <v>2532000</v>
      </c>
      <c r="L193" s="428">
        <v>2546000</v>
      </c>
      <c r="M193" s="428">
        <v>2560000</v>
      </c>
      <c r="N193" s="428">
        <v>2574000</v>
      </c>
      <c r="O193" s="184">
        <f>AVERAGE(B193:N193)</f>
        <v>2476307.6923076925</v>
      </c>
      <c r="P193" s="97"/>
    </row>
    <row r="194" spans="1:16">
      <c r="A194" s="126" t="s">
        <v>1156</v>
      </c>
      <c r="B194" s="428">
        <v>21379000</v>
      </c>
      <c r="C194" s="1813">
        <v>21776000</v>
      </c>
      <c r="D194" s="428">
        <v>22174000</v>
      </c>
      <c r="E194" s="428">
        <v>22575000</v>
      </c>
      <c r="F194" s="428">
        <v>22595000</v>
      </c>
      <c r="G194" s="428">
        <v>22654000</v>
      </c>
      <c r="H194" s="428">
        <v>23059000</v>
      </c>
      <c r="I194" s="428">
        <v>23364000</v>
      </c>
      <c r="J194" s="428">
        <v>23788000</v>
      </c>
      <c r="K194" s="428">
        <v>24080000</v>
      </c>
      <c r="L194" s="428">
        <v>24505000</v>
      </c>
      <c r="M194" s="428">
        <v>24938000</v>
      </c>
      <c r="N194" s="428">
        <v>25365000</v>
      </c>
      <c r="O194" s="184">
        <f t="shared" ref="O194:O207" si="18">AVERAGE(B194:N194)</f>
        <v>23250153.846153848</v>
      </c>
      <c r="P194" s="97"/>
    </row>
    <row r="195" spans="1:16">
      <c r="A195" s="126" t="s">
        <v>1157</v>
      </c>
      <c r="B195" s="428">
        <v>68518325.004924119</v>
      </c>
      <c r="C195" s="1813">
        <v>68645000</v>
      </c>
      <c r="D195" s="428">
        <v>68936000</v>
      </c>
      <c r="E195" s="428">
        <v>69392000</v>
      </c>
      <c r="F195" s="428">
        <v>69277000</v>
      </c>
      <c r="G195" s="428">
        <v>68911000</v>
      </c>
      <c r="H195" s="428">
        <v>69025000</v>
      </c>
      <c r="I195" s="428">
        <v>69102000</v>
      </c>
      <c r="J195" s="428">
        <v>69455000</v>
      </c>
      <c r="K195" s="428">
        <v>69688000</v>
      </c>
      <c r="L195" s="428">
        <v>70170000</v>
      </c>
      <c r="M195" s="428">
        <v>70639000</v>
      </c>
      <c r="N195" s="428">
        <v>71093000</v>
      </c>
      <c r="O195" s="184">
        <f t="shared" si="18"/>
        <v>69450101.9234557</v>
      </c>
      <c r="P195" s="97"/>
    </row>
    <row r="196" spans="1:16">
      <c r="A196" s="126" t="s">
        <v>1118</v>
      </c>
      <c r="B196" s="428">
        <v>2747000</v>
      </c>
      <c r="C196" s="1813">
        <v>2768000</v>
      </c>
      <c r="D196" s="428">
        <v>2789000</v>
      </c>
      <c r="E196" s="428">
        <v>2810000</v>
      </c>
      <c r="F196" s="428">
        <v>2831000</v>
      </c>
      <c r="G196" s="428">
        <v>2852000</v>
      </c>
      <c r="H196" s="428">
        <v>2873000</v>
      </c>
      <c r="I196" s="428">
        <v>2894000</v>
      </c>
      <c r="J196" s="428">
        <v>2914000</v>
      </c>
      <c r="K196" s="428">
        <v>2935000</v>
      </c>
      <c r="L196" s="428">
        <v>2956000</v>
      </c>
      <c r="M196" s="428">
        <v>2977000</v>
      </c>
      <c r="N196" s="428">
        <v>2998000</v>
      </c>
      <c r="O196" s="184">
        <f t="shared" si="18"/>
        <v>2872615.3846153845</v>
      </c>
      <c r="P196" s="97"/>
    </row>
    <row r="197" spans="1:16">
      <c r="A197" s="126" t="s">
        <v>1119</v>
      </c>
      <c r="B197" s="428">
        <v>227000</v>
      </c>
      <c r="C197" s="1813">
        <v>227000</v>
      </c>
      <c r="D197" s="428">
        <v>228000</v>
      </c>
      <c r="E197" s="428">
        <v>228000</v>
      </c>
      <c r="F197" s="428">
        <v>229000</v>
      </c>
      <c r="G197" s="428">
        <v>230000</v>
      </c>
      <c r="H197" s="428">
        <v>230000</v>
      </c>
      <c r="I197" s="428">
        <v>231000</v>
      </c>
      <c r="J197" s="428">
        <v>232000</v>
      </c>
      <c r="K197" s="428">
        <v>232000</v>
      </c>
      <c r="L197" s="428">
        <v>233000</v>
      </c>
      <c r="M197" s="428">
        <v>233000</v>
      </c>
      <c r="N197" s="428">
        <v>234000</v>
      </c>
      <c r="O197" s="184">
        <f t="shared" si="18"/>
        <v>230307.69230769231</v>
      </c>
      <c r="P197" s="97"/>
    </row>
    <row r="198" spans="1:16">
      <c r="A198" s="126" t="s">
        <v>511</v>
      </c>
      <c r="B198" s="428">
        <v>6962000</v>
      </c>
      <c r="C198" s="1813">
        <v>6975000</v>
      </c>
      <c r="D198" s="428">
        <v>6989000</v>
      </c>
      <c r="E198" s="428">
        <v>7003000</v>
      </c>
      <c r="F198" s="428">
        <v>7016000</v>
      </c>
      <c r="G198" s="428">
        <v>7030000</v>
      </c>
      <c r="H198" s="428">
        <v>7044000</v>
      </c>
      <c r="I198" s="428">
        <v>7057000</v>
      </c>
      <c r="J198" s="428">
        <v>7071000</v>
      </c>
      <c r="K198" s="428">
        <v>7085000</v>
      </c>
      <c r="L198" s="428">
        <v>7098000</v>
      </c>
      <c r="M198" s="428">
        <v>7112000</v>
      </c>
      <c r="N198" s="428">
        <v>7126000</v>
      </c>
      <c r="O198" s="184">
        <f t="shared" si="18"/>
        <v>7043692.307692308</v>
      </c>
      <c r="P198" s="97"/>
    </row>
    <row r="199" spans="1:16">
      <c r="A199" s="126" t="s">
        <v>1120</v>
      </c>
      <c r="B199" s="428">
        <v>88000</v>
      </c>
      <c r="C199" s="1813">
        <v>88000</v>
      </c>
      <c r="D199" s="428">
        <v>89000</v>
      </c>
      <c r="E199" s="428">
        <v>89000</v>
      </c>
      <c r="F199" s="428">
        <v>90000</v>
      </c>
      <c r="G199" s="428">
        <v>91000</v>
      </c>
      <c r="H199" s="428">
        <v>91000</v>
      </c>
      <c r="I199" s="428">
        <v>92000</v>
      </c>
      <c r="J199" s="428">
        <v>92000</v>
      </c>
      <c r="K199" s="428">
        <v>93000</v>
      </c>
      <c r="L199" s="428">
        <v>94000</v>
      </c>
      <c r="M199" s="428">
        <v>94000</v>
      </c>
      <c r="N199" s="428">
        <v>95000</v>
      </c>
      <c r="O199" s="184">
        <f t="shared" si="18"/>
        <v>91230.769230769234</v>
      </c>
      <c r="P199" s="97"/>
    </row>
    <row r="200" spans="1:16">
      <c r="A200" s="126" t="s">
        <v>512</v>
      </c>
      <c r="B200" s="428">
        <v>2048000</v>
      </c>
      <c r="C200" s="1813">
        <v>2054000</v>
      </c>
      <c r="D200" s="428">
        <v>2059000</v>
      </c>
      <c r="E200" s="428">
        <v>2065000</v>
      </c>
      <c r="F200" s="428">
        <v>2071000</v>
      </c>
      <c r="G200" s="428">
        <v>2076000</v>
      </c>
      <c r="H200" s="428">
        <v>2082000</v>
      </c>
      <c r="I200" s="428">
        <v>2087000</v>
      </c>
      <c r="J200" s="428">
        <v>2093000</v>
      </c>
      <c r="K200" s="428">
        <v>2098000</v>
      </c>
      <c r="L200" s="428">
        <v>2104000</v>
      </c>
      <c r="M200" s="428">
        <v>2110000</v>
      </c>
      <c r="N200" s="428">
        <v>2115000</v>
      </c>
      <c r="O200" s="184">
        <f t="shared" si="18"/>
        <v>2081692.3076923077</v>
      </c>
      <c r="P200" s="97"/>
    </row>
    <row r="201" spans="1:16">
      <c r="A201" s="126" t="s">
        <v>513</v>
      </c>
      <c r="B201" s="428">
        <v>27433000</v>
      </c>
      <c r="C201" s="1813">
        <v>27509000</v>
      </c>
      <c r="D201" s="428">
        <v>27583000</v>
      </c>
      <c r="E201" s="428">
        <v>27658000</v>
      </c>
      <c r="F201" s="428">
        <v>27735000</v>
      </c>
      <c r="G201" s="428">
        <v>27736000</v>
      </c>
      <c r="H201" s="428">
        <v>27812000</v>
      </c>
      <c r="I201" s="428">
        <v>27872000</v>
      </c>
      <c r="J201" s="428">
        <v>27949000</v>
      </c>
      <c r="K201" s="428">
        <v>28025000</v>
      </c>
      <c r="L201" s="428">
        <v>28101000</v>
      </c>
      <c r="M201" s="428">
        <v>28177000</v>
      </c>
      <c r="N201" s="428">
        <v>28253000</v>
      </c>
      <c r="O201" s="184">
        <f t="shared" si="18"/>
        <v>27834076.923076924</v>
      </c>
      <c r="P201" s="97"/>
    </row>
    <row r="202" spans="1:16">
      <c r="A202" s="126" t="s">
        <v>532</v>
      </c>
      <c r="B202" s="428">
        <v>4960000</v>
      </c>
      <c r="C202" s="1813">
        <v>5034000</v>
      </c>
      <c r="D202" s="428">
        <v>5108000</v>
      </c>
      <c r="E202" s="428">
        <v>5183000</v>
      </c>
      <c r="F202" s="428">
        <v>5258000</v>
      </c>
      <c r="G202" s="428">
        <v>5312000</v>
      </c>
      <c r="H202" s="428">
        <v>5388000</v>
      </c>
      <c r="I202" s="428">
        <v>5464000</v>
      </c>
      <c r="J202" s="428">
        <v>5541000</v>
      </c>
      <c r="K202" s="428">
        <v>5617000</v>
      </c>
      <c r="L202" s="428">
        <v>5694000</v>
      </c>
      <c r="M202" s="428">
        <v>5772000</v>
      </c>
      <c r="N202" s="428">
        <v>5850000</v>
      </c>
      <c r="O202" s="184">
        <f t="shared" si="18"/>
        <v>5398538.461538462</v>
      </c>
      <c r="P202" s="97"/>
    </row>
    <row r="203" spans="1:16">
      <c r="A203" s="126" t="s">
        <v>531</v>
      </c>
      <c r="B203" s="428">
        <v>1435000</v>
      </c>
      <c r="C203" s="1813">
        <v>1442000</v>
      </c>
      <c r="D203" s="428">
        <v>1448000</v>
      </c>
      <c r="E203" s="428">
        <v>1455000</v>
      </c>
      <c r="F203" s="428">
        <v>1462000</v>
      </c>
      <c r="G203" s="428">
        <v>1468000</v>
      </c>
      <c r="H203" s="428">
        <v>1475000</v>
      </c>
      <c r="I203" s="428">
        <v>1482000</v>
      </c>
      <c r="J203" s="428">
        <v>1488000</v>
      </c>
      <c r="K203" s="428">
        <v>1495000</v>
      </c>
      <c r="L203" s="428">
        <v>1502000</v>
      </c>
      <c r="M203" s="428">
        <v>1508000</v>
      </c>
      <c r="N203" s="428">
        <v>1515000</v>
      </c>
      <c r="O203" s="184">
        <f t="shared" si="18"/>
        <v>1475000</v>
      </c>
      <c r="P203" s="97"/>
    </row>
    <row r="204" spans="1:16">
      <c r="A204" s="126" t="s">
        <v>429</v>
      </c>
      <c r="B204" s="428">
        <v>714000</v>
      </c>
      <c r="C204" s="1813">
        <v>715000</v>
      </c>
      <c r="D204" s="428">
        <v>716000</v>
      </c>
      <c r="E204" s="428">
        <v>717000</v>
      </c>
      <c r="F204" s="428">
        <v>717000</v>
      </c>
      <c r="G204" s="428">
        <v>718000</v>
      </c>
      <c r="H204" s="428">
        <v>719000</v>
      </c>
      <c r="I204" s="428">
        <v>720000</v>
      </c>
      <c r="J204" s="428">
        <v>720000</v>
      </c>
      <c r="K204" s="428">
        <v>721000</v>
      </c>
      <c r="L204" s="428">
        <v>722000</v>
      </c>
      <c r="M204" s="428">
        <v>723000</v>
      </c>
      <c r="N204" s="428">
        <v>723000</v>
      </c>
      <c r="O204" s="184">
        <f t="shared" si="18"/>
        <v>718846.15384615387</v>
      </c>
      <c r="P204" s="97"/>
    </row>
    <row r="205" spans="1:16">
      <c r="A205" s="126" t="s">
        <v>1121</v>
      </c>
      <c r="B205" s="428">
        <v>76344641.217353135</v>
      </c>
      <c r="C205" s="1813">
        <v>77338000</v>
      </c>
      <c r="D205" s="428">
        <v>77467000</v>
      </c>
      <c r="E205" s="428">
        <v>77605000</v>
      </c>
      <c r="F205" s="428">
        <v>77692000</v>
      </c>
      <c r="G205" s="428">
        <v>77630000</v>
      </c>
      <c r="H205" s="428">
        <v>77733000</v>
      </c>
      <c r="I205" s="428">
        <v>77805000</v>
      </c>
      <c r="J205" s="428">
        <v>77942000</v>
      </c>
      <c r="K205" s="428">
        <v>77989000</v>
      </c>
      <c r="L205" s="428">
        <v>78126000</v>
      </c>
      <c r="M205" s="428">
        <v>78263000</v>
      </c>
      <c r="N205" s="428">
        <v>78401000</v>
      </c>
      <c r="O205" s="184">
        <f t="shared" si="18"/>
        <v>77718126.247488707</v>
      </c>
      <c r="P205" s="97"/>
    </row>
    <row r="206" spans="1:16">
      <c r="A206" s="126" t="s">
        <v>1122</v>
      </c>
      <c r="B206" s="428">
        <v>467000</v>
      </c>
      <c r="C206" s="1813">
        <v>468000</v>
      </c>
      <c r="D206" s="428">
        <v>470000</v>
      </c>
      <c r="E206" s="428">
        <v>471000</v>
      </c>
      <c r="F206" s="428">
        <v>473000</v>
      </c>
      <c r="G206" s="428">
        <v>474000</v>
      </c>
      <c r="H206" s="428">
        <v>476000</v>
      </c>
      <c r="I206" s="428">
        <v>477000</v>
      </c>
      <c r="J206" s="428">
        <v>479000</v>
      </c>
      <c r="K206" s="428">
        <v>480000</v>
      </c>
      <c r="L206" s="428">
        <v>482000</v>
      </c>
      <c r="M206" s="428">
        <v>483000</v>
      </c>
      <c r="N206" s="428">
        <v>485000</v>
      </c>
      <c r="O206" s="184">
        <f t="shared" si="18"/>
        <v>475769.23076923075</v>
      </c>
      <c r="P206" s="97"/>
    </row>
    <row r="207" spans="1:16">
      <c r="A207" s="1849" t="s">
        <v>514</v>
      </c>
      <c r="B207" s="428">
        <v>2729000</v>
      </c>
      <c r="C207" s="428">
        <v>2731000</v>
      </c>
      <c r="D207" s="428">
        <v>2733000</v>
      </c>
      <c r="E207" s="428">
        <v>2735000</v>
      </c>
      <c r="F207" s="428">
        <v>2736000</v>
      </c>
      <c r="G207" s="428">
        <v>2738000</v>
      </c>
      <c r="H207" s="428">
        <v>2740000</v>
      </c>
      <c r="I207" s="428">
        <v>2742000</v>
      </c>
      <c r="J207" s="428">
        <v>2744000</v>
      </c>
      <c r="K207" s="428">
        <v>2746000</v>
      </c>
      <c r="L207" s="428">
        <v>2747000</v>
      </c>
      <c r="M207" s="428">
        <v>2749000</v>
      </c>
      <c r="N207" s="428">
        <v>2751000</v>
      </c>
      <c r="O207" s="184">
        <f t="shared" si="18"/>
        <v>2740076.923076923</v>
      </c>
      <c r="P207" s="97"/>
    </row>
    <row r="208" spans="1:16">
      <c r="A208" s="1849" t="s">
        <v>533</v>
      </c>
      <c r="B208" s="428">
        <v>141000</v>
      </c>
      <c r="C208" s="428">
        <v>142000</v>
      </c>
      <c r="D208" s="428">
        <v>143000</v>
      </c>
      <c r="E208" s="428">
        <v>144000</v>
      </c>
      <c r="F208" s="428">
        <v>145000</v>
      </c>
      <c r="G208" s="428">
        <v>146000</v>
      </c>
      <c r="H208" s="428">
        <v>147000</v>
      </c>
      <c r="I208" s="428">
        <v>148000</v>
      </c>
      <c r="J208" s="428">
        <v>149000</v>
      </c>
      <c r="K208" s="428">
        <v>150000</v>
      </c>
      <c r="L208" s="428">
        <v>151000</v>
      </c>
      <c r="M208" s="428">
        <v>152000</v>
      </c>
      <c r="N208" s="428">
        <v>153000</v>
      </c>
      <c r="O208" s="184">
        <f>AVERAGE(B208:N208)</f>
        <v>147000</v>
      </c>
      <c r="P208" s="97"/>
    </row>
    <row r="209" spans="1:16">
      <c r="A209" s="1849" t="s">
        <v>537</v>
      </c>
      <c r="B209" s="428">
        <v>340000</v>
      </c>
      <c r="C209" s="428">
        <v>340000</v>
      </c>
      <c r="D209" s="428">
        <v>341000</v>
      </c>
      <c r="E209" s="428">
        <v>342000</v>
      </c>
      <c r="F209" s="428">
        <v>343000</v>
      </c>
      <c r="G209" s="428">
        <v>343000</v>
      </c>
      <c r="H209" s="428">
        <v>344000</v>
      </c>
      <c r="I209" s="428">
        <v>345000</v>
      </c>
      <c r="J209" s="428">
        <v>346000</v>
      </c>
      <c r="K209" s="428">
        <v>347000</v>
      </c>
      <c r="L209" s="428">
        <v>347000</v>
      </c>
      <c r="M209" s="428">
        <v>348000</v>
      </c>
      <c r="N209" s="428">
        <v>349000</v>
      </c>
      <c r="O209" s="184">
        <f>AVERAGE(B209:N209)</f>
        <v>344230.76923076925</v>
      </c>
      <c r="P209" s="97"/>
    </row>
    <row r="210" spans="1:16">
      <c r="A210" s="1947"/>
      <c r="B210" s="428"/>
      <c r="C210" s="428"/>
      <c r="D210" s="428"/>
      <c r="E210" s="428"/>
      <c r="F210" s="428"/>
      <c r="G210" s="428"/>
      <c r="H210" s="428"/>
      <c r="I210" s="428"/>
      <c r="J210" s="428"/>
      <c r="K210" s="428"/>
      <c r="L210" s="428"/>
      <c r="M210" s="428"/>
      <c r="N210" s="428"/>
      <c r="O210" s="184"/>
      <c r="P210" s="97"/>
    </row>
    <row r="211" spans="1:16">
      <c r="A211" s="1335" t="s">
        <v>1149</v>
      </c>
      <c r="B211" s="1821">
        <f t="shared" ref="B211:N211" si="19">SUM(B170:B209)</f>
        <v>408154978.47727311</v>
      </c>
      <c r="C211" s="1821">
        <f t="shared" si="19"/>
        <v>411965000</v>
      </c>
      <c r="D211" s="1821">
        <f t="shared" si="19"/>
        <v>414349000</v>
      </c>
      <c r="E211" s="1821">
        <f t="shared" si="19"/>
        <v>416907000</v>
      </c>
      <c r="F211" s="1821">
        <f t="shared" si="19"/>
        <v>418441000</v>
      </c>
      <c r="G211" s="1821">
        <f t="shared" si="19"/>
        <v>418998000</v>
      </c>
      <c r="H211" s="1821">
        <f t="shared" si="19"/>
        <v>421119000</v>
      </c>
      <c r="I211" s="1821">
        <f t="shared" si="19"/>
        <v>423100000</v>
      </c>
      <c r="J211" s="1821">
        <f t="shared" si="19"/>
        <v>425582000</v>
      </c>
      <c r="K211" s="1821">
        <f t="shared" si="19"/>
        <v>427732000</v>
      </c>
      <c r="L211" s="1821">
        <f t="shared" si="19"/>
        <v>430344000</v>
      </c>
      <c r="M211" s="1821">
        <f t="shared" si="19"/>
        <v>432821000</v>
      </c>
      <c r="N211" s="1821">
        <f t="shared" si="19"/>
        <v>435425000</v>
      </c>
      <c r="O211" s="837">
        <f t="shared" si="17"/>
        <v>421918306.0367133</v>
      </c>
      <c r="P211" s="97"/>
    </row>
    <row r="212" spans="1:16">
      <c r="O212" s="635"/>
      <c r="P212" s="97"/>
    </row>
    <row r="213" spans="1:16">
      <c r="A213" s="1836" t="s">
        <v>1174</v>
      </c>
      <c r="B213" s="837">
        <v>486000</v>
      </c>
      <c r="C213" s="837">
        <v>495000</v>
      </c>
      <c r="D213" s="837">
        <v>504000</v>
      </c>
      <c r="E213" s="837">
        <v>511000</v>
      </c>
      <c r="F213" s="837">
        <v>515000</v>
      </c>
      <c r="G213" s="837">
        <v>520000</v>
      </c>
      <c r="H213" s="837">
        <v>524000</v>
      </c>
      <c r="I213" s="837">
        <v>528000</v>
      </c>
      <c r="J213" s="837">
        <v>533000</v>
      </c>
      <c r="K213" s="837">
        <v>537000</v>
      </c>
      <c r="L213" s="837">
        <v>542000</v>
      </c>
      <c r="M213" s="837">
        <v>546000</v>
      </c>
      <c r="N213" s="837">
        <v>551000</v>
      </c>
      <c r="O213" s="837">
        <f t="shared" si="17"/>
        <v>522461.53846153844</v>
      </c>
      <c r="P213" s="97"/>
    </row>
    <row r="214" spans="1:16">
      <c r="A214" s="97"/>
      <c r="B214" s="1816"/>
      <c r="C214" s="1816"/>
      <c r="D214" s="1816"/>
      <c r="E214" s="1816"/>
      <c r="F214" s="1816"/>
      <c r="G214" s="1816"/>
      <c r="H214" s="1816"/>
      <c r="I214" s="1816"/>
      <c r="J214" s="1816"/>
      <c r="K214" s="1816"/>
      <c r="L214" s="1816"/>
      <c r="M214" s="1816"/>
      <c r="N214" s="1816"/>
      <c r="O214" s="2"/>
      <c r="P214" s="97"/>
    </row>
    <row r="215" spans="1:16">
      <c r="A215" s="1849" t="s">
        <v>1178</v>
      </c>
      <c r="B215" s="428">
        <v>535000</v>
      </c>
      <c r="C215" s="428">
        <v>536000</v>
      </c>
      <c r="D215" s="428">
        <v>537000</v>
      </c>
      <c r="E215" s="428">
        <v>537000</v>
      </c>
      <c r="F215" s="428">
        <v>538000</v>
      </c>
      <c r="G215" s="428">
        <v>538000</v>
      </c>
      <c r="H215" s="428">
        <v>539000</v>
      </c>
      <c r="I215" s="428">
        <v>540000</v>
      </c>
      <c r="J215" s="428">
        <v>540000</v>
      </c>
      <c r="K215" s="428">
        <v>541000</v>
      </c>
      <c r="L215" s="428">
        <v>542000</v>
      </c>
      <c r="M215" s="428">
        <v>542000</v>
      </c>
      <c r="N215" s="428">
        <v>543000</v>
      </c>
      <c r="O215" s="1751">
        <f t="shared" ref="O215:O233" si="20">AVERAGE(B215:N215)</f>
        <v>539076.92307692312</v>
      </c>
      <c r="P215" s="97"/>
    </row>
    <row r="216" spans="1:16">
      <c r="A216" s="1849" t="s">
        <v>1179</v>
      </c>
      <c r="B216" s="428">
        <v>829000</v>
      </c>
      <c r="C216" s="428">
        <v>830000</v>
      </c>
      <c r="D216" s="428">
        <v>831000</v>
      </c>
      <c r="E216" s="428">
        <v>832000</v>
      </c>
      <c r="F216" s="428">
        <v>833000</v>
      </c>
      <c r="G216" s="428">
        <v>834000</v>
      </c>
      <c r="H216" s="428">
        <v>835000</v>
      </c>
      <c r="I216" s="428">
        <v>836000</v>
      </c>
      <c r="J216" s="428">
        <v>837000</v>
      </c>
      <c r="K216" s="428">
        <v>838000</v>
      </c>
      <c r="L216" s="428">
        <v>839000</v>
      </c>
      <c r="M216" s="428">
        <v>840000</v>
      </c>
      <c r="N216" s="428">
        <v>841000</v>
      </c>
      <c r="O216" s="1751">
        <f t="shared" si="20"/>
        <v>835000</v>
      </c>
      <c r="P216" s="97"/>
    </row>
    <row r="217" spans="1:16">
      <c r="A217" s="1849" t="s">
        <v>490</v>
      </c>
      <c r="B217" s="428">
        <v>315000</v>
      </c>
      <c r="C217" s="428">
        <v>315000</v>
      </c>
      <c r="D217" s="428">
        <v>316000</v>
      </c>
      <c r="E217" s="428">
        <v>316000</v>
      </c>
      <c r="F217" s="428">
        <v>317000</v>
      </c>
      <c r="G217" s="428">
        <v>317000</v>
      </c>
      <c r="H217" s="428">
        <v>318000</v>
      </c>
      <c r="I217" s="428">
        <v>318000</v>
      </c>
      <c r="J217" s="428">
        <v>319000</v>
      </c>
      <c r="K217" s="428">
        <v>319000</v>
      </c>
      <c r="L217" s="428">
        <v>320000</v>
      </c>
      <c r="M217" s="428">
        <v>321000</v>
      </c>
      <c r="N217" s="428">
        <v>321000</v>
      </c>
      <c r="O217" s="1751">
        <f t="shared" si="20"/>
        <v>317846.15384615387</v>
      </c>
      <c r="P217" s="97"/>
    </row>
    <row r="218" spans="1:16">
      <c r="A218" s="1849" t="s">
        <v>1150</v>
      </c>
      <c r="B218" s="428">
        <v>13189000</v>
      </c>
      <c r="C218" s="428">
        <v>13237000</v>
      </c>
      <c r="D218" s="428">
        <v>13287000</v>
      </c>
      <c r="E218" s="428">
        <v>13337000</v>
      </c>
      <c r="F218" s="428">
        <v>13387000</v>
      </c>
      <c r="G218" s="428">
        <v>13437000</v>
      </c>
      <c r="H218" s="428">
        <v>13487000</v>
      </c>
      <c r="I218" s="428">
        <v>13537000</v>
      </c>
      <c r="J218" s="428">
        <v>13587000</v>
      </c>
      <c r="K218" s="428">
        <v>13637000</v>
      </c>
      <c r="L218" s="428">
        <v>13687000</v>
      </c>
      <c r="M218" s="428">
        <v>13737000</v>
      </c>
      <c r="N218" s="428">
        <v>13788000</v>
      </c>
      <c r="O218" s="1751">
        <f t="shared" si="20"/>
        <v>13487230.76923077</v>
      </c>
      <c r="P218" s="97"/>
    </row>
    <row r="219" spans="1:16">
      <c r="A219" s="1849" t="s">
        <v>500</v>
      </c>
      <c r="B219" s="428">
        <v>11546000</v>
      </c>
      <c r="C219" s="428">
        <v>11561000</v>
      </c>
      <c r="D219" s="428">
        <v>11576000</v>
      </c>
      <c r="E219" s="428">
        <v>11591000</v>
      </c>
      <c r="F219" s="428">
        <v>11606000</v>
      </c>
      <c r="G219" s="428">
        <v>11621000</v>
      </c>
      <c r="H219" s="428">
        <v>11636000</v>
      </c>
      <c r="I219" s="428">
        <v>11651000</v>
      </c>
      <c r="J219" s="428">
        <v>11666000</v>
      </c>
      <c r="K219" s="428">
        <v>11681000</v>
      </c>
      <c r="L219" s="428">
        <v>11697000</v>
      </c>
      <c r="M219" s="428">
        <v>11712000</v>
      </c>
      <c r="N219" s="428">
        <v>11727000</v>
      </c>
      <c r="O219" s="1751">
        <f t="shared" si="20"/>
        <v>11636230.76923077</v>
      </c>
      <c r="P219" s="97"/>
    </row>
    <row r="220" spans="1:16">
      <c r="A220" s="1849" t="s">
        <v>501</v>
      </c>
      <c r="B220" s="428">
        <v>16164000</v>
      </c>
      <c r="C220" s="428">
        <v>16185000</v>
      </c>
      <c r="D220" s="428">
        <v>16207000</v>
      </c>
      <c r="E220" s="428">
        <v>16228000</v>
      </c>
      <c r="F220" s="428">
        <v>16249000</v>
      </c>
      <c r="G220" s="428">
        <v>16271000</v>
      </c>
      <c r="H220" s="428">
        <v>16292000</v>
      </c>
      <c r="I220" s="428">
        <v>16314000</v>
      </c>
      <c r="J220" s="428">
        <v>16335000</v>
      </c>
      <c r="K220" s="428">
        <v>16357000</v>
      </c>
      <c r="L220" s="428">
        <v>16378000</v>
      </c>
      <c r="M220" s="428">
        <v>16400000</v>
      </c>
      <c r="N220" s="428">
        <v>16421000</v>
      </c>
      <c r="O220" s="1751">
        <f t="shared" si="20"/>
        <v>16292384.615384616</v>
      </c>
      <c r="P220" s="97"/>
    </row>
    <row r="221" spans="1:16">
      <c r="A221" s="1849" t="s">
        <v>509</v>
      </c>
      <c r="B221" s="428">
        <v>11498000</v>
      </c>
      <c r="C221" s="428">
        <v>11512000</v>
      </c>
      <c r="D221" s="428">
        <v>11526000</v>
      </c>
      <c r="E221" s="428">
        <v>11540000</v>
      </c>
      <c r="F221" s="428">
        <v>11554000</v>
      </c>
      <c r="G221" s="428">
        <v>11567000</v>
      </c>
      <c r="H221" s="428">
        <v>11581000</v>
      </c>
      <c r="I221" s="428">
        <v>11595000</v>
      </c>
      <c r="J221" s="428">
        <v>11609000</v>
      </c>
      <c r="K221" s="428">
        <v>11623000</v>
      </c>
      <c r="L221" s="428">
        <v>11637000</v>
      </c>
      <c r="M221" s="428">
        <v>11651000</v>
      </c>
      <c r="N221" s="428">
        <v>11665000</v>
      </c>
      <c r="O221" s="1751">
        <f t="shared" si="20"/>
        <v>11581384.615384616</v>
      </c>
      <c r="P221" s="97"/>
    </row>
    <row r="222" spans="1:16">
      <c r="A222" s="1849" t="s">
        <v>510</v>
      </c>
      <c r="B222" s="428">
        <v>17306000</v>
      </c>
      <c r="C222" s="428">
        <v>17328000</v>
      </c>
      <c r="D222" s="428">
        <v>17349000</v>
      </c>
      <c r="E222" s="428">
        <v>17370000</v>
      </c>
      <c r="F222" s="428">
        <v>17391000</v>
      </c>
      <c r="G222" s="428">
        <v>17412000</v>
      </c>
      <c r="H222" s="428">
        <v>17434000</v>
      </c>
      <c r="I222" s="428">
        <v>17455000</v>
      </c>
      <c r="J222" s="428">
        <v>17476000</v>
      </c>
      <c r="K222" s="428">
        <v>17497000</v>
      </c>
      <c r="L222" s="428">
        <v>17518000</v>
      </c>
      <c r="M222" s="428">
        <v>17540000</v>
      </c>
      <c r="N222" s="428">
        <v>17561000</v>
      </c>
      <c r="O222" s="1751">
        <f t="shared" si="20"/>
        <v>17433615.384615384</v>
      </c>
      <c r="P222" s="97"/>
    </row>
    <row r="223" spans="1:16">
      <c r="A223" s="1849" t="s">
        <v>535</v>
      </c>
      <c r="B223" s="428">
        <v>86000</v>
      </c>
      <c r="C223" s="428">
        <v>86000</v>
      </c>
      <c r="D223" s="428">
        <v>86000</v>
      </c>
      <c r="E223" s="428">
        <v>87000</v>
      </c>
      <c r="F223" s="428">
        <v>87000</v>
      </c>
      <c r="G223" s="428">
        <v>87000</v>
      </c>
      <c r="H223" s="428">
        <v>87000</v>
      </c>
      <c r="I223" s="428">
        <v>87000</v>
      </c>
      <c r="J223" s="428">
        <v>87000</v>
      </c>
      <c r="K223" s="428">
        <v>87000</v>
      </c>
      <c r="L223" s="428">
        <v>88000</v>
      </c>
      <c r="M223" s="428">
        <v>88000</v>
      </c>
      <c r="N223" s="428">
        <v>88000</v>
      </c>
      <c r="O223" s="1751">
        <f t="shared" si="20"/>
        <v>87000</v>
      </c>
      <c r="P223" s="97"/>
    </row>
    <row r="224" spans="1:16">
      <c r="A224" s="1849" t="s">
        <v>536</v>
      </c>
      <c r="B224" s="428">
        <v>248000</v>
      </c>
      <c r="C224" s="428">
        <v>249000</v>
      </c>
      <c r="D224" s="428">
        <v>249000</v>
      </c>
      <c r="E224" s="428">
        <v>249000</v>
      </c>
      <c r="F224" s="428">
        <v>250000</v>
      </c>
      <c r="G224" s="428">
        <v>250000</v>
      </c>
      <c r="H224" s="428">
        <v>251000</v>
      </c>
      <c r="I224" s="428">
        <v>251000</v>
      </c>
      <c r="J224" s="428">
        <v>251000</v>
      </c>
      <c r="K224" s="428">
        <v>252000</v>
      </c>
      <c r="L224" s="428">
        <v>252000</v>
      </c>
      <c r="M224" s="428">
        <v>252000</v>
      </c>
      <c r="N224" s="428">
        <v>253000</v>
      </c>
      <c r="O224" s="1751">
        <f>AVERAGE(B224:N224)</f>
        <v>250538.46153846153</v>
      </c>
      <c r="P224" s="97"/>
    </row>
    <row r="225" spans="1:16">
      <c r="A225" s="1335" t="s">
        <v>1124</v>
      </c>
      <c r="B225" s="1817">
        <f t="shared" ref="B225:M225" si="21">SUM(B215:B224)</f>
        <v>71716000</v>
      </c>
      <c r="C225" s="1817">
        <f t="shared" si="21"/>
        <v>71839000</v>
      </c>
      <c r="D225" s="1817">
        <f t="shared" si="21"/>
        <v>71964000</v>
      </c>
      <c r="E225" s="1817">
        <f t="shared" si="21"/>
        <v>72087000</v>
      </c>
      <c r="F225" s="1817">
        <f t="shared" si="21"/>
        <v>72212000</v>
      </c>
      <c r="G225" s="1817">
        <f t="shared" si="21"/>
        <v>72334000</v>
      </c>
      <c r="H225" s="1817">
        <f t="shared" si="21"/>
        <v>72460000</v>
      </c>
      <c r="I225" s="1817">
        <f t="shared" si="21"/>
        <v>72584000</v>
      </c>
      <c r="J225" s="1817">
        <f t="shared" si="21"/>
        <v>72707000</v>
      </c>
      <c r="K225" s="1817">
        <f t="shared" si="21"/>
        <v>72832000</v>
      </c>
      <c r="L225" s="1817">
        <f t="shared" si="21"/>
        <v>72958000</v>
      </c>
      <c r="M225" s="1817">
        <f t="shared" si="21"/>
        <v>73083000</v>
      </c>
      <c r="N225" s="1817">
        <f>SUM(N215:N224)</f>
        <v>73208000</v>
      </c>
      <c r="O225" s="837">
        <f t="shared" si="20"/>
        <v>72460307.692307696</v>
      </c>
      <c r="P225" s="97"/>
    </row>
    <row r="226" spans="1:16">
      <c r="A226" s="97"/>
      <c r="B226" s="1816"/>
      <c r="C226" s="1816"/>
      <c r="D226" s="1816"/>
      <c r="E226" s="1816"/>
      <c r="F226" s="1816"/>
      <c r="G226" s="1816"/>
      <c r="H226" s="1816"/>
      <c r="I226" s="1816"/>
      <c r="J226" s="1816"/>
      <c r="K226" s="1816"/>
      <c r="L226" s="1816"/>
      <c r="M226" s="1816"/>
      <c r="N226" s="1816"/>
    </row>
    <row r="227" spans="1:16">
      <c r="A227" s="97"/>
      <c r="B227" s="1816"/>
      <c r="C227" s="1816"/>
      <c r="D227" s="1816"/>
      <c r="E227" s="1816"/>
      <c r="F227" s="1816"/>
      <c r="G227" s="1816"/>
      <c r="H227" s="1816"/>
      <c r="I227" s="1816"/>
      <c r="J227" s="1816"/>
      <c r="K227" s="1816"/>
      <c r="L227" s="1816"/>
      <c r="M227" s="1816"/>
      <c r="N227" s="1816"/>
      <c r="O227" s="1751"/>
    </row>
    <row r="228" spans="1:16">
      <c r="A228" s="1849" t="s">
        <v>534</v>
      </c>
      <c r="B228" s="428">
        <v>633000</v>
      </c>
      <c r="C228" s="428">
        <v>634000</v>
      </c>
      <c r="D228" s="428">
        <v>636000</v>
      </c>
      <c r="E228" s="428">
        <v>637000</v>
      </c>
      <c r="F228" s="428">
        <v>639000</v>
      </c>
      <c r="G228" s="428">
        <v>641000</v>
      </c>
      <c r="H228" s="428">
        <v>642000</v>
      </c>
      <c r="I228" s="428">
        <v>644000</v>
      </c>
      <c r="J228" s="428">
        <v>645000</v>
      </c>
      <c r="K228" s="428">
        <v>647000</v>
      </c>
      <c r="L228" s="428">
        <v>649000</v>
      </c>
      <c r="M228" s="428">
        <v>650000</v>
      </c>
      <c r="N228" s="428">
        <v>652000</v>
      </c>
      <c r="O228" s="1751">
        <f t="shared" si="20"/>
        <v>642230.76923076925</v>
      </c>
    </row>
    <row r="229" spans="1:16">
      <c r="A229" s="1849" t="s">
        <v>489</v>
      </c>
      <c r="B229" s="428">
        <v>21736000</v>
      </c>
      <c r="C229" s="428">
        <v>21819000</v>
      </c>
      <c r="D229" s="428">
        <v>21903000</v>
      </c>
      <c r="E229" s="428">
        <v>21986000</v>
      </c>
      <c r="F229" s="428">
        <v>22069000</v>
      </c>
      <c r="G229" s="428">
        <v>22152000</v>
      </c>
      <c r="H229" s="428">
        <v>22235000</v>
      </c>
      <c r="I229" s="428">
        <v>22319000</v>
      </c>
      <c r="J229" s="428">
        <v>22402000</v>
      </c>
      <c r="K229" s="428">
        <v>22485000</v>
      </c>
      <c r="L229" s="428">
        <v>22568000</v>
      </c>
      <c r="M229" s="428">
        <v>22651000</v>
      </c>
      <c r="N229" s="428">
        <v>22735000</v>
      </c>
      <c r="O229" s="1751">
        <f t="shared" si="20"/>
        <v>22235384.615384616</v>
      </c>
    </row>
    <row r="230" spans="1:16">
      <c r="A230" s="1849" t="s">
        <v>493</v>
      </c>
      <c r="B230" s="428">
        <v>11124000</v>
      </c>
      <c r="C230" s="428">
        <v>11148000</v>
      </c>
      <c r="D230" s="428">
        <v>11172000</v>
      </c>
      <c r="E230" s="428">
        <v>11196000</v>
      </c>
      <c r="F230" s="428">
        <v>11220000</v>
      </c>
      <c r="G230" s="428">
        <v>11244000</v>
      </c>
      <c r="H230" s="428">
        <v>11268000</v>
      </c>
      <c r="I230" s="428">
        <v>11292000</v>
      </c>
      <c r="J230" s="428">
        <v>11316000</v>
      </c>
      <c r="K230" s="428">
        <v>11339000</v>
      </c>
      <c r="L230" s="428">
        <v>11363000</v>
      </c>
      <c r="M230" s="428">
        <v>11387000</v>
      </c>
      <c r="N230" s="428">
        <v>11411000</v>
      </c>
      <c r="O230" s="1751">
        <f t="shared" si="20"/>
        <v>11267692.307692308</v>
      </c>
    </row>
    <row r="231" spans="1:16">
      <c r="A231" s="1849" t="s">
        <v>499</v>
      </c>
      <c r="B231" s="428">
        <v>141000</v>
      </c>
      <c r="C231" s="428">
        <v>142000</v>
      </c>
      <c r="D231" s="428">
        <v>142000</v>
      </c>
      <c r="E231" s="428">
        <v>143000</v>
      </c>
      <c r="F231" s="428">
        <v>143000</v>
      </c>
      <c r="G231" s="428">
        <v>144000</v>
      </c>
      <c r="H231" s="428">
        <v>144000</v>
      </c>
      <c r="I231" s="428">
        <v>145000</v>
      </c>
      <c r="J231" s="428">
        <v>145000</v>
      </c>
      <c r="K231" s="428">
        <v>146000</v>
      </c>
      <c r="L231" s="428">
        <v>146000</v>
      </c>
      <c r="M231" s="428">
        <v>147000</v>
      </c>
      <c r="N231" s="428">
        <v>147000</v>
      </c>
      <c r="O231" s="1751">
        <f t="shared" si="20"/>
        <v>144230.76923076922</v>
      </c>
    </row>
    <row r="232" spans="1:16">
      <c r="A232" s="1849" t="s">
        <v>508</v>
      </c>
      <c r="B232" s="428">
        <v>14857000</v>
      </c>
      <c r="C232" s="428">
        <v>14883000</v>
      </c>
      <c r="D232" s="428">
        <v>14910000</v>
      </c>
      <c r="E232" s="428">
        <v>14937000</v>
      </c>
      <c r="F232" s="428">
        <v>14963000</v>
      </c>
      <c r="G232" s="428">
        <v>14990000</v>
      </c>
      <c r="H232" s="428">
        <v>15016000</v>
      </c>
      <c r="I232" s="428">
        <v>15043000</v>
      </c>
      <c r="J232" s="428">
        <v>15069000</v>
      </c>
      <c r="K232" s="428">
        <v>15096000</v>
      </c>
      <c r="L232" s="428">
        <v>15122000</v>
      </c>
      <c r="M232" s="428">
        <v>15149000</v>
      </c>
      <c r="N232" s="428">
        <v>15176000</v>
      </c>
      <c r="O232" s="1751">
        <f t="shared" si="20"/>
        <v>15016230.76923077</v>
      </c>
    </row>
    <row r="233" spans="1:16">
      <c r="A233" s="1849" t="s">
        <v>505</v>
      </c>
      <c r="B233" s="428">
        <v>38000</v>
      </c>
      <c r="C233" s="428">
        <v>38000</v>
      </c>
      <c r="D233" s="428">
        <v>39000</v>
      </c>
      <c r="E233" s="428">
        <v>40000</v>
      </c>
      <c r="F233" s="428">
        <v>41000</v>
      </c>
      <c r="G233" s="428">
        <v>41000</v>
      </c>
      <c r="H233" s="428">
        <v>42000</v>
      </c>
      <c r="I233" s="428">
        <v>43000</v>
      </c>
      <c r="J233" s="428">
        <v>44000</v>
      </c>
      <c r="K233" s="428">
        <v>44000</v>
      </c>
      <c r="L233" s="428">
        <v>45000</v>
      </c>
      <c r="M233" s="428">
        <v>46000</v>
      </c>
      <c r="N233" s="428">
        <v>47000</v>
      </c>
      <c r="O233" s="1751">
        <f t="shared" si="20"/>
        <v>42153.846153846156</v>
      </c>
    </row>
    <row r="234" spans="1:16">
      <c r="A234" s="1335" t="s">
        <v>1140</v>
      </c>
      <c r="B234" s="837">
        <f>SUM(B228:B233)</f>
        <v>48529000</v>
      </c>
      <c r="C234" s="837">
        <f t="shared" ref="C234:O234" si="22">SUM(C228:C233)</f>
        <v>48664000</v>
      </c>
      <c r="D234" s="837">
        <f t="shared" si="22"/>
        <v>48802000</v>
      </c>
      <c r="E234" s="837">
        <f t="shared" si="22"/>
        <v>48939000</v>
      </c>
      <c r="F234" s="837">
        <f t="shared" si="22"/>
        <v>49075000</v>
      </c>
      <c r="G234" s="837">
        <f t="shared" si="22"/>
        <v>49212000</v>
      </c>
      <c r="H234" s="837">
        <f t="shared" si="22"/>
        <v>49347000</v>
      </c>
      <c r="I234" s="837">
        <f t="shared" si="22"/>
        <v>49486000</v>
      </c>
      <c r="J234" s="837">
        <f t="shared" si="22"/>
        <v>49621000</v>
      </c>
      <c r="K234" s="837">
        <f t="shared" si="22"/>
        <v>49757000</v>
      </c>
      <c r="L234" s="837">
        <f t="shared" si="22"/>
        <v>49893000</v>
      </c>
      <c r="M234" s="837">
        <f t="shared" si="22"/>
        <v>50030000</v>
      </c>
      <c r="N234" s="837">
        <f>SUM(N228:N233)</f>
        <v>50168000</v>
      </c>
      <c r="O234" s="837">
        <f t="shared" si="22"/>
        <v>49347923.07692308</v>
      </c>
    </row>
    <row r="235" spans="1:16">
      <c r="A235" s="2"/>
      <c r="B235" s="2"/>
      <c r="C235" s="2"/>
      <c r="D235" s="2"/>
      <c r="E235" s="2"/>
      <c r="F235" s="2"/>
      <c r="G235" s="2"/>
      <c r="H235" s="2"/>
      <c r="I235" s="2"/>
      <c r="J235" s="2"/>
      <c r="K235" s="2"/>
      <c r="L235" s="2"/>
      <c r="M235" s="2"/>
      <c r="N235" s="2"/>
    </row>
    <row r="236" spans="1:16">
      <c r="A236" s="2"/>
      <c r="B236" s="2"/>
      <c r="C236" s="2"/>
      <c r="D236" s="2"/>
      <c r="E236" s="2"/>
      <c r="F236" s="2"/>
      <c r="G236" s="2"/>
      <c r="H236" s="2"/>
      <c r="I236" s="2"/>
      <c r="J236" s="2"/>
      <c r="K236" s="2"/>
      <c r="L236" s="2"/>
      <c r="M236" s="2"/>
      <c r="N236" s="2"/>
    </row>
    <row r="237" spans="1:16">
      <c r="A237" s="1849" t="s">
        <v>1035</v>
      </c>
      <c r="B237" s="428">
        <v>10000</v>
      </c>
      <c r="C237" s="428">
        <v>10000</v>
      </c>
      <c r="D237" s="428">
        <v>10000</v>
      </c>
      <c r="E237" s="428">
        <v>10000</v>
      </c>
      <c r="F237" s="428">
        <v>10000</v>
      </c>
      <c r="G237" s="428">
        <v>10000</v>
      </c>
      <c r="H237" s="428">
        <v>10000</v>
      </c>
      <c r="I237" s="428">
        <v>10000</v>
      </c>
      <c r="J237" s="428">
        <v>10000</v>
      </c>
      <c r="K237" s="428">
        <v>10000</v>
      </c>
      <c r="L237" s="428">
        <v>10000</v>
      </c>
      <c r="M237" s="428">
        <v>10000</v>
      </c>
      <c r="N237" s="428">
        <v>10000</v>
      </c>
      <c r="O237" s="1751">
        <f t="shared" ref="O237:O267" si="23">AVERAGE(B237:N237)</f>
        <v>10000</v>
      </c>
    </row>
    <row r="238" spans="1:16">
      <c r="A238" s="1849" t="s">
        <v>1036</v>
      </c>
      <c r="B238" s="428">
        <v>37000</v>
      </c>
      <c r="C238" s="428">
        <v>37000</v>
      </c>
      <c r="D238" s="428">
        <v>37000</v>
      </c>
      <c r="E238" s="428">
        <v>37000</v>
      </c>
      <c r="F238" s="428">
        <v>38000</v>
      </c>
      <c r="G238" s="428">
        <v>38000</v>
      </c>
      <c r="H238" s="428">
        <v>38000</v>
      </c>
      <c r="I238" s="428">
        <v>38000</v>
      </c>
      <c r="J238" s="428">
        <v>38000</v>
      </c>
      <c r="K238" s="428">
        <v>38000</v>
      </c>
      <c r="L238" s="428">
        <v>38000</v>
      </c>
      <c r="M238" s="428">
        <v>38000</v>
      </c>
      <c r="N238" s="428">
        <v>39000</v>
      </c>
      <c r="O238" s="1751">
        <f t="shared" si="23"/>
        <v>37769.230769230766</v>
      </c>
    </row>
    <row r="239" spans="1:16">
      <c r="A239" s="1849" t="s">
        <v>1037</v>
      </c>
      <c r="B239" s="428">
        <v>1000</v>
      </c>
      <c r="C239" s="428">
        <v>1000</v>
      </c>
      <c r="D239" s="428">
        <v>1000</v>
      </c>
      <c r="E239" s="428">
        <v>1000</v>
      </c>
      <c r="F239" s="428">
        <v>1000</v>
      </c>
      <c r="G239" s="428">
        <v>1000</v>
      </c>
      <c r="H239" s="428">
        <v>1000</v>
      </c>
      <c r="I239" s="428">
        <v>1000</v>
      </c>
      <c r="J239" s="428">
        <v>1000</v>
      </c>
      <c r="K239" s="428">
        <v>1000</v>
      </c>
      <c r="L239" s="428">
        <v>1000</v>
      </c>
      <c r="M239" s="428">
        <v>1000</v>
      </c>
      <c r="N239" s="428">
        <v>1000</v>
      </c>
      <c r="O239" s="1751">
        <f t="shared" si="23"/>
        <v>1000</v>
      </c>
    </row>
    <row r="240" spans="1:16">
      <c r="A240" s="1849" t="s">
        <v>1038</v>
      </c>
      <c r="B240" s="428">
        <v>1000</v>
      </c>
      <c r="C240" s="428">
        <v>1000</v>
      </c>
      <c r="D240" s="428">
        <v>1000</v>
      </c>
      <c r="E240" s="428">
        <v>1000</v>
      </c>
      <c r="F240" s="428">
        <v>1000</v>
      </c>
      <c r="G240" s="428">
        <v>1000</v>
      </c>
      <c r="H240" s="428">
        <v>1000</v>
      </c>
      <c r="I240" s="428">
        <v>1000</v>
      </c>
      <c r="J240" s="428">
        <v>1000</v>
      </c>
      <c r="K240" s="428">
        <v>1000</v>
      </c>
      <c r="L240" s="428">
        <v>1000</v>
      </c>
      <c r="M240" s="428">
        <v>1000</v>
      </c>
      <c r="N240" s="428">
        <v>1000</v>
      </c>
      <c r="O240" s="1751">
        <f t="shared" si="23"/>
        <v>1000</v>
      </c>
    </row>
    <row r="241" spans="1:15">
      <c r="A241" s="1849" t="s">
        <v>1125</v>
      </c>
      <c r="B241" s="428">
        <v>30000</v>
      </c>
      <c r="C241" s="428">
        <v>30000</v>
      </c>
      <c r="D241" s="428">
        <v>30000</v>
      </c>
      <c r="E241" s="428">
        <v>30000</v>
      </c>
      <c r="F241" s="428">
        <v>30000</v>
      </c>
      <c r="G241" s="428">
        <v>30000</v>
      </c>
      <c r="H241" s="428">
        <v>30000</v>
      </c>
      <c r="I241" s="428">
        <v>30000</v>
      </c>
      <c r="J241" s="428">
        <v>30000</v>
      </c>
      <c r="K241" s="428">
        <v>30000</v>
      </c>
      <c r="L241" s="428">
        <v>30000</v>
      </c>
      <c r="M241" s="428">
        <v>30000</v>
      </c>
      <c r="N241" s="428">
        <v>30000</v>
      </c>
      <c r="O241" s="1751">
        <f t="shared" si="23"/>
        <v>30000</v>
      </c>
    </row>
    <row r="242" spans="1:15">
      <c r="A242" s="1849" t="s">
        <v>1078</v>
      </c>
      <c r="B242" s="428">
        <v>371000</v>
      </c>
      <c r="C242" s="428">
        <v>373000</v>
      </c>
      <c r="D242" s="428">
        <v>375000</v>
      </c>
      <c r="E242" s="428">
        <v>377000</v>
      </c>
      <c r="F242" s="428">
        <v>379000</v>
      </c>
      <c r="G242" s="428">
        <v>382000</v>
      </c>
      <c r="H242" s="428">
        <v>384000</v>
      </c>
      <c r="I242" s="428">
        <v>386000</v>
      </c>
      <c r="J242" s="428">
        <v>388000</v>
      </c>
      <c r="K242" s="428">
        <v>390000</v>
      </c>
      <c r="L242" s="428">
        <v>392000</v>
      </c>
      <c r="M242" s="428">
        <v>394000</v>
      </c>
      <c r="N242" s="428">
        <v>396000</v>
      </c>
      <c r="O242" s="1751">
        <f t="shared" si="23"/>
        <v>383615.38461538462</v>
      </c>
    </row>
    <row r="243" spans="1:15">
      <c r="A243" s="1849" t="s">
        <v>1039</v>
      </c>
      <c r="B243" s="428">
        <v>44000</v>
      </c>
      <c r="C243" s="428">
        <v>44000</v>
      </c>
      <c r="D243" s="428">
        <v>44000</v>
      </c>
      <c r="E243" s="428">
        <v>44000</v>
      </c>
      <c r="F243" s="428">
        <v>44000</v>
      </c>
      <c r="G243" s="428">
        <v>45000</v>
      </c>
      <c r="H243" s="428">
        <v>45000</v>
      </c>
      <c r="I243" s="428">
        <v>45000</v>
      </c>
      <c r="J243" s="428">
        <v>45000</v>
      </c>
      <c r="K243" s="428">
        <v>45000</v>
      </c>
      <c r="L243" s="428">
        <v>45000</v>
      </c>
      <c r="M243" s="428">
        <v>46000</v>
      </c>
      <c r="N243" s="428">
        <v>46000</v>
      </c>
      <c r="O243" s="1751">
        <f t="shared" si="23"/>
        <v>44769.230769230766</v>
      </c>
    </row>
    <row r="244" spans="1:15">
      <c r="A244" s="1849" t="s">
        <v>1040</v>
      </c>
      <c r="B244" s="428">
        <v>68000</v>
      </c>
      <c r="C244" s="428">
        <v>68000</v>
      </c>
      <c r="D244" s="428">
        <v>68000</v>
      </c>
      <c r="E244" s="428">
        <v>68000</v>
      </c>
      <c r="F244" s="428">
        <v>68000</v>
      </c>
      <c r="G244" s="428">
        <v>68000</v>
      </c>
      <c r="H244" s="428">
        <v>68000</v>
      </c>
      <c r="I244" s="428">
        <v>69000</v>
      </c>
      <c r="J244" s="428">
        <v>69000</v>
      </c>
      <c r="K244" s="428">
        <v>69000</v>
      </c>
      <c r="L244" s="428">
        <v>69000</v>
      </c>
      <c r="M244" s="428">
        <v>69000</v>
      </c>
      <c r="N244" s="428">
        <v>69000</v>
      </c>
      <c r="O244" s="1751">
        <f t="shared" si="23"/>
        <v>68461.538461538468</v>
      </c>
    </row>
    <row r="245" spans="1:15">
      <c r="A245" s="1849" t="s">
        <v>1041</v>
      </c>
      <c r="B245" s="428">
        <v>244000</v>
      </c>
      <c r="C245" s="428">
        <v>245000</v>
      </c>
      <c r="D245" s="428">
        <v>246000</v>
      </c>
      <c r="E245" s="428">
        <v>246000</v>
      </c>
      <c r="F245" s="428">
        <v>247000</v>
      </c>
      <c r="G245" s="428">
        <v>248000</v>
      </c>
      <c r="H245" s="428">
        <v>249000</v>
      </c>
      <c r="I245" s="428">
        <v>250000</v>
      </c>
      <c r="J245" s="428">
        <v>251000</v>
      </c>
      <c r="K245" s="428">
        <v>251000</v>
      </c>
      <c r="L245" s="428">
        <v>252000</v>
      </c>
      <c r="M245" s="428">
        <v>253000</v>
      </c>
      <c r="N245" s="428">
        <v>254000</v>
      </c>
      <c r="O245" s="1751">
        <f t="shared" si="23"/>
        <v>248923.07692307694</v>
      </c>
    </row>
    <row r="246" spans="1:15">
      <c r="A246" s="1849" t="s">
        <v>1042</v>
      </c>
      <c r="B246" s="428">
        <v>94000</v>
      </c>
      <c r="C246" s="428">
        <v>95000</v>
      </c>
      <c r="D246" s="428">
        <v>95000</v>
      </c>
      <c r="E246" s="428">
        <v>95000</v>
      </c>
      <c r="F246" s="428">
        <v>95000</v>
      </c>
      <c r="G246" s="428">
        <v>96000</v>
      </c>
      <c r="H246" s="428">
        <v>96000</v>
      </c>
      <c r="I246" s="428">
        <v>96000</v>
      </c>
      <c r="J246" s="428">
        <v>96000</v>
      </c>
      <c r="K246" s="428">
        <v>97000</v>
      </c>
      <c r="L246" s="428">
        <v>97000</v>
      </c>
      <c r="M246" s="428">
        <v>97000</v>
      </c>
      <c r="N246" s="428">
        <v>97000</v>
      </c>
      <c r="O246" s="1751">
        <f t="shared" si="23"/>
        <v>95846.153846153844</v>
      </c>
    </row>
    <row r="247" spans="1:15">
      <c r="A247" s="1849" t="s">
        <v>1043</v>
      </c>
      <c r="B247" s="428">
        <v>87000</v>
      </c>
      <c r="C247" s="428">
        <v>88000</v>
      </c>
      <c r="D247" s="428">
        <v>88000</v>
      </c>
      <c r="E247" s="428">
        <v>88000</v>
      </c>
      <c r="F247" s="428">
        <v>88000</v>
      </c>
      <c r="G247" s="428">
        <v>89000</v>
      </c>
      <c r="H247" s="428">
        <v>89000</v>
      </c>
      <c r="I247" s="428">
        <v>89000</v>
      </c>
      <c r="J247" s="428">
        <v>89000</v>
      </c>
      <c r="K247" s="428">
        <v>89000</v>
      </c>
      <c r="L247" s="428">
        <v>90000</v>
      </c>
      <c r="M247" s="428">
        <v>90000</v>
      </c>
      <c r="N247" s="428">
        <v>90000</v>
      </c>
      <c r="O247" s="1751">
        <f t="shared" si="23"/>
        <v>88769.230769230766</v>
      </c>
    </row>
    <row r="248" spans="1:15">
      <c r="A248" s="1849" t="s">
        <v>1044</v>
      </c>
      <c r="B248" s="428">
        <v>84000</v>
      </c>
      <c r="C248" s="428">
        <v>84000</v>
      </c>
      <c r="D248" s="428">
        <v>84000</v>
      </c>
      <c r="E248" s="428">
        <v>84000</v>
      </c>
      <c r="F248" s="428">
        <v>84000</v>
      </c>
      <c r="G248" s="428">
        <v>84000</v>
      </c>
      <c r="H248" s="428">
        <v>85000</v>
      </c>
      <c r="I248" s="428">
        <v>85000</v>
      </c>
      <c r="J248" s="428">
        <v>85000</v>
      </c>
      <c r="K248" s="428">
        <v>85000</v>
      </c>
      <c r="L248" s="428">
        <v>85000</v>
      </c>
      <c r="M248" s="428">
        <v>86000</v>
      </c>
      <c r="N248" s="428">
        <v>86000</v>
      </c>
      <c r="O248" s="1751">
        <f t="shared" si="23"/>
        <v>84692.307692307688</v>
      </c>
    </row>
    <row r="249" spans="1:15">
      <c r="A249" s="1849" t="s">
        <v>1045</v>
      </c>
      <c r="B249" s="428">
        <v>5101000</v>
      </c>
      <c r="C249" s="428">
        <v>5110000</v>
      </c>
      <c r="D249" s="428">
        <v>5120000</v>
      </c>
      <c r="E249" s="428">
        <v>5129000</v>
      </c>
      <c r="F249" s="428">
        <v>5138000</v>
      </c>
      <c r="G249" s="428">
        <v>5148000</v>
      </c>
      <c r="H249" s="428">
        <v>5157000</v>
      </c>
      <c r="I249" s="428">
        <v>5166000</v>
      </c>
      <c r="J249" s="428">
        <v>5176000</v>
      </c>
      <c r="K249" s="428">
        <v>5185000</v>
      </c>
      <c r="L249" s="428">
        <v>5195000</v>
      </c>
      <c r="M249" s="428">
        <v>5204000</v>
      </c>
      <c r="N249" s="428">
        <v>5213000</v>
      </c>
      <c r="O249" s="1751">
        <f t="shared" si="23"/>
        <v>5157076.923076923</v>
      </c>
    </row>
    <row r="250" spans="1:15">
      <c r="A250" s="1849" t="s">
        <v>1063</v>
      </c>
      <c r="B250" s="428">
        <v>4154000</v>
      </c>
      <c r="C250" s="428">
        <v>4164000</v>
      </c>
      <c r="D250" s="428">
        <v>4174000</v>
      </c>
      <c r="E250" s="428">
        <v>4184000</v>
      </c>
      <c r="F250" s="428">
        <v>4193000</v>
      </c>
      <c r="G250" s="428">
        <v>4203000</v>
      </c>
      <c r="H250" s="428">
        <v>4213000</v>
      </c>
      <c r="I250" s="428">
        <v>4223000</v>
      </c>
      <c r="J250" s="428">
        <v>4232000</v>
      </c>
      <c r="K250" s="428">
        <v>4242000</v>
      </c>
      <c r="L250" s="428">
        <v>4252000</v>
      </c>
      <c r="M250" s="428">
        <v>4262000</v>
      </c>
      <c r="N250" s="428">
        <v>4271000</v>
      </c>
      <c r="O250" s="1751">
        <f t="shared" si="23"/>
        <v>4212846.153846154</v>
      </c>
    </row>
    <row r="251" spans="1:15">
      <c r="A251" s="1849" t="s">
        <v>1167</v>
      </c>
      <c r="B251" s="428">
        <v>1836000</v>
      </c>
      <c r="C251" s="428">
        <v>1844000</v>
      </c>
      <c r="D251" s="428">
        <v>1853000</v>
      </c>
      <c r="E251" s="428">
        <v>1862000</v>
      </c>
      <c r="F251" s="428">
        <v>1870000</v>
      </c>
      <c r="G251" s="428">
        <v>1879000</v>
      </c>
      <c r="H251" s="428">
        <v>1888000</v>
      </c>
      <c r="I251" s="428">
        <v>1897000</v>
      </c>
      <c r="J251" s="428">
        <v>1905000</v>
      </c>
      <c r="K251" s="428">
        <v>1914000</v>
      </c>
      <c r="L251" s="428">
        <v>1923000</v>
      </c>
      <c r="M251" s="428">
        <v>1932000</v>
      </c>
      <c r="N251" s="428">
        <v>1940000</v>
      </c>
      <c r="O251" s="1751">
        <f t="shared" si="23"/>
        <v>1887923.076923077</v>
      </c>
    </row>
    <row r="252" spans="1:15">
      <c r="A252" s="1849" t="s">
        <v>1046</v>
      </c>
      <c r="B252" s="428">
        <v>711000</v>
      </c>
      <c r="C252" s="428">
        <v>717000</v>
      </c>
      <c r="D252" s="428">
        <v>722000</v>
      </c>
      <c r="E252" s="428">
        <v>728000</v>
      </c>
      <c r="F252" s="428">
        <v>733000</v>
      </c>
      <c r="G252" s="428">
        <v>739000</v>
      </c>
      <c r="H252" s="428">
        <v>744000</v>
      </c>
      <c r="I252" s="428">
        <v>750000</v>
      </c>
      <c r="J252" s="428">
        <v>755000</v>
      </c>
      <c r="K252" s="428">
        <v>761000</v>
      </c>
      <c r="L252" s="428">
        <v>766000</v>
      </c>
      <c r="M252" s="428">
        <v>772000</v>
      </c>
      <c r="N252" s="428">
        <v>777000</v>
      </c>
      <c r="O252" s="1751">
        <f t="shared" si="23"/>
        <v>744230.76923076925</v>
      </c>
    </row>
    <row r="253" spans="1:15">
      <c r="A253" s="1849" t="s">
        <v>1047</v>
      </c>
      <c r="B253" s="428">
        <v>1650000</v>
      </c>
      <c r="C253" s="428">
        <v>1657000</v>
      </c>
      <c r="D253" s="428">
        <v>1664000</v>
      </c>
      <c r="E253" s="428">
        <v>1670000</v>
      </c>
      <c r="F253" s="428">
        <v>1677000</v>
      </c>
      <c r="G253" s="428">
        <v>1684000</v>
      </c>
      <c r="H253" s="428">
        <v>1690000</v>
      </c>
      <c r="I253" s="428">
        <v>1697000</v>
      </c>
      <c r="J253" s="428">
        <v>1703000</v>
      </c>
      <c r="K253" s="428">
        <v>1710000</v>
      </c>
      <c r="L253" s="428">
        <v>1717000</v>
      </c>
      <c r="M253" s="428">
        <v>1723000</v>
      </c>
      <c r="N253" s="428">
        <v>1730000</v>
      </c>
      <c r="O253" s="1751">
        <f t="shared" si="23"/>
        <v>1690153.8461538462</v>
      </c>
    </row>
    <row r="254" spans="1:15">
      <c r="A254" s="1849" t="s">
        <v>1048</v>
      </c>
      <c r="B254" s="428">
        <v>707000</v>
      </c>
      <c r="C254" s="428">
        <v>710000</v>
      </c>
      <c r="D254" s="428">
        <v>713000</v>
      </c>
      <c r="E254" s="428">
        <v>716000</v>
      </c>
      <c r="F254" s="428">
        <v>719000</v>
      </c>
      <c r="G254" s="428">
        <v>722000</v>
      </c>
      <c r="H254" s="428">
        <v>725000</v>
      </c>
      <c r="I254" s="428">
        <v>728000</v>
      </c>
      <c r="J254" s="428">
        <v>731000</v>
      </c>
      <c r="K254" s="428">
        <v>734000</v>
      </c>
      <c r="L254" s="428">
        <v>737000</v>
      </c>
      <c r="M254" s="428">
        <v>740000</v>
      </c>
      <c r="N254" s="428">
        <v>743000</v>
      </c>
      <c r="O254" s="1751">
        <f t="shared" si="23"/>
        <v>725000</v>
      </c>
    </row>
    <row r="255" spans="1:15">
      <c r="A255" s="1849" t="s">
        <v>1049</v>
      </c>
      <c r="B255" s="428">
        <v>114000</v>
      </c>
      <c r="C255" s="428">
        <v>115000</v>
      </c>
      <c r="D255" s="428">
        <v>116000</v>
      </c>
      <c r="E255" s="428">
        <v>116000</v>
      </c>
      <c r="F255" s="428">
        <v>117000</v>
      </c>
      <c r="G255" s="428">
        <v>118000</v>
      </c>
      <c r="H255" s="428">
        <v>118000</v>
      </c>
      <c r="I255" s="428">
        <v>119000</v>
      </c>
      <c r="J255" s="428">
        <v>120000</v>
      </c>
      <c r="K255" s="428">
        <v>121000</v>
      </c>
      <c r="L255" s="428">
        <v>121000</v>
      </c>
      <c r="M255" s="428">
        <v>122000</v>
      </c>
      <c r="N255" s="428">
        <v>123000</v>
      </c>
      <c r="O255" s="1751">
        <f t="shared" si="23"/>
        <v>118461.53846153847</v>
      </c>
    </row>
    <row r="256" spans="1:15">
      <c r="A256" s="1849" t="s">
        <v>1050</v>
      </c>
      <c r="B256" s="428">
        <v>2491000</v>
      </c>
      <c r="C256" s="428">
        <v>2506000</v>
      </c>
      <c r="D256" s="428">
        <v>2522000</v>
      </c>
      <c r="E256" s="428">
        <v>2537000</v>
      </c>
      <c r="F256" s="428">
        <v>2552000</v>
      </c>
      <c r="G256" s="428">
        <v>2568000</v>
      </c>
      <c r="H256" s="428">
        <v>2583000</v>
      </c>
      <c r="I256" s="428">
        <v>2599000</v>
      </c>
      <c r="J256" s="428">
        <v>2614000</v>
      </c>
      <c r="K256" s="428">
        <v>2630000</v>
      </c>
      <c r="L256" s="428">
        <v>2645000</v>
      </c>
      <c r="M256" s="428">
        <v>2661000</v>
      </c>
      <c r="N256" s="428">
        <v>2676000</v>
      </c>
      <c r="O256" s="1751">
        <f t="shared" si="23"/>
        <v>2583384.6153846155</v>
      </c>
    </row>
    <row r="257" spans="1:15">
      <c r="A257" s="1849" t="s">
        <v>1051</v>
      </c>
      <c r="B257" s="428">
        <v>3145000</v>
      </c>
      <c r="C257" s="428">
        <v>3162000</v>
      </c>
      <c r="D257" s="428">
        <v>3178000</v>
      </c>
      <c r="E257" s="428">
        <v>3194000</v>
      </c>
      <c r="F257" s="428">
        <v>3210000</v>
      </c>
      <c r="G257" s="428">
        <v>3227000</v>
      </c>
      <c r="H257" s="428">
        <v>3243000</v>
      </c>
      <c r="I257" s="428">
        <v>3259000</v>
      </c>
      <c r="J257" s="428">
        <v>3275000</v>
      </c>
      <c r="K257" s="428">
        <v>3292000</v>
      </c>
      <c r="L257" s="428">
        <v>3308000</v>
      </c>
      <c r="M257" s="428">
        <v>3324000</v>
      </c>
      <c r="N257" s="428">
        <v>3341000</v>
      </c>
      <c r="O257" s="1751">
        <f t="shared" si="23"/>
        <v>3242923.076923077</v>
      </c>
    </row>
    <row r="258" spans="1:15">
      <c r="A258" s="1849" t="s">
        <v>1052</v>
      </c>
      <c r="B258" s="428">
        <v>760000</v>
      </c>
      <c r="C258" s="428">
        <v>764000</v>
      </c>
      <c r="D258" s="428">
        <v>769000</v>
      </c>
      <c r="E258" s="428">
        <v>774000</v>
      </c>
      <c r="F258" s="428">
        <v>778000</v>
      </c>
      <c r="G258" s="428">
        <v>783000</v>
      </c>
      <c r="H258" s="428">
        <v>788000</v>
      </c>
      <c r="I258" s="428">
        <v>792000</v>
      </c>
      <c r="J258" s="428">
        <v>797000</v>
      </c>
      <c r="K258" s="428">
        <v>802000</v>
      </c>
      <c r="L258" s="428">
        <v>806000</v>
      </c>
      <c r="M258" s="428">
        <v>811000</v>
      </c>
      <c r="N258" s="428">
        <v>816000</v>
      </c>
      <c r="O258" s="1751">
        <f t="shared" si="23"/>
        <v>787692.30769230775</v>
      </c>
    </row>
    <row r="259" spans="1:15">
      <c r="A259" s="1849" t="s">
        <v>1079</v>
      </c>
      <c r="B259" s="428">
        <v>9148000</v>
      </c>
      <c r="C259" s="428">
        <v>9190000</v>
      </c>
      <c r="D259" s="428">
        <v>9232000</v>
      </c>
      <c r="E259" s="428">
        <v>9274000</v>
      </c>
      <c r="F259" s="428">
        <v>9316000</v>
      </c>
      <c r="G259" s="428">
        <v>9358000</v>
      </c>
      <c r="H259" s="428">
        <v>9400000</v>
      </c>
      <c r="I259" s="428">
        <v>9442000</v>
      </c>
      <c r="J259" s="428">
        <v>9484000</v>
      </c>
      <c r="K259" s="428">
        <v>9526000</v>
      </c>
      <c r="L259" s="428">
        <v>9567000</v>
      </c>
      <c r="M259" s="428">
        <v>9609000</v>
      </c>
      <c r="N259" s="428">
        <v>9651000</v>
      </c>
      <c r="O259" s="1751">
        <f t="shared" si="23"/>
        <v>9399769.2307692301</v>
      </c>
    </row>
    <row r="260" spans="1:15">
      <c r="A260" s="1849" t="s">
        <v>1053</v>
      </c>
      <c r="B260" s="428">
        <v>540000</v>
      </c>
      <c r="C260" s="428">
        <v>543000</v>
      </c>
      <c r="D260" s="428">
        <v>546000</v>
      </c>
      <c r="E260" s="428">
        <v>543000</v>
      </c>
      <c r="F260" s="428">
        <v>546000</v>
      </c>
      <c r="G260" s="428">
        <v>549000</v>
      </c>
      <c r="H260" s="428">
        <v>552000</v>
      </c>
      <c r="I260" s="428">
        <v>555000</v>
      </c>
      <c r="J260" s="428">
        <v>558000</v>
      </c>
      <c r="K260" s="428">
        <v>562000</v>
      </c>
      <c r="L260" s="428">
        <v>565000</v>
      </c>
      <c r="M260" s="428">
        <v>568000</v>
      </c>
      <c r="N260" s="428">
        <v>571000</v>
      </c>
      <c r="O260" s="1751">
        <f t="shared" si="23"/>
        <v>553692.30769230775</v>
      </c>
    </row>
    <row r="261" spans="1:15">
      <c r="A261" s="1849" t="s">
        <v>1054</v>
      </c>
      <c r="B261" s="428">
        <v>11000</v>
      </c>
      <c r="C261" s="428">
        <v>11000</v>
      </c>
      <c r="D261" s="428">
        <v>11000</v>
      </c>
      <c r="E261" s="428">
        <v>11000</v>
      </c>
      <c r="F261" s="428">
        <v>11000</v>
      </c>
      <c r="G261" s="428">
        <v>11000</v>
      </c>
      <c r="H261" s="428">
        <v>11000</v>
      </c>
      <c r="I261" s="428">
        <v>11000</v>
      </c>
      <c r="J261" s="428">
        <v>11000</v>
      </c>
      <c r="K261" s="428">
        <v>11000</v>
      </c>
      <c r="L261" s="428">
        <v>11000</v>
      </c>
      <c r="M261" s="428">
        <v>11000</v>
      </c>
      <c r="N261" s="428">
        <v>11000</v>
      </c>
      <c r="O261" s="1751">
        <f t="shared" si="23"/>
        <v>11000</v>
      </c>
    </row>
    <row r="262" spans="1:15">
      <c r="A262" s="1849" t="s">
        <v>1055</v>
      </c>
      <c r="B262" s="428">
        <v>41000</v>
      </c>
      <c r="C262" s="428">
        <v>41000</v>
      </c>
      <c r="D262" s="428">
        <v>41000</v>
      </c>
      <c r="E262" s="428">
        <v>42000</v>
      </c>
      <c r="F262" s="428">
        <v>42000</v>
      </c>
      <c r="G262" s="428">
        <v>42000</v>
      </c>
      <c r="H262" s="428">
        <v>43000</v>
      </c>
      <c r="I262" s="428">
        <v>43000</v>
      </c>
      <c r="J262" s="428">
        <v>43000</v>
      </c>
      <c r="K262" s="428">
        <v>44000</v>
      </c>
      <c r="L262" s="428">
        <v>44000</v>
      </c>
      <c r="M262" s="428">
        <v>45000</v>
      </c>
      <c r="N262" s="428">
        <v>45000</v>
      </c>
      <c r="O262" s="1751">
        <f t="shared" si="23"/>
        <v>42769.230769230766</v>
      </c>
    </row>
    <row r="263" spans="1:15">
      <c r="A263" s="1849" t="s">
        <v>1056</v>
      </c>
      <c r="B263" s="428">
        <v>40000</v>
      </c>
      <c r="C263" s="428">
        <v>40000</v>
      </c>
      <c r="D263" s="428">
        <v>41000</v>
      </c>
      <c r="E263" s="428">
        <v>41000</v>
      </c>
      <c r="F263" s="428">
        <v>41000</v>
      </c>
      <c r="G263" s="428">
        <v>41000</v>
      </c>
      <c r="H263" s="428">
        <v>41000</v>
      </c>
      <c r="I263" s="428">
        <v>42000</v>
      </c>
      <c r="J263" s="428">
        <v>42000</v>
      </c>
      <c r="K263" s="428">
        <v>42000</v>
      </c>
      <c r="L263" s="428">
        <v>42000</v>
      </c>
      <c r="M263" s="428">
        <v>43000</v>
      </c>
      <c r="N263" s="428">
        <v>43000</v>
      </c>
      <c r="O263" s="1751">
        <f t="shared" si="23"/>
        <v>41461.538461538461</v>
      </c>
    </row>
    <row r="264" spans="1:15">
      <c r="A264" s="1849" t="s">
        <v>1064</v>
      </c>
      <c r="B264" s="428">
        <v>895000</v>
      </c>
      <c r="C264" s="428">
        <v>902000</v>
      </c>
      <c r="D264" s="428">
        <v>909000</v>
      </c>
      <c r="E264" s="428">
        <v>916000</v>
      </c>
      <c r="F264" s="428">
        <v>923000</v>
      </c>
      <c r="G264" s="428">
        <v>930000</v>
      </c>
      <c r="H264" s="428">
        <v>937000</v>
      </c>
      <c r="I264" s="428">
        <v>944000</v>
      </c>
      <c r="J264" s="428">
        <v>951000</v>
      </c>
      <c r="K264" s="428">
        <v>958000</v>
      </c>
      <c r="L264" s="428">
        <v>965000</v>
      </c>
      <c r="M264" s="428">
        <v>972000</v>
      </c>
      <c r="N264" s="428">
        <v>979000</v>
      </c>
      <c r="O264" s="1751">
        <f t="shared" si="23"/>
        <v>937000</v>
      </c>
    </row>
    <row r="265" spans="1:15">
      <c r="A265" s="1849" t="s">
        <v>1065</v>
      </c>
      <c r="B265" s="428">
        <v>907000</v>
      </c>
      <c r="C265" s="428">
        <v>915000</v>
      </c>
      <c r="D265" s="428">
        <v>923000</v>
      </c>
      <c r="E265" s="428">
        <v>931000</v>
      </c>
      <c r="F265" s="428">
        <v>940000</v>
      </c>
      <c r="G265" s="428">
        <v>948000</v>
      </c>
      <c r="H265" s="428">
        <v>956000</v>
      </c>
      <c r="I265" s="428">
        <v>964000</v>
      </c>
      <c r="J265" s="428">
        <v>972000</v>
      </c>
      <c r="K265" s="428">
        <v>981000</v>
      </c>
      <c r="L265" s="428">
        <v>989000</v>
      </c>
      <c r="M265" s="428">
        <v>997000</v>
      </c>
      <c r="N265" s="428">
        <v>1005000</v>
      </c>
      <c r="O265" s="1751">
        <f t="shared" si="23"/>
        <v>956000</v>
      </c>
    </row>
    <row r="266" spans="1:15">
      <c r="A266" s="1849" t="s">
        <v>1057</v>
      </c>
      <c r="B266" s="428">
        <v>152000</v>
      </c>
      <c r="C266" s="428">
        <v>152000</v>
      </c>
      <c r="D266" s="428">
        <v>153000</v>
      </c>
      <c r="E266" s="428">
        <v>153000</v>
      </c>
      <c r="F266" s="428">
        <v>154000</v>
      </c>
      <c r="G266" s="428">
        <v>154000</v>
      </c>
      <c r="H266" s="428">
        <v>154000</v>
      </c>
      <c r="I266" s="428">
        <v>155000</v>
      </c>
      <c r="J266" s="428">
        <v>155000</v>
      </c>
      <c r="K266" s="428">
        <v>155000</v>
      </c>
      <c r="L266" s="428">
        <v>156000</v>
      </c>
      <c r="M266" s="428">
        <v>156000</v>
      </c>
      <c r="N266" s="428">
        <v>156000</v>
      </c>
      <c r="O266" s="1751">
        <f t="shared" si="23"/>
        <v>154230.76923076922</v>
      </c>
    </row>
    <row r="267" spans="1:15">
      <c r="A267" s="1849" t="s">
        <v>1058</v>
      </c>
      <c r="B267" s="428">
        <v>-38000</v>
      </c>
      <c r="C267" s="428">
        <v>-38000</v>
      </c>
      <c r="D267" s="428">
        <v>-38000</v>
      </c>
      <c r="E267" s="428">
        <v>-37000</v>
      </c>
      <c r="F267" s="428">
        <v>-37000</v>
      </c>
      <c r="G267" s="428">
        <v>-37000</v>
      </c>
      <c r="H267" s="428">
        <v>-37000</v>
      </c>
      <c r="I267" s="428">
        <v>-37000</v>
      </c>
      <c r="J267" s="428">
        <v>-37000</v>
      </c>
      <c r="K267" s="428">
        <v>-36000</v>
      </c>
      <c r="L267" s="428">
        <v>-36000</v>
      </c>
      <c r="M267" s="428">
        <v>-36000</v>
      </c>
      <c r="N267" s="428">
        <v>-36000</v>
      </c>
      <c r="O267" s="1751">
        <f t="shared" si="23"/>
        <v>-36923.076923076922</v>
      </c>
    </row>
    <row r="268" spans="1:15">
      <c r="A268" s="1849" t="s">
        <v>1059</v>
      </c>
      <c r="B268" s="428">
        <v>13000</v>
      </c>
      <c r="C268" s="428">
        <v>13000</v>
      </c>
      <c r="D268" s="428">
        <v>13000</v>
      </c>
      <c r="E268" s="428">
        <v>13000</v>
      </c>
      <c r="F268" s="428">
        <v>13000</v>
      </c>
      <c r="G268" s="428">
        <v>13000</v>
      </c>
      <c r="H268" s="428">
        <v>14000</v>
      </c>
      <c r="I268" s="428">
        <v>14000</v>
      </c>
      <c r="J268" s="428">
        <v>14000</v>
      </c>
      <c r="K268" s="428">
        <v>14000</v>
      </c>
      <c r="L268" s="428">
        <v>14000</v>
      </c>
      <c r="M268" s="428">
        <v>14000</v>
      </c>
      <c r="N268" s="428">
        <v>14000</v>
      </c>
      <c r="O268" s="1751">
        <f t="shared" ref="O268:O307" si="24">AVERAGE(B268:N268)</f>
        <v>13538.461538461539</v>
      </c>
    </row>
    <row r="269" spans="1:15">
      <c r="A269" s="1849" t="s">
        <v>1080</v>
      </c>
      <c r="B269" s="428">
        <v>511000</v>
      </c>
      <c r="C269" s="428">
        <v>516000</v>
      </c>
      <c r="D269" s="428">
        <v>521000</v>
      </c>
      <c r="E269" s="428">
        <v>526000</v>
      </c>
      <c r="F269" s="428">
        <v>531000</v>
      </c>
      <c r="G269" s="428">
        <v>536000</v>
      </c>
      <c r="H269" s="428">
        <v>541000</v>
      </c>
      <c r="I269" s="428">
        <v>546000</v>
      </c>
      <c r="J269" s="428">
        <v>551000</v>
      </c>
      <c r="K269" s="428">
        <v>555000</v>
      </c>
      <c r="L269" s="428">
        <v>560000</v>
      </c>
      <c r="M269" s="428">
        <v>565000</v>
      </c>
      <c r="N269" s="428">
        <v>570000</v>
      </c>
      <c r="O269" s="1751">
        <f t="shared" si="24"/>
        <v>540692.30769230775</v>
      </c>
    </row>
    <row r="270" spans="1:15">
      <c r="A270" s="1849" t="s">
        <v>1060</v>
      </c>
      <c r="B270" s="428">
        <v>3519000</v>
      </c>
      <c r="C270" s="428">
        <v>3525000</v>
      </c>
      <c r="D270" s="428">
        <v>3531000</v>
      </c>
      <c r="E270" s="428">
        <v>3537000</v>
      </c>
      <c r="F270" s="428">
        <v>3543000</v>
      </c>
      <c r="G270" s="428">
        <v>3549000</v>
      </c>
      <c r="H270" s="428">
        <v>3555000</v>
      </c>
      <c r="I270" s="428">
        <v>3562000</v>
      </c>
      <c r="J270" s="428">
        <v>3568000</v>
      </c>
      <c r="K270" s="428">
        <v>3574000</v>
      </c>
      <c r="L270" s="428">
        <v>3580000</v>
      </c>
      <c r="M270" s="428">
        <v>3586000</v>
      </c>
      <c r="N270" s="428">
        <v>3592000</v>
      </c>
      <c r="O270" s="1751">
        <f t="shared" si="24"/>
        <v>3555461.5384615385</v>
      </c>
    </row>
    <row r="271" spans="1:15">
      <c r="A271" s="1849" t="s">
        <v>1061</v>
      </c>
      <c r="B271" s="428">
        <v>78000</v>
      </c>
      <c r="C271" s="428">
        <v>78000</v>
      </c>
      <c r="D271" s="428">
        <v>79000</v>
      </c>
      <c r="E271" s="428">
        <v>79000</v>
      </c>
      <c r="F271" s="428">
        <v>79000</v>
      </c>
      <c r="G271" s="428">
        <v>79000</v>
      </c>
      <c r="H271" s="428">
        <v>80000</v>
      </c>
      <c r="I271" s="428">
        <v>80000</v>
      </c>
      <c r="J271" s="428">
        <v>80000</v>
      </c>
      <c r="K271" s="428">
        <v>80000</v>
      </c>
      <c r="L271" s="428">
        <v>80000</v>
      </c>
      <c r="M271" s="428">
        <v>81000</v>
      </c>
      <c r="N271" s="428">
        <v>81000</v>
      </c>
      <c r="O271" s="1751">
        <f t="shared" si="24"/>
        <v>79538.461538461532</v>
      </c>
    </row>
    <row r="272" spans="1:15">
      <c r="A272" s="1849" t="s">
        <v>1062</v>
      </c>
      <c r="B272" s="428">
        <v>8000</v>
      </c>
      <c r="C272" s="428">
        <v>8000</v>
      </c>
      <c r="D272" s="428">
        <v>8000</v>
      </c>
      <c r="E272" s="428">
        <v>8000</v>
      </c>
      <c r="F272" s="428">
        <v>8000</v>
      </c>
      <c r="G272" s="428">
        <v>8000</v>
      </c>
      <c r="H272" s="428">
        <v>8000</v>
      </c>
      <c r="I272" s="428">
        <v>8000</v>
      </c>
      <c r="J272" s="428">
        <v>8000</v>
      </c>
      <c r="K272" s="428">
        <v>8000</v>
      </c>
      <c r="L272" s="428">
        <v>8000</v>
      </c>
      <c r="M272" s="428">
        <v>9000</v>
      </c>
      <c r="N272" s="428">
        <v>9000</v>
      </c>
      <c r="O272" s="1751">
        <f t="shared" si="24"/>
        <v>8153.8461538461543</v>
      </c>
    </row>
    <row r="273" spans="1:15">
      <c r="A273" s="1849" t="s">
        <v>0</v>
      </c>
      <c r="B273" s="428">
        <v>773000</v>
      </c>
      <c r="C273" s="428">
        <v>778000</v>
      </c>
      <c r="D273" s="428">
        <v>783000</v>
      </c>
      <c r="E273" s="428">
        <v>787000</v>
      </c>
      <c r="F273" s="428">
        <v>792000</v>
      </c>
      <c r="G273" s="428">
        <v>797000</v>
      </c>
      <c r="H273" s="428">
        <v>801000</v>
      </c>
      <c r="I273" s="428">
        <v>806000</v>
      </c>
      <c r="J273" s="428">
        <v>811000</v>
      </c>
      <c r="K273" s="428">
        <v>815000</v>
      </c>
      <c r="L273" s="428">
        <v>820000</v>
      </c>
      <c r="M273" s="428">
        <v>825000</v>
      </c>
      <c r="N273" s="428">
        <v>829000</v>
      </c>
      <c r="O273" s="1751">
        <f t="shared" si="24"/>
        <v>801307.69230769225</v>
      </c>
    </row>
    <row r="274" spans="1:15">
      <c r="A274" s="1849" t="s">
        <v>1</v>
      </c>
      <c r="B274" s="428">
        <v>682000</v>
      </c>
      <c r="C274" s="428">
        <v>687000</v>
      </c>
      <c r="D274" s="428">
        <v>692000</v>
      </c>
      <c r="E274" s="428">
        <v>697000</v>
      </c>
      <c r="F274" s="428">
        <v>702000</v>
      </c>
      <c r="G274" s="428">
        <v>707000</v>
      </c>
      <c r="H274" s="428">
        <v>712000</v>
      </c>
      <c r="I274" s="428">
        <v>717000</v>
      </c>
      <c r="J274" s="428">
        <v>722000</v>
      </c>
      <c r="K274" s="428">
        <v>727000</v>
      </c>
      <c r="L274" s="428">
        <v>732000</v>
      </c>
      <c r="M274" s="428">
        <v>737000</v>
      </c>
      <c r="N274" s="428">
        <v>742000</v>
      </c>
      <c r="O274" s="1751">
        <f t="shared" si="24"/>
        <v>712000</v>
      </c>
    </row>
    <row r="275" spans="1:15">
      <c r="A275" s="1849" t="s">
        <v>2</v>
      </c>
      <c r="B275" s="428">
        <v>1605000</v>
      </c>
      <c r="C275" s="428">
        <v>1609000</v>
      </c>
      <c r="D275" s="428">
        <v>1612000</v>
      </c>
      <c r="E275" s="428">
        <v>1616000</v>
      </c>
      <c r="F275" s="428">
        <v>1619000</v>
      </c>
      <c r="G275" s="428">
        <v>1623000</v>
      </c>
      <c r="H275" s="428">
        <v>1626000</v>
      </c>
      <c r="I275" s="428">
        <v>1630000</v>
      </c>
      <c r="J275" s="428">
        <v>1633000</v>
      </c>
      <c r="K275" s="428">
        <v>1637000</v>
      </c>
      <c r="L275" s="428">
        <v>1641000</v>
      </c>
      <c r="M275" s="428">
        <v>1644000</v>
      </c>
      <c r="N275" s="428">
        <v>1648000</v>
      </c>
      <c r="O275" s="1751">
        <f t="shared" si="24"/>
        <v>1626384.6153846155</v>
      </c>
    </row>
    <row r="276" spans="1:15">
      <c r="A276" s="1849" t="s">
        <v>3</v>
      </c>
      <c r="B276" s="428">
        <v>3528000</v>
      </c>
      <c r="C276" s="428">
        <v>3546000</v>
      </c>
      <c r="D276" s="428">
        <v>3565000</v>
      </c>
      <c r="E276" s="428">
        <v>3584000</v>
      </c>
      <c r="F276" s="428">
        <v>3602000</v>
      </c>
      <c r="G276" s="428">
        <v>3621000</v>
      </c>
      <c r="H276" s="428">
        <v>3640000</v>
      </c>
      <c r="I276" s="428">
        <v>3659000</v>
      </c>
      <c r="J276" s="428">
        <v>3677000</v>
      </c>
      <c r="K276" s="428">
        <v>3696000</v>
      </c>
      <c r="L276" s="428">
        <v>3715000</v>
      </c>
      <c r="M276" s="428">
        <v>3734000</v>
      </c>
      <c r="N276" s="428">
        <v>3752000</v>
      </c>
      <c r="O276" s="1751">
        <f t="shared" si="24"/>
        <v>3639923.076923077</v>
      </c>
    </row>
    <row r="277" spans="1:15">
      <c r="A277" s="1849" t="s">
        <v>1161</v>
      </c>
      <c r="B277" s="428">
        <v>3034000</v>
      </c>
      <c r="C277" s="428">
        <v>3051000</v>
      </c>
      <c r="D277" s="428">
        <v>3068000</v>
      </c>
      <c r="E277" s="428">
        <v>3085000</v>
      </c>
      <c r="F277" s="428">
        <v>3102000</v>
      </c>
      <c r="G277" s="428">
        <v>3118000</v>
      </c>
      <c r="H277" s="428">
        <v>3135000</v>
      </c>
      <c r="I277" s="428">
        <v>3152000</v>
      </c>
      <c r="J277" s="428">
        <v>3169000</v>
      </c>
      <c r="K277" s="428">
        <v>3186000</v>
      </c>
      <c r="L277" s="428">
        <v>3202000</v>
      </c>
      <c r="M277" s="428">
        <v>3219000</v>
      </c>
      <c r="N277" s="428">
        <v>3236000</v>
      </c>
      <c r="O277" s="1751">
        <f t="shared" si="24"/>
        <v>3135153.846153846</v>
      </c>
    </row>
    <row r="278" spans="1:15">
      <c r="A278" s="1849" t="s">
        <v>4</v>
      </c>
      <c r="B278" s="428">
        <v>1942000</v>
      </c>
      <c r="C278" s="428">
        <v>1956000</v>
      </c>
      <c r="D278" s="428">
        <v>1971000</v>
      </c>
      <c r="E278" s="428">
        <v>1985000</v>
      </c>
      <c r="F278" s="428">
        <v>2000000</v>
      </c>
      <c r="G278" s="428">
        <v>2014000</v>
      </c>
      <c r="H278" s="428">
        <v>2028000</v>
      </c>
      <c r="I278" s="428">
        <v>2043000</v>
      </c>
      <c r="J278" s="428">
        <v>2057000</v>
      </c>
      <c r="K278" s="428">
        <v>2071000</v>
      </c>
      <c r="L278" s="428">
        <v>2086000</v>
      </c>
      <c r="M278" s="428">
        <v>2100000</v>
      </c>
      <c r="N278" s="428">
        <v>2115000</v>
      </c>
      <c r="O278" s="1751">
        <f t="shared" si="24"/>
        <v>2028307.6923076923</v>
      </c>
    </row>
    <row r="279" spans="1:15">
      <c r="A279" s="1849" t="s">
        <v>5</v>
      </c>
      <c r="B279" s="428">
        <v>49000</v>
      </c>
      <c r="C279" s="428">
        <v>49000</v>
      </c>
      <c r="D279" s="428">
        <v>49000</v>
      </c>
      <c r="E279" s="428">
        <v>50000</v>
      </c>
      <c r="F279" s="428">
        <v>50000</v>
      </c>
      <c r="G279" s="428">
        <v>50000</v>
      </c>
      <c r="H279" s="428">
        <v>51000</v>
      </c>
      <c r="I279" s="428">
        <v>51000</v>
      </c>
      <c r="J279" s="428">
        <v>51000</v>
      </c>
      <c r="K279" s="428">
        <v>51000</v>
      </c>
      <c r="L279" s="428">
        <v>52000</v>
      </c>
      <c r="M279" s="428">
        <v>52000</v>
      </c>
      <c r="N279" s="428">
        <v>52000</v>
      </c>
      <c r="O279" s="1751">
        <f t="shared" si="24"/>
        <v>50538.461538461539</v>
      </c>
    </row>
    <row r="280" spans="1:15">
      <c r="A280" s="1849" t="s">
        <v>6</v>
      </c>
      <c r="B280" s="428">
        <v>49000</v>
      </c>
      <c r="C280" s="428">
        <v>50000</v>
      </c>
      <c r="D280" s="428">
        <v>50000</v>
      </c>
      <c r="E280" s="428">
        <v>50000</v>
      </c>
      <c r="F280" s="428">
        <v>50000</v>
      </c>
      <c r="G280" s="428">
        <v>51000</v>
      </c>
      <c r="H280" s="428">
        <v>51000</v>
      </c>
      <c r="I280" s="428">
        <v>51000</v>
      </c>
      <c r="J280" s="428">
        <v>52000</v>
      </c>
      <c r="K280" s="428">
        <v>52000</v>
      </c>
      <c r="L280" s="428">
        <v>52000</v>
      </c>
      <c r="M280" s="428">
        <v>52000</v>
      </c>
      <c r="N280" s="428">
        <v>53000</v>
      </c>
      <c r="O280" s="1751">
        <f t="shared" si="24"/>
        <v>51000</v>
      </c>
    </row>
    <row r="281" spans="1:15">
      <c r="A281" s="1849" t="s">
        <v>1066</v>
      </c>
      <c r="B281" s="428">
        <v>32000</v>
      </c>
      <c r="C281" s="428">
        <v>32000</v>
      </c>
      <c r="D281" s="428">
        <v>32000</v>
      </c>
      <c r="E281" s="428">
        <v>32000</v>
      </c>
      <c r="F281" s="428">
        <v>32000</v>
      </c>
      <c r="G281" s="428">
        <v>32000</v>
      </c>
      <c r="H281" s="428">
        <v>32000</v>
      </c>
      <c r="I281" s="428">
        <v>32000</v>
      </c>
      <c r="J281" s="428">
        <v>32000</v>
      </c>
      <c r="K281" s="428">
        <v>32000</v>
      </c>
      <c r="L281" s="428">
        <v>32000</v>
      </c>
      <c r="M281" s="428">
        <v>32000</v>
      </c>
      <c r="N281" s="428">
        <v>32000</v>
      </c>
      <c r="O281" s="1751">
        <f t="shared" si="24"/>
        <v>32000</v>
      </c>
    </row>
    <row r="282" spans="1:15">
      <c r="A282" s="1849" t="s">
        <v>7</v>
      </c>
      <c r="B282" s="428">
        <v>689000</v>
      </c>
      <c r="C282" s="428">
        <v>693000</v>
      </c>
      <c r="D282" s="428">
        <v>697000</v>
      </c>
      <c r="E282" s="428">
        <v>701000</v>
      </c>
      <c r="F282" s="428">
        <v>705000</v>
      </c>
      <c r="G282" s="428">
        <v>709000</v>
      </c>
      <c r="H282" s="428">
        <v>713000</v>
      </c>
      <c r="I282" s="428">
        <v>717000</v>
      </c>
      <c r="J282" s="428">
        <v>721000</v>
      </c>
      <c r="K282" s="428">
        <v>725000</v>
      </c>
      <c r="L282" s="428">
        <v>729000</v>
      </c>
      <c r="M282" s="428">
        <v>733000</v>
      </c>
      <c r="N282" s="428">
        <v>737000</v>
      </c>
      <c r="O282" s="1751">
        <f t="shared" si="24"/>
        <v>713000</v>
      </c>
    </row>
    <row r="283" spans="1:15">
      <c r="A283" s="1849" t="s">
        <v>8</v>
      </c>
      <c r="B283" s="428">
        <v>13000</v>
      </c>
      <c r="C283" s="428">
        <v>13000</v>
      </c>
      <c r="D283" s="428">
        <v>13000</v>
      </c>
      <c r="E283" s="428">
        <v>13000</v>
      </c>
      <c r="F283" s="428">
        <v>13000</v>
      </c>
      <c r="G283" s="428">
        <v>13000</v>
      </c>
      <c r="H283" s="428">
        <v>13000</v>
      </c>
      <c r="I283" s="428">
        <v>13000</v>
      </c>
      <c r="J283" s="428">
        <v>13000</v>
      </c>
      <c r="K283" s="428">
        <v>13000</v>
      </c>
      <c r="L283" s="428">
        <v>13000</v>
      </c>
      <c r="M283" s="428">
        <v>13000</v>
      </c>
      <c r="N283" s="428">
        <v>13000</v>
      </c>
      <c r="O283" s="1751">
        <f t="shared" si="24"/>
        <v>13000</v>
      </c>
    </row>
    <row r="284" spans="1:15">
      <c r="A284" s="1849" t="s">
        <v>9</v>
      </c>
      <c r="B284" s="428">
        <v>327000</v>
      </c>
      <c r="C284" s="428">
        <v>329000</v>
      </c>
      <c r="D284" s="428">
        <v>332000</v>
      </c>
      <c r="E284" s="428">
        <v>334000</v>
      </c>
      <c r="F284" s="428">
        <v>337000</v>
      </c>
      <c r="G284" s="428">
        <v>339000</v>
      </c>
      <c r="H284" s="428">
        <v>341000</v>
      </c>
      <c r="I284" s="428">
        <v>344000</v>
      </c>
      <c r="J284" s="428">
        <v>346000</v>
      </c>
      <c r="K284" s="428">
        <v>349000</v>
      </c>
      <c r="L284" s="428">
        <v>351000</v>
      </c>
      <c r="M284" s="428">
        <v>353000</v>
      </c>
      <c r="N284" s="428">
        <v>356000</v>
      </c>
      <c r="O284" s="1751">
        <f t="shared" si="24"/>
        <v>341384.61538461538</v>
      </c>
    </row>
    <row r="285" spans="1:15">
      <c r="A285" s="1849" t="s">
        <v>10</v>
      </c>
      <c r="B285" s="428">
        <v>12000</v>
      </c>
      <c r="C285" s="428">
        <v>12000</v>
      </c>
      <c r="D285" s="428">
        <v>12000</v>
      </c>
      <c r="E285" s="428">
        <v>12000</v>
      </c>
      <c r="F285" s="428">
        <v>12000</v>
      </c>
      <c r="G285" s="428">
        <v>12000</v>
      </c>
      <c r="H285" s="428">
        <v>12000</v>
      </c>
      <c r="I285" s="428">
        <v>12000</v>
      </c>
      <c r="J285" s="428">
        <v>12000</v>
      </c>
      <c r="K285" s="428">
        <v>12000</v>
      </c>
      <c r="L285" s="428">
        <v>12000</v>
      </c>
      <c r="M285" s="428">
        <v>12000</v>
      </c>
      <c r="N285" s="428">
        <v>12000</v>
      </c>
      <c r="O285" s="1751">
        <f t="shared" si="24"/>
        <v>12000</v>
      </c>
    </row>
    <row r="286" spans="1:15">
      <c r="A286" s="1849" t="s">
        <v>11</v>
      </c>
      <c r="B286" s="428">
        <v>111000</v>
      </c>
      <c r="C286" s="428">
        <v>112000</v>
      </c>
      <c r="D286" s="428">
        <v>113000</v>
      </c>
      <c r="E286" s="428">
        <v>113000</v>
      </c>
      <c r="F286" s="428">
        <v>114000</v>
      </c>
      <c r="G286" s="428">
        <v>69000</v>
      </c>
      <c r="H286" s="428">
        <v>69000</v>
      </c>
      <c r="I286" s="428">
        <v>70000</v>
      </c>
      <c r="J286" s="428">
        <v>70000</v>
      </c>
      <c r="K286" s="428">
        <v>71000</v>
      </c>
      <c r="L286" s="428">
        <v>71000</v>
      </c>
      <c r="M286" s="428">
        <v>72000</v>
      </c>
      <c r="N286" s="428">
        <v>72000</v>
      </c>
      <c r="O286" s="1751">
        <f t="shared" si="24"/>
        <v>86692.307692307688</v>
      </c>
    </row>
    <row r="287" spans="1:15">
      <c r="A287" s="1849" t="s">
        <v>12</v>
      </c>
      <c r="B287" s="428">
        <v>70000</v>
      </c>
      <c r="C287" s="428">
        <v>70000</v>
      </c>
      <c r="D287" s="428">
        <v>70000</v>
      </c>
      <c r="E287" s="428">
        <v>71000</v>
      </c>
      <c r="F287" s="428">
        <v>71000</v>
      </c>
      <c r="G287" s="428">
        <v>71000</v>
      </c>
      <c r="H287" s="428">
        <v>71000</v>
      </c>
      <c r="I287" s="428">
        <v>71000</v>
      </c>
      <c r="J287" s="428">
        <v>71000</v>
      </c>
      <c r="K287" s="428">
        <v>71000</v>
      </c>
      <c r="L287" s="428">
        <v>72000</v>
      </c>
      <c r="M287" s="428">
        <v>72000</v>
      </c>
      <c r="N287" s="428">
        <v>72000</v>
      </c>
      <c r="O287" s="1751">
        <f t="shared" si="24"/>
        <v>71000</v>
      </c>
    </row>
    <row r="288" spans="1:15">
      <c r="A288" s="1849" t="s">
        <v>1126</v>
      </c>
      <c r="B288" s="428">
        <v>42000</v>
      </c>
      <c r="C288" s="428">
        <v>42000</v>
      </c>
      <c r="D288" s="428">
        <v>42000</v>
      </c>
      <c r="E288" s="428">
        <v>43000</v>
      </c>
      <c r="F288" s="428">
        <v>43000</v>
      </c>
      <c r="G288" s="428">
        <v>43000</v>
      </c>
      <c r="H288" s="428">
        <v>43000</v>
      </c>
      <c r="I288" s="428">
        <v>43000</v>
      </c>
      <c r="J288" s="428">
        <v>44000</v>
      </c>
      <c r="K288" s="428">
        <v>44000</v>
      </c>
      <c r="L288" s="428">
        <v>44000</v>
      </c>
      <c r="M288" s="428">
        <v>44000</v>
      </c>
      <c r="N288" s="428">
        <v>45000</v>
      </c>
      <c r="O288" s="1751">
        <f t="shared" si="24"/>
        <v>43230.769230769234</v>
      </c>
    </row>
    <row r="289" spans="1:15">
      <c r="A289" s="1849" t="s">
        <v>13</v>
      </c>
      <c r="B289" s="428">
        <v>146000</v>
      </c>
      <c r="C289" s="428">
        <v>147000</v>
      </c>
      <c r="D289" s="428">
        <v>147000</v>
      </c>
      <c r="E289" s="428">
        <v>147000</v>
      </c>
      <c r="F289" s="428">
        <v>148000</v>
      </c>
      <c r="G289" s="428">
        <v>148000</v>
      </c>
      <c r="H289" s="428">
        <v>149000</v>
      </c>
      <c r="I289" s="428">
        <v>149000</v>
      </c>
      <c r="J289" s="428">
        <v>149000</v>
      </c>
      <c r="K289" s="428">
        <v>150000</v>
      </c>
      <c r="L289" s="428">
        <v>150000</v>
      </c>
      <c r="M289" s="428">
        <v>151000</v>
      </c>
      <c r="N289" s="428">
        <v>151000</v>
      </c>
      <c r="O289" s="1751">
        <f t="shared" si="24"/>
        <v>148615.38461538462</v>
      </c>
    </row>
    <row r="290" spans="1:15">
      <c r="A290" s="1849" t="s">
        <v>14</v>
      </c>
      <c r="B290" s="428">
        <v>485000</v>
      </c>
      <c r="C290" s="428">
        <v>488000</v>
      </c>
      <c r="D290" s="428">
        <v>491000</v>
      </c>
      <c r="E290" s="428">
        <v>494000</v>
      </c>
      <c r="F290" s="428">
        <v>497000</v>
      </c>
      <c r="G290" s="428">
        <v>500000</v>
      </c>
      <c r="H290" s="428">
        <v>503000</v>
      </c>
      <c r="I290" s="428">
        <v>506000</v>
      </c>
      <c r="J290" s="428">
        <v>509000</v>
      </c>
      <c r="K290" s="428">
        <v>512000</v>
      </c>
      <c r="L290" s="428">
        <v>515000</v>
      </c>
      <c r="M290" s="428">
        <v>518000</v>
      </c>
      <c r="N290" s="428">
        <v>521000</v>
      </c>
      <c r="O290" s="1751">
        <f t="shared" si="24"/>
        <v>503000</v>
      </c>
    </row>
    <row r="291" spans="1:15">
      <c r="A291" s="1849" t="s">
        <v>1081</v>
      </c>
      <c r="B291" s="428">
        <v>1573000</v>
      </c>
      <c r="C291" s="428">
        <v>1585000</v>
      </c>
      <c r="D291" s="428">
        <v>1597000</v>
      </c>
      <c r="E291" s="428">
        <v>1608000</v>
      </c>
      <c r="F291" s="428">
        <v>1620000</v>
      </c>
      <c r="G291" s="428">
        <v>1632000</v>
      </c>
      <c r="H291" s="428">
        <v>1643000</v>
      </c>
      <c r="I291" s="428">
        <v>1655000</v>
      </c>
      <c r="J291" s="428">
        <v>1667000</v>
      </c>
      <c r="K291" s="428">
        <v>1678000</v>
      </c>
      <c r="L291" s="428">
        <v>1690000</v>
      </c>
      <c r="M291" s="428">
        <v>1702000</v>
      </c>
      <c r="N291" s="428">
        <v>1713000</v>
      </c>
      <c r="O291" s="1751">
        <f t="shared" si="24"/>
        <v>1643307.6923076923</v>
      </c>
    </row>
    <row r="292" spans="1:15">
      <c r="A292" s="1849" t="s">
        <v>15</v>
      </c>
      <c r="B292" s="428">
        <v>702000</v>
      </c>
      <c r="C292" s="428">
        <v>704000</v>
      </c>
      <c r="D292" s="428">
        <v>707000</v>
      </c>
      <c r="E292" s="428">
        <v>709000</v>
      </c>
      <c r="F292" s="428">
        <v>711000</v>
      </c>
      <c r="G292" s="428">
        <v>713000</v>
      </c>
      <c r="H292" s="428">
        <v>715000</v>
      </c>
      <c r="I292" s="428">
        <v>718000</v>
      </c>
      <c r="J292" s="428">
        <v>720000</v>
      </c>
      <c r="K292" s="428">
        <v>722000</v>
      </c>
      <c r="L292" s="428">
        <v>724000</v>
      </c>
      <c r="M292" s="428">
        <v>727000</v>
      </c>
      <c r="N292" s="428">
        <v>729000</v>
      </c>
      <c r="O292" s="1751">
        <f t="shared" si="24"/>
        <v>715461.5384615385</v>
      </c>
    </row>
    <row r="293" spans="1:15">
      <c r="A293" s="1849" t="s">
        <v>1168</v>
      </c>
      <c r="B293" s="428">
        <v>5000</v>
      </c>
      <c r="C293" s="428">
        <v>5000</v>
      </c>
      <c r="D293" s="428">
        <v>5000</v>
      </c>
      <c r="E293" s="428">
        <v>5000</v>
      </c>
      <c r="F293" s="428">
        <v>5000</v>
      </c>
      <c r="G293" s="428">
        <v>5000</v>
      </c>
      <c r="H293" s="428">
        <v>5000</v>
      </c>
      <c r="I293" s="428">
        <v>5000</v>
      </c>
      <c r="J293" s="428">
        <v>5000</v>
      </c>
      <c r="K293" s="428">
        <v>5000</v>
      </c>
      <c r="L293" s="428">
        <v>5000</v>
      </c>
      <c r="M293" s="428">
        <v>5000</v>
      </c>
      <c r="N293" s="428">
        <v>5000</v>
      </c>
      <c r="O293" s="1751">
        <f t="shared" si="24"/>
        <v>5000</v>
      </c>
    </row>
    <row r="294" spans="1:15">
      <c r="A294" s="1849" t="s">
        <v>16</v>
      </c>
      <c r="B294" s="428">
        <v>78000</v>
      </c>
      <c r="C294" s="428">
        <v>78000</v>
      </c>
      <c r="D294" s="428">
        <v>78000</v>
      </c>
      <c r="E294" s="428">
        <v>79000</v>
      </c>
      <c r="F294" s="428">
        <v>79000</v>
      </c>
      <c r="G294" s="428">
        <v>79000</v>
      </c>
      <c r="H294" s="428">
        <v>80000</v>
      </c>
      <c r="I294" s="428">
        <v>80000</v>
      </c>
      <c r="J294" s="428">
        <v>80000</v>
      </c>
      <c r="K294" s="428">
        <v>81000</v>
      </c>
      <c r="L294" s="428">
        <v>81000</v>
      </c>
      <c r="M294" s="428">
        <v>81000</v>
      </c>
      <c r="N294" s="428">
        <v>82000</v>
      </c>
      <c r="O294" s="1751">
        <f t="shared" si="24"/>
        <v>79692.307692307688</v>
      </c>
    </row>
    <row r="295" spans="1:15">
      <c r="A295" s="1849" t="s">
        <v>17</v>
      </c>
      <c r="B295" s="428">
        <v>6000</v>
      </c>
      <c r="C295" s="428">
        <v>6000</v>
      </c>
      <c r="D295" s="428">
        <v>6000</v>
      </c>
      <c r="E295" s="428">
        <v>6000</v>
      </c>
      <c r="F295" s="428">
        <v>6000</v>
      </c>
      <c r="G295" s="428">
        <v>6000</v>
      </c>
      <c r="H295" s="428">
        <v>6000</v>
      </c>
      <c r="I295" s="428">
        <v>6000</v>
      </c>
      <c r="J295" s="428">
        <v>6000</v>
      </c>
      <c r="K295" s="428">
        <v>6000</v>
      </c>
      <c r="L295" s="428">
        <v>6000</v>
      </c>
      <c r="M295" s="428">
        <v>6000</v>
      </c>
      <c r="N295" s="428">
        <v>6000</v>
      </c>
      <c r="O295" s="1751">
        <f t="shared" si="24"/>
        <v>6000</v>
      </c>
    </row>
    <row r="296" spans="1:15">
      <c r="A296" s="1849" t="s">
        <v>18</v>
      </c>
      <c r="B296" s="428">
        <v>26000</v>
      </c>
      <c r="C296" s="428">
        <v>26000</v>
      </c>
      <c r="D296" s="428">
        <v>26000</v>
      </c>
      <c r="E296" s="428">
        <v>26000</v>
      </c>
      <c r="F296" s="428">
        <v>27000</v>
      </c>
      <c r="G296" s="428">
        <v>27000</v>
      </c>
      <c r="H296" s="428">
        <v>27000</v>
      </c>
      <c r="I296" s="428">
        <v>27000</v>
      </c>
      <c r="J296" s="428">
        <v>28000</v>
      </c>
      <c r="K296" s="428">
        <v>28000</v>
      </c>
      <c r="L296" s="428">
        <v>28000</v>
      </c>
      <c r="M296" s="428">
        <v>28000</v>
      </c>
      <c r="N296" s="428">
        <v>28000</v>
      </c>
      <c r="O296" s="1751">
        <f t="shared" si="24"/>
        <v>27076.923076923078</v>
      </c>
    </row>
    <row r="297" spans="1:15">
      <c r="A297" s="1849" t="s">
        <v>19</v>
      </c>
      <c r="B297" s="428">
        <v>69000</v>
      </c>
      <c r="C297" s="428">
        <v>69000</v>
      </c>
      <c r="D297" s="428">
        <v>69000</v>
      </c>
      <c r="E297" s="428">
        <v>69000</v>
      </c>
      <c r="F297" s="428">
        <v>70000</v>
      </c>
      <c r="G297" s="428">
        <v>70000</v>
      </c>
      <c r="H297" s="428">
        <v>70000</v>
      </c>
      <c r="I297" s="428">
        <v>70000</v>
      </c>
      <c r="J297" s="428">
        <v>70000</v>
      </c>
      <c r="K297" s="428">
        <v>70000</v>
      </c>
      <c r="L297" s="428">
        <v>70000</v>
      </c>
      <c r="M297" s="428">
        <v>71000</v>
      </c>
      <c r="N297" s="428">
        <v>71000</v>
      </c>
      <c r="O297" s="1751">
        <f t="shared" si="24"/>
        <v>69846.153846153844</v>
      </c>
    </row>
    <row r="298" spans="1:15">
      <c r="A298" s="1849" t="s">
        <v>20</v>
      </c>
      <c r="B298" s="428">
        <v>63000</v>
      </c>
      <c r="C298" s="428">
        <v>63000</v>
      </c>
      <c r="D298" s="428">
        <v>63000</v>
      </c>
      <c r="E298" s="428">
        <v>63000</v>
      </c>
      <c r="F298" s="428">
        <v>63000</v>
      </c>
      <c r="G298" s="428">
        <v>63000</v>
      </c>
      <c r="H298" s="428">
        <v>63000</v>
      </c>
      <c r="I298" s="428">
        <v>63000</v>
      </c>
      <c r="J298" s="428">
        <v>63000</v>
      </c>
      <c r="K298" s="428">
        <v>64000</v>
      </c>
      <c r="L298" s="428">
        <v>64000</v>
      </c>
      <c r="M298" s="428">
        <v>64000</v>
      </c>
      <c r="N298" s="428">
        <v>64000</v>
      </c>
      <c r="O298" s="1751">
        <f t="shared" si="24"/>
        <v>63307.692307692305</v>
      </c>
    </row>
    <row r="299" spans="1:15">
      <c r="A299" s="1849" t="s">
        <v>1127</v>
      </c>
      <c r="B299" s="428">
        <v>14000</v>
      </c>
      <c r="C299" s="428">
        <v>14000</v>
      </c>
      <c r="D299" s="428">
        <v>14000</v>
      </c>
      <c r="E299" s="428">
        <v>14000</v>
      </c>
      <c r="F299" s="428">
        <v>14000</v>
      </c>
      <c r="G299" s="428">
        <v>15000</v>
      </c>
      <c r="H299" s="428">
        <v>15000</v>
      </c>
      <c r="I299" s="428">
        <v>15000</v>
      </c>
      <c r="J299" s="428">
        <v>15000</v>
      </c>
      <c r="K299" s="428">
        <v>15000</v>
      </c>
      <c r="L299" s="428">
        <v>15000</v>
      </c>
      <c r="M299" s="428">
        <v>15000</v>
      </c>
      <c r="N299" s="428">
        <v>15000</v>
      </c>
      <c r="O299" s="1751">
        <f t="shared" si="24"/>
        <v>14615.384615384615</v>
      </c>
    </row>
    <row r="300" spans="1:15">
      <c r="A300" s="1849" t="s">
        <v>21</v>
      </c>
      <c r="B300" s="428">
        <v>53000</v>
      </c>
      <c r="C300" s="428">
        <v>53000</v>
      </c>
      <c r="D300" s="428">
        <v>53000</v>
      </c>
      <c r="E300" s="428">
        <v>53000</v>
      </c>
      <c r="F300" s="428">
        <v>53000</v>
      </c>
      <c r="G300" s="428">
        <v>53000</v>
      </c>
      <c r="H300" s="428">
        <v>53000</v>
      </c>
      <c r="I300" s="428">
        <v>53000</v>
      </c>
      <c r="J300" s="428">
        <v>53000</v>
      </c>
      <c r="K300" s="428">
        <v>53000</v>
      </c>
      <c r="L300" s="428">
        <v>53000</v>
      </c>
      <c r="M300" s="428">
        <v>53000</v>
      </c>
      <c r="N300" s="428">
        <v>54000</v>
      </c>
      <c r="O300" s="1751">
        <f t="shared" si="24"/>
        <v>53076.923076923078</v>
      </c>
    </row>
    <row r="301" spans="1:15">
      <c r="A301" s="1849" t="s">
        <v>22</v>
      </c>
      <c r="B301" s="428">
        <v>115000</v>
      </c>
      <c r="C301" s="428">
        <v>115000</v>
      </c>
      <c r="D301" s="428">
        <v>116000</v>
      </c>
      <c r="E301" s="428">
        <v>116000</v>
      </c>
      <c r="F301" s="428">
        <v>117000</v>
      </c>
      <c r="G301" s="428">
        <v>117000</v>
      </c>
      <c r="H301" s="428">
        <v>118000</v>
      </c>
      <c r="I301" s="428">
        <v>118000</v>
      </c>
      <c r="J301" s="428">
        <v>119000</v>
      </c>
      <c r="K301" s="428">
        <v>119000</v>
      </c>
      <c r="L301" s="428">
        <v>120000</v>
      </c>
      <c r="M301" s="428">
        <v>120000</v>
      </c>
      <c r="N301" s="428">
        <v>121000</v>
      </c>
      <c r="O301" s="1751">
        <f t="shared" si="24"/>
        <v>117769.23076923077</v>
      </c>
    </row>
    <row r="302" spans="1:15">
      <c r="A302" s="1849" t="s">
        <v>1082</v>
      </c>
      <c r="B302" s="428">
        <v>742000</v>
      </c>
      <c r="C302" s="428">
        <v>746000</v>
      </c>
      <c r="D302" s="428">
        <v>750000</v>
      </c>
      <c r="E302" s="428">
        <v>754000</v>
      </c>
      <c r="F302" s="428">
        <v>758000</v>
      </c>
      <c r="G302" s="428">
        <v>762000</v>
      </c>
      <c r="H302" s="428">
        <v>766000</v>
      </c>
      <c r="I302" s="428">
        <v>770000</v>
      </c>
      <c r="J302" s="428">
        <v>774000</v>
      </c>
      <c r="K302" s="428">
        <v>778000</v>
      </c>
      <c r="L302" s="428">
        <v>782000</v>
      </c>
      <c r="M302" s="428">
        <v>787000</v>
      </c>
      <c r="N302" s="428">
        <v>791000</v>
      </c>
      <c r="O302" s="1751">
        <f t="shared" si="24"/>
        <v>766153.84615384613</v>
      </c>
    </row>
    <row r="303" spans="1:15">
      <c r="A303" s="1849" t="s">
        <v>1128</v>
      </c>
      <c r="B303" s="428">
        <v>164000</v>
      </c>
      <c r="C303" s="428">
        <v>165000</v>
      </c>
      <c r="D303" s="428">
        <v>166000</v>
      </c>
      <c r="E303" s="428">
        <v>166000</v>
      </c>
      <c r="F303" s="428">
        <v>167000</v>
      </c>
      <c r="G303" s="428">
        <v>168000</v>
      </c>
      <c r="H303" s="428">
        <v>169000</v>
      </c>
      <c r="I303" s="428">
        <v>169000</v>
      </c>
      <c r="J303" s="428">
        <v>170000</v>
      </c>
      <c r="K303" s="428">
        <v>171000</v>
      </c>
      <c r="L303" s="428">
        <v>171000</v>
      </c>
      <c r="M303" s="428">
        <v>172000</v>
      </c>
      <c r="N303" s="428">
        <v>173000</v>
      </c>
      <c r="O303" s="1751">
        <f t="shared" si="24"/>
        <v>168538.46153846153</v>
      </c>
    </row>
    <row r="304" spans="1:15">
      <c r="A304" s="1849" t="s">
        <v>1169</v>
      </c>
      <c r="B304" s="428">
        <v>1333000</v>
      </c>
      <c r="C304" s="428">
        <v>1338000</v>
      </c>
      <c r="D304" s="428">
        <v>1342000</v>
      </c>
      <c r="E304" s="428">
        <v>1346000</v>
      </c>
      <c r="F304" s="428">
        <v>1351000</v>
      </c>
      <c r="G304" s="428">
        <v>1355000</v>
      </c>
      <c r="H304" s="428">
        <v>1360000</v>
      </c>
      <c r="I304" s="428">
        <v>1364000</v>
      </c>
      <c r="J304" s="428">
        <v>1369000</v>
      </c>
      <c r="K304" s="428">
        <v>1373000</v>
      </c>
      <c r="L304" s="428">
        <v>1378000</v>
      </c>
      <c r="M304" s="428">
        <v>1382000</v>
      </c>
      <c r="N304" s="428">
        <v>1387000</v>
      </c>
      <c r="O304" s="1751">
        <f t="shared" si="24"/>
        <v>1359846.1538461538</v>
      </c>
    </row>
    <row r="305" spans="1:15">
      <c r="A305" s="1849" t="s">
        <v>1083</v>
      </c>
      <c r="B305" s="428">
        <v>7324000</v>
      </c>
      <c r="C305" s="428">
        <v>7353000</v>
      </c>
      <c r="D305" s="428">
        <v>7382000</v>
      </c>
      <c r="E305" s="428">
        <v>7411000</v>
      </c>
      <c r="F305" s="428">
        <v>7440000</v>
      </c>
      <c r="G305" s="428">
        <v>7469000</v>
      </c>
      <c r="H305" s="428">
        <v>7499000</v>
      </c>
      <c r="I305" s="428">
        <v>7528000</v>
      </c>
      <c r="J305" s="428">
        <v>7557000</v>
      </c>
      <c r="K305" s="428">
        <v>7586000</v>
      </c>
      <c r="L305" s="428">
        <v>7615000</v>
      </c>
      <c r="M305" s="428">
        <v>7644000</v>
      </c>
      <c r="N305" s="428">
        <v>7673000</v>
      </c>
      <c r="O305" s="1751">
        <f t="shared" si="24"/>
        <v>7498538.461538462</v>
      </c>
    </row>
    <row r="306" spans="1:15">
      <c r="A306" s="1849" t="s">
        <v>1129</v>
      </c>
      <c r="B306" s="428">
        <v>1821000</v>
      </c>
      <c r="C306" s="428">
        <v>1826000</v>
      </c>
      <c r="D306" s="428">
        <v>1831000</v>
      </c>
      <c r="E306" s="428">
        <v>1835000</v>
      </c>
      <c r="F306" s="428">
        <v>1840000</v>
      </c>
      <c r="G306" s="428">
        <v>1845000</v>
      </c>
      <c r="H306" s="428">
        <v>1850000</v>
      </c>
      <c r="I306" s="428">
        <v>1855000</v>
      </c>
      <c r="J306" s="428">
        <v>1860000</v>
      </c>
      <c r="K306" s="428">
        <v>1865000</v>
      </c>
      <c r="L306" s="428">
        <v>1870000</v>
      </c>
      <c r="M306" s="428">
        <v>1875000</v>
      </c>
      <c r="N306" s="428">
        <v>1880000</v>
      </c>
      <c r="O306" s="1751">
        <f t="shared" si="24"/>
        <v>1850230.7692307692</v>
      </c>
    </row>
    <row r="307" spans="1:15">
      <c r="A307" s="1849" t="s">
        <v>1130</v>
      </c>
      <c r="B307" s="428">
        <v>442000</v>
      </c>
      <c r="C307" s="428">
        <v>444000</v>
      </c>
      <c r="D307" s="428">
        <v>445000</v>
      </c>
      <c r="E307" s="428">
        <v>447000</v>
      </c>
      <c r="F307" s="428">
        <v>448000</v>
      </c>
      <c r="G307" s="428">
        <v>449000</v>
      </c>
      <c r="H307" s="428">
        <v>451000</v>
      </c>
      <c r="I307" s="428">
        <v>452000</v>
      </c>
      <c r="J307" s="428">
        <v>454000</v>
      </c>
      <c r="K307" s="428">
        <v>455000</v>
      </c>
      <c r="L307" s="428">
        <v>456000</v>
      </c>
      <c r="M307" s="428">
        <v>458000</v>
      </c>
      <c r="N307" s="428">
        <v>459000</v>
      </c>
      <c r="O307" s="1751">
        <f t="shared" si="24"/>
        <v>450769.23076923075</v>
      </c>
    </row>
    <row r="308" spans="1:15">
      <c r="A308" s="1849" t="s">
        <v>1131</v>
      </c>
      <c r="B308" s="428">
        <v>971000</v>
      </c>
      <c r="C308" s="428">
        <v>975000</v>
      </c>
      <c r="D308" s="428">
        <v>979000</v>
      </c>
      <c r="E308" s="428">
        <v>983000</v>
      </c>
      <c r="F308" s="428">
        <v>987000</v>
      </c>
      <c r="G308" s="428">
        <v>991000</v>
      </c>
      <c r="H308" s="428">
        <v>995000</v>
      </c>
      <c r="I308" s="428">
        <v>999000</v>
      </c>
      <c r="J308" s="428">
        <v>1003000</v>
      </c>
      <c r="K308" s="428">
        <v>1007000</v>
      </c>
      <c r="L308" s="428">
        <v>1011000</v>
      </c>
      <c r="M308" s="428">
        <v>1015000</v>
      </c>
      <c r="N308" s="428">
        <v>1019000</v>
      </c>
      <c r="O308" s="1751">
        <f>AVERAGE(B308:N308)</f>
        <v>995000</v>
      </c>
    </row>
    <row r="309" spans="1:15">
      <c r="A309" s="1849" t="s">
        <v>23</v>
      </c>
      <c r="B309" s="428">
        <v>4000</v>
      </c>
      <c r="C309" s="428">
        <v>4000</v>
      </c>
      <c r="D309" s="428">
        <v>4000</v>
      </c>
      <c r="E309" s="428">
        <v>4000</v>
      </c>
      <c r="F309" s="428">
        <v>4000</v>
      </c>
      <c r="G309" s="428">
        <v>4000</v>
      </c>
      <c r="H309" s="428">
        <v>4000</v>
      </c>
      <c r="I309" s="428">
        <v>4000</v>
      </c>
      <c r="J309" s="428">
        <v>4000</v>
      </c>
      <c r="K309" s="428">
        <v>4000</v>
      </c>
      <c r="L309" s="428">
        <v>4000</v>
      </c>
      <c r="M309" s="428">
        <v>4000</v>
      </c>
      <c r="N309" s="428">
        <v>4000</v>
      </c>
      <c r="O309" s="1751">
        <f>AVERAGE(B309:N309)</f>
        <v>4000</v>
      </c>
    </row>
    <row r="310" spans="1:15">
      <c r="A310" s="1335" t="s">
        <v>1151</v>
      </c>
      <c r="B310" s="1817">
        <f t="shared" ref="B310:O310" si="25">SUM(B237:B309)</f>
        <v>66659000</v>
      </c>
      <c r="C310" s="1817">
        <f t="shared" si="25"/>
        <v>66954000</v>
      </c>
      <c r="D310" s="1817">
        <f t="shared" si="25"/>
        <v>67252000</v>
      </c>
      <c r="E310" s="1817">
        <f t="shared" si="25"/>
        <v>67536000</v>
      </c>
      <c r="F310" s="1817">
        <f t="shared" si="25"/>
        <v>67831000</v>
      </c>
      <c r="G310" s="1817">
        <f t="shared" si="25"/>
        <v>68084000</v>
      </c>
      <c r="H310" s="1817">
        <f t="shared" si="25"/>
        <v>68379000</v>
      </c>
      <c r="I310" s="1817">
        <f t="shared" si="25"/>
        <v>68676000</v>
      </c>
      <c r="J310" s="1817">
        <f t="shared" si="25"/>
        <v>68967000</v>
      </c>
      <c r="K310" s="1817">
        <f t="shared" si="25"/>
        <v>69265000</v>
      </c>
      <c r="L310" s="1817">
        <f t="shared" si="25"/>
        <v>69557000</v>
      </c>
      <c r="M310" s="1817">
        <f t="shared" si="25"/>
        <v>69858000</v>
      </c>
      <c r="N310" s="1817">
        <f>SUM(N237:N309)</f>
        <v>70152000</v>
      </c>
      <c r="O310" s="1817">
        <f t="shared" si="25"/>
        <v>68397692.307692304</v>
      </c>
    </row>
    <row r="311" spans="1:15">
      <c r="A311" s="97"/>
      <c r="B311" s="1816"/>
      <c r="C311" s="1816"/>
      <c r="D311" s="1816"/>
      <c r="E311" s="1816"/>
      <c r="F311" s="1816"/>
      <c r="G311" s="1816"/>
      <c r="H311" s="1816"/>
      <c r="I311" s="1816"/>
      <c r="J311" s="1816"/>
      <c r="K311" s="1816"/>
      <c r="L311" s="1816"/>
      <c r="M311" s="1816"/>
      <c r="N311" s="1816"/>
    </row>
    <row r="312" spans="1:15">
      <c r="A312" s="97"/>
      <c r="B312" s="1816"/>
      <c r="C312" s="1816"/>
      <c r="D312" s="1816"/>
      <c r="E312" s="1816"/>
      <c r="F312" s="1816"/>
      <c r="G312" s="1816"/>
      <c r="H312" s="1816"/>
      <c r="I312" s="1816"/>
      <c r="J312" s="1816"/>
      <c r="K312" s="1816"/>
      <c r="L312" s="1816"/>
      <c r="M312" s="1816"/>
      <c r="N312" s="1816"/>
    </row>
    <row r="313" spans="1:15">
      <c r="A313" s="1849" t="s">
        <v>1170</v>
      </c>
      <c r="B313" s="428">
        <v>65000</v>
      </c>
      <c r="C313" s="428">
        <v>66000</v>
      </c>
      <c r="D313" s="428">
        <v>66000</v>
      </c>
      <c r="E313" s="428">
        <v>66000</v>
      </c>
      <c r="F313" s="428">
        <v>66000</v>
      </c>
      <c r="G313" s="428">
        <v>66000</v>
      </c>
      <c r="H313" s="428">
        <v>67000</v>
      </c>
      <c r="I313" s="428">
        <v>67000</v>
      </c>
      <c r="J313" s="428">
        <v>67000</v>
      </c>
      <c r="K313" s="428">
        <v>67000</v>
      </c>
      <c r="L313" s="428">
        <v>68000</v>
      </c>
      <c r="M313" s="428">
        <v>68000</v>
      </c>
      <c r="N313" s="428">
        <v>68000</v>
      </c>
      <c r="O313" s="1751">
        <f t="shared" ref="O313:O314" si="26">AVERAGE(B313:N313)</f>
        <v>66692.307692307688</v>
      </c>
    </row>
    <row r="314" spans="1:15">
      <c r="A314" s="1849" t="s">
        <v>1171</v>
      </c>
      <c r="B314" s="428">
        <v>3055000</v>
      </c>
      <c r="C314" s="428">
        <v>3061000</v>
      </c>
      <c r="D314" s="428">
        <v>3068000</v>
      </c>
      <c r="E314" s="428">
        <v>3074000</v>
      </c>
      <c r="F314" s="428">
        <v>3080000</v>
      </c>
      <c r="G314" s="428">
        <v>3086000</v>
      </c>
      <c r="H314" s="428">
        <v>3092000</v>
      </c>
      <c r="I314" s="428">
        <v>3098000</v>
      </c>
      <c r="J314" s="428">
        <v>3104000</v>
      </c>
      <c r="K314" s="428">
        <v>3110000</v>
      </c>
      <c r="L314" s="428">
        <v>3116000</v>
      </c>
      <c r="M314" s="428">
        <v>3122000</v>
      </c>
      <c r="N314" s="428">
        <v>3128000</v>
      </c>
      <c r="O314" s="1751">
        <f t="shared" si="26"/>
        <v>3091846.153846154</v>
      </c>
    </row>
    <row r="315" spans="1:15">
      <c r="A315" s="1849" t="s">
        <v>1172</v>
      </c>
      <c r="B315" s="428">
        <v>209000</v>
      </c>
      <c r="C315" s="428">
        <v>210000</v>
      </c>
      <c r="D315" s="428">
        <v>210000</v>
      </c>
      <c r="E315" s="428">
        <v>210000</v>
      </c>
      <c r="F315" s="428">
        <v>211000</v>
      </c>
      <c r="G315" s="428">
        <v>211000</v>
      </c>
      <c r="H315" s="428">
        <v>211000</v>
      </c>
      <c r="I315" s="428">
        <v>212000</v>
      </c>
      <c r="J315" s="428">
        <v>212000</v>
      </c>
      <c r="K315" s="428">
        <v>212000</v>
      </c>
      <c r="L315" s="428">
        <v>213000</v>
      </c>
      <c r="M315" s="428">
        <v>213000</v>
      </c>
      <c r="N315" s="428">
        <v>213000</v>
      </c>
      <c r="O315" s="1751">
        <f>AVERAGE(B315:N315)</f>
        <v>211307.69230769231</v>
      </c>
    </row>
    <row r="316" spans="1:15">
      <c r="A316" s="1335" t="s">
        <v>1152</v>
      </c>
      <c r="B316" s="1817">
        <f t="shared" ref="B316:O316" si="27">SUM(B313:B315)</f>
        <v>3329000</v>
      </c>
      <c r="C316" s="1817">
        <f t="shared" si="27"/>
        <v>3337000</v>
      </c>
      <c r="D316" s="1817">
        <f t="shared" si="27"/>
        <v>3344000</v>
      </c>
      <c r="E316" s="1817">
        <f t="shared" si="27"/>
        <v>3350000</v>
      </c>
      <c r="F316" s="1817">
        <f t="shared" si="27"/>
        <v>3357000</v>
      </c>
      <c r="G316" s="1817">
        <f t="shared" si="27"/>
        <v>3363000</v>
      </c>
      <c r="H316" s="1817">
        <f t="shared" si="27"/>
        <v>3370000</v>
      </c>
      <c r="I316" s="1817">
        <f t="shared" si="27"/>
        <v>3377000</v>
      </c>
      <c r="J316" s="1817">
        <f t="shared" si="27"/>
        <v>3383000</v>
      </c>
      <c r="K316" s="1817">
        <f t="shared" si="27"/>
        <v>3389000</v>
      </c>
      <c r="L316" s="1817">
        <f t="shared" si="27"/>
        <v>3397000</v>
      </c>
      <c r="M316" s="1817">
        <f t="shared" si="27"/>
        <v>3403000</v>
      </c>
      <c r="N316" s="1817">
        <f>SUM(N313:N315)</f>
        <v>3409000</v>
      </c>
      <c r="O316" s="1817">
        <f t="shared" si="27"/>
        <v>3369846.153846154</v>
      </c>
    </row>
    <row r="318" spans="1:15">
      <c r="A318" s="1812" t="s">
        <v>1141</v>
      </c>
      <c r="B318" s="374">
        <f t="shared" ref="B318:O318" si="28">B310+B211</f>
        <v>474813978.47727311</v>
      </c>
      <c r="C318" s="374">
        <f t="shared" si="28"/>
        <v>478919000</v>
      </c>
      <c r="D318" s="374">
        <f t="shared" si="28"/>
        <v>481601000</v>
      </c>
      <c r="E318" s="374">
        <f t="shared" si="28"/>
        <v>484443000</v>
      </c>
      <c r="F318" s="374">
        <f t="shared" si="28"/>
        <v>486272000</v>
      </c>
      <c r="G318" s="374">
        <f t="shared" si="28"/>
        <v>487082000</v>
      </c>
      <c r="H318" s="374">
        <f t="shared" si="28"/>
        <v>489498000</v>
      </c>
      <c r="I318" s="374">
        <f t="shared" si="28"/>
        <v>491776000</v>
      </c>
      <c r="J318" s="374">
        <f t="shared" si="28"/>
        <v>494549000</v>
      </c>
      <c r="K318" s="374">
        <f t="shared" si="28"/>
        <v>496997000</v>
      </c>
      <c r="L318" s="374">
        <f t="shared" si="28"/>
        <v>499901000</v>
      </c>
      <c r="M318" s="374">
        <f t="shared" si="28"/>
        <v>502679000</v>
      </c>
      <c r="N318" s="374">
        <f t="shared" si="28"/>
        <v>505577000</v>
      </c>
      <c r="O318" s="374">
        <f t="shared" si="28"/>
        <v>490315998.34440559</v>
      </c>
    </row>
    <row r="319" spans="1:15">
      <c r="A319" s="1812" t="s">
        <v>1162</v>
      </c>
      <c r="B319" s="374">
        <f t="shared" ref="B319:O319" si="29">B316+B225</f>
        <v>75045000</v>
      </c>
      <c r="C319" s="374">
        <f t="shared" si="29"/>
        <v>75176000</v>
      </c>
      <c r="D319" s="374">
        <f t="shared" si="29"/>
        <v>75308000</v>
      </c>
      <c r="E319" s="374">
        <f t="shared" si="29"/>
        <v>75437000</v>
      </c>
      <c r="F319" s="374">
        <f t="shared" si="29"/>
        <v>75569000</v>
      </c>
      <c r="G319" s="374">
        <f t="shared" si="29"/>
        <v>75697000</v>
      </c>
      <c r="H319" s="374">
        <f t="shared" si="29"/>
        <v>75830000</v>
      </c>
      <c r="I319" s="374">
        <f t="shared" si="29"/>
        <v>75961000</v>
      </c>
      <c r="J319" s="374">
        <f t="shared" si="29"/>
        <v>76090000</v>
      </c>
      <c r="K319" s="374">
        <f t="shared" si="29"/>
        <v>76221000</v>
      </c>
      <c r="L319" s="374">
        <f t="shared" si="29"/>
        <v>76355000</v>
      </c>
      <c r="M319" s="374">
        <f t="shared" si="29"/>
        <v>76486000</v>
      </c>
      <c r="N319" s="374">
        <f t="shared" si="29"/>
        <v>76617000</v>
      </c>
      <c r="O319" s="374">
        <f t="shared" si="29"/>
        <v>75830153.846153855</v>
      </c>
    </row>
    <row r="320" spans="1:15">
      <c r="A320" s="1812" t="s">
        <v>1142</v>
      </c>
      <c r="B320" s="374">
        <f t="shared" ref="B320:O320" si="30">B234</f>
        <v>48529000</v>
      </c>
      <c r="C320" s="374">
        <f t="shared" si="30"/>
        <v>48664000</v>
      </c>
      <c r="D320" s="374">
        <f t="shared" si="30"/>
        <v>48802000</v>
      </c>
      <c r="E320" s="374">
        <f t="shared" si="30"/>
        <v>48939000</v>
      </c>
      <c r="F320" s="374">
        <f t="shared" si="30"/>
        <v>49075000</v>
      </c>
      <c r="G320" s="374">
        <f t="shared" si="30"/>
        <v>49212000</v>
      </c>
      <c r="H320" s="374">
        <f t="shared" si="30"/>
        <v>49347000</v>
      </c>
      <c r="I320" s="374">
        <f t="shared" si="30"/>
        <v>49486000</v>
      </c>
      <c r="J320" s="374">
        <f t="shared" si="30"/>
        <v>49621000</v>
      </c>
      <c r="K320" s="374">
        <f t="shared" si="30"/>
        <v>49757000</v>
      </c>
      <c r="L320" s="374">
        <f t="shared" si="30"/>
        <v>49893000</v>
      </c>
      <c r="M320" s="374">
        <f t="shared" si="30"/>
        <v>50030000</v>
      </c>
      <c r="N320" s="374">
        <f t="shared" si="30"/>
        <v>50168000</v>
      </c>
      <c r="O320" s="374">
        <f t="shared" si="30"/>
        <v>49347923.07692308</v>
      </c>
    </row>
    <row r="321" spans="1:15">
      <c r="A321" s="1812" t="s">
        <v>1180</v>
      </c>
      <c r="B321" s="374">
        <f t="shared" ref="B321:O321" si="31">B213</f>
        <v>486000</v>
      </c>
      <c r="C321" s="374">
        <f t="shared" si="31"/>
        <v>495000</v>
      </c>
      <c r="D321" s="374">
        <f t="shared" si="31"/>
        <v>504000</v>
      </c>
      <c r="E321" s="374">
        <f t="shared" si="31"/>
        <v>511000</v>
      </c>
      <c r="F321" s="374">
        <f t="shared" si="31"/>
        <v>515000</v>
      </c>
      <c r="G321" s="374">
        <f t="shared" si="31"/>
        <v>520000</v>
      </c>
      <c r="H321" s="374">
        <f t="shared" si="31"/>
        <v>524000</v>
      </c>
      <c r="I321" s="374">
        <f t="shared" si="31"/>
        <v>528000</v>
      </c>
      <c r="J321" s="374">
        <f t="shared" si="31"/>
        <v>533000</v>
      </c>
      <c r="K321" s="374">
        <f t="shared" si="31"/>
        <v>537000</v>
      </c>
      <c r="L321" s="374">
        <f t="shared" si="31"/>
        <v>542000</v>
      </c>
      <c r="M321" s="374">
        <f t="shared" si="31"/>
        <v>546000</v>
      </c>
      <c r="N321" s="374">
        <f t="shared" si="31"/>
        <v>551000</v>
      </c>
      <c r="O321" s="374">
        <f t="shared" si="31"/>
        <v>522461.53846153844</v>
      </c>
    </row>
    <row r="322" spans="1:15">
      <c r="A322" s="1812" t="s">
        <v>1143</v>
      </c>
      <c r="B322" s="837">
        <f>SUM(B318:B321)</f>
        <v>598873978.47727311</v>
      </c>
      <c r="C322" s="837">
        <f t="shared" ref="C322:O322" si="32">SUM(C318:C321)</f>
        <v>603254000</v>
      </c>
      <c r="D322" s="837">
        <f t="shared" si="32"/>
        <v>606215000</v>
      </c>
      <c r="E322" s="837">
        <f t="shared" si="32"/>
        <v>609330000</v>
      </c>
      <c r="F322" s="837">
        <f t="shared" si="32"/>
        <v>611431000</v>
      </c>
      <c r="G322" s="837">
        <f t="shared" si="32"/>
        <v>612511000</v>
      </c>
      <c r="H322" s="837">
        <f t="shared" si="32"/>
        <v>615199000</v>
      </c>
      <c r="I322" s="837">
        <f t="shared" si="32"/>
        <v>617751000</v>
      </c>
      <c r="J322" s="837">
        <f t="shared" si="32"/>
        <v>620793000</v>
      </c>
      <c r="K322" s="837">
        <f t="shared" si="32"/>
        <v>623512000</v>
      </c>
      <c r="L322" s="837">
        <f t="shared" si="32"/>
        <v>626691000</v>
      </c>
      <c r="M322" s="837">
        <f t="shared" si="32"/>
        <v>629741000</v>
      </c>
      <c r="N322" s="837">
        <f>SUM(N318:N321)</f>
        <v>632913000</v>
      </c>
      <c r="O322" s="837">
        <f t="shared" si="32"/>
        <v>616016536.80594409</v>
      </c>
    </row>
    <row r="327" spans="1:15">
      <c r="B327" s="183"/>
      <c r="N327" s="183" t="s">
        <v>1144</v>
      </c>
    </row>
    <row r="329" spans="1:15">
      <c r="B329" s="445"/>
      <c r="C329" s="445"/>
      <c r="D329" s="445"/>
      <c r="E329" s="445"/>
      <c r="F329" s="445"/>
      <c r="G329" s="445"/>
      <c r="H329" s="445"/>
      <c r="I329" s="445"/>
      <c r="J329" s="445"/>
      <c r="K329" s="445"/>
      <c r="L329" s="445"/>
      <c r="M329" s="445"/>
      <c r="N329" s="445">
        <v>-598873978</v>
      </c>
    </row>
    <row r="330" spans="1:15">
      <c r="N330" s="445">
        <f>N322+N329</f>
        <v>34039022</v>
      </c>
    </row>
    <row r="332" spans="1:15">
      <c r="B332" s="445"/>
      <c r="C332" s="445"/>
      <c r="D332" s="445"/>
      <c r="E332" s="445"/>
      <c r="F332" s="445"/>
      <c r="G332" s="445"/>
      <c r="H332" s="445"/>
      <c r="I332" s="445"/>
      <c r="J332" s="445"/>
      <c r="K332" s="445"/>
      <c r="L332" s="445"/>
      <c r="M332" s="445"/>
      <c r="N332" s="445"/>
    </row>
  </sheetData>
  <sortState ref="A74:O147">
    <sortCondition ref="A74:A147"/>
  </sortState>
  <phoneticPr fontId="73" type="noConversion"/>
  <pageMargins left="1" right="1" top="0" bottom="0" header="0.17" footer="0.16"/>
  <pageSetup paperSize="5" scale="52" fitToHeight="0" orientation="landscape" r:id="rId1"/>
  <headerFooter alignWithMargins="0"/>
  <rowBreaks count="1" manualBreakCount="1">
    <brk id="16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4"/>
  <sheetViews>
    <sheetView zoomScale="75" zoomScaleNormal="75" zoomScaleSheetLayoutView="75" workbookViewId="0">
      <pane xSplit="1" ySplit="3" topLeftCell="B19" activePane="bottomRight" state="frozen"/>
      <selection activeCell="C309" sqref="C309"/>
      <selection pane="topRight" activeCell="C309" sqref="C309"/>
      <selection pane="bottomLeft" activeCell="C309" sqref="C309"/>
      <selection pane="bottomRight" activeCell="O55" sqref="O55"/>
    </sheetView>
  </sheetViews>
  <sheetFormatPr defaultRowHeight="12.75"/>
  <cols>
    <col min="1" max="1" width="40.5703125" customWidth="1"/>
    <col min="2" max="2" width="22.5703125" customWidth="1"/>
    <col min="3" max="3" width="16.5703125" bestFit="1" customWidth="1"/>
    <col min="4" max="4" width="15.140625" bestFit="1" customWidth="1"/>
    <col min="5" max="5" width="15.42578125" bestFit="1" customWidth="1"/>
    <col min="6" max="8" width="15.5703125" bestFit="1" customWidth="1"/>
    <col min="9" max="11" width="15.42578125" bestFit="1" customWidth="1"/>
    <col min="12" max="12" width="17" bestFit="1" customWidth="1"/>
    <col min="13" max="13" width="15.5703125" bestFit="1" customWidth="1"/>
    <col min="14" max="14" width="16.42578125" customWidth="1"/>
    <col min="15" max="15" width="19.7109375" customWidth="1"/>
    <col min="16" max="16" width="15.5703125" bestFit="1" customWidth="1"/>
    <col min="17" max="17" width="14" bestFit="1" customWidth="1"/>
    <col min="25" max="25" width="12.140625" customWidth="1"/>
    <col min="26" max="26" width="13.5703125" customWidth="1"/>
  </cols>
  <sheetData>
    <row r="1" spans="1:26">
      <c r="A1" s="775" t="s">
        <v>549</v>
      </c>
    </row>
    <row r="2" spans="1:26">
      <c r="P2" s="157" t="s">
        <v>978</v>
      </c>
    </row>
    <row r="3" spans="1:26">
      <c r="A3" s="145" t="s">
        <v>845</v>
      </c>
      <c r="B3" t="s">
        <v>26</v>
      </c>
      <c r="C3" s="899">
        <v>44561</v>
      </c>
      <c r="D3" s="899">
        <v>44562</v>
      </c>
      <c r="E3" s="899">
        <v>44593</v>
      </c>
      <c r="F3" s="899">
        <v>44621</v>
      </c>
      <c r="G3" s="899">
        <v>44652</v>
      </c>
      <c r="H3" s="899">
        <v>44682</v>
      </c>
      <c r="I3" s="899">
        <v>44713</v>
      </c>
      <c r="J3" s="899">
        <v>44743</v>
      </c>
      <c r="K3" s="899">
        <v>44774</v>
      </c>
      <c r="L3" s="899">
        <v>44805</v>
      </c>
      <c r="M3" s="899">
        <v>44835</v>
      </c>
      <c r="N3" s="899">
        <v>44866</v>
      </c>
      <c r="O3" s="899">
        <v>44896</v>
      </c>
      <c r="P3" s="898" t="s">
        <v>79</v>
      </c>
    </row>
    <row r="4" spans="1:26">
      <c r="A4" s="823" t="s">
        <v>753</v>
      </c>
    </row>
    <row r="5" spans="1:26">
      <c r="A5" t="s">
        <v>678</v>
      </c>
      <c r="B5" t="s">
        <v>31</v>
      </c>
      <c r="C5" s="1756">
        <v>4823860000</v>
      </c>
      <c r="D5" s="1756">
        <v>4823860000</v>
      </c>
      <c r="E5" s="1756">
        <v>4823860000</v>
      </c>
      <c r="F5" s="1756">
        <v>4823860000</v>
      </c>
      <c r="G5" s="1756">
        <v>4823860000</v>
      </c>
      <c r="H5" s="1756">
        <v>4823860000</v>
      </c>
      <c r="I5" s="1756">
        <v>4823860000</v>
      </c>
      <c r="J5" s="1756">
        <v>4823860000</v>
      </c>
      <c r="K5" s="1756">
        <v>4823860000</v>
      </c>
      <c r="L5" s="1756">
        <v>4823860000</v>
      </c>
      <c r="M5" s="1756">
        <v>4823860000</v>
      </c>
      <c r="N5" s="1756">
        <v>4823860000</v>
      </c>
      <c r="O5" s="1756">
        <v>4823860000</v>
      </c>
      <c r="P5" s="824">
        <f>AVERAGE(C5:O5)</f>
        <v>4823860000</v>
      </c>
      <c r="Q5" s="107"/>
    </row>
    <row r="6" spans="1:26">
      <c r="A6" t="s">
        <v>680</v>
      </c>
      <c r="B6" t="s">
        <v>32</v>
      </c>
      <c r="C6" s="1756">
        <v>0</v>
      </c>
      <c r="D6" s="1756">
        <v>0</v>
      </c>
      <c r="E6" s="1756">
        <v>0</v>
      </c>
      <c r="F6" s="1756">
        <v>0</v>
      </c>
      <c r="G6" s="1756">
        <v>0</v>
      </c>
      <c r="H6" s="1756">
        <v>0</v>
      </c>
      <c r="I6" s="1756">
        <v>0</v>
      </c>
      <c r="J6" s="1756">
        <v>0</v>
      </c>
      <c r="K6" s="1756">
        <v>0</v>
      </c>
      <c r="L6" s="1756">
        <v>0</v>
      </c>
      <c r="M6" s="1756">
        <v>0</v>
      </c>
      <c r="N6" s="1756">
        <v>0</v>
      </c>
      <c r="O6" s="1756">
        <v>0</v>
      </c>
      <c r="P6" s="824">
        <f>AVERAGE(C6:O6)</f>
        <v>0</v>
      </c>
      <c r="Q6" s="824"/>
    </row>
    <row r="7" spans="1:26">
      <c r="C7" s="824"/>
      <c r="D7" s="824"/>
      <c r="E7" s="824"/>
      <c r="F7" s="824"/>
      <c r="G7" s="824"/>
      <c r="H7" s="824"/>
      <c r="I7" s="824"/>
      <c r="J7" s="824"/>
      <c r="K7" s="824"/>
      <c r="L7" s="824"/>
      <c r="M7" s="824"/>
      <c r="N7" s="824"/>
      <c r="O7" s="824"/>
      <c r="P7" s="824"/>
    </row>
    <row r="8" spans="1:26">
      <c r="A8" t="s">
        <v>679</v>
      </c>
      <c r="B8" t="s">
        <v>27</v>
      </c>
      <c r="C8" s="1756">
        <v>0</v>
      </c>
      <c r="D8" s="1756">
        <v>0</v>
      </c>
      <c r="E8" s="1756">
        <v>0</v>
      </c>
      <c r="F8" s="1756">
        <v>0</v>
      </c>
      <c r="G8" s="1756">
        <v>0</v>
      </c>
      <c r="H8" s="1756">
        <v>0</v>
      </c>
      <c r="I8" s="1756">
        <v>0</v>
      </c>
      <c r="J8" s="1756">
        <v>0</v>
      </c>
      <c r="K8" s="1756">
        <v>0</v>
      </c>
      <c r="L8" s="1756">
        <v>0</v>
      </c>
      <c r="M8" s="1756">
        <v>0</v>
      </c>
      <c r="N8" s="1756">
        <v>0</v>
      </c>
      <c r="O8" s="1756">
        <v>0</v>
      </c>
      <c r="P8" s="824">
        <f>AVERAGE(C8:O8)</f>
        <v>0</v>
      </c>
    </row>
    <row r="9" spans="1:26">
      <c r="A9" t="s">
        <v>681</v>
      </c>
      <c r="B9" t="s">
        <v>33</v>
      </c>
      <c r="C9" s="1757">
        <v>0</v>
      </c>
      <c r="D9" s="1757">
        <v>0</v>
      </c>
      <c r="E9" s="1757">
        <v>0</v>
      </c>
      <c r="F9" s="1757">
        <v>0</v>
      </c>
      <c r="G9" s="1757">
        <v>0</v>
      </c>
      <c r="H9" s="1757">
        <v>0</v>
      </c>
      <c r="I9" s="1757">
        <v>0</v>
      </c>
      <c r="J9" s="1757">
        <v>0</v>
      </c>
      <c r="K9" s="1757">
        <v>0</v>
      </c>
      <c r="L9" s="1757">
        <v>0</v>
      </c>
      <c r="M9" s="1757">
        <v>0</v>
      </c>
      <c r="N9" s="1757">
        <v>0</v>
      </c>
      <c r="O9" s="1757">
        <v>0</v>
      </c>
      <c r="P9" s="824">
        <f>AVERAGE(C9:O9)</f>
        <v>0</v>
      </c>
    </row>
    <row r="10" spans="1:26">
      <c r="A10" s="144" t="s">
        <v>673</v>
      </c>
      <c r="C10" s="1720"/>
      <c r="D10" s="1719"/>
      <c r="E10" s="1719"/>
      <c r="F10" s="1719"/>
      <c r="G10" s="1719"/>
      <c r="H10" s="1719"/>
      <c r="I10" s="1719"/>
      <c r="J10" s="1719"/>
      <c r="K10" s="1719"/>
      <c r="L10" s="1719"/>
      <c r="M10" s="1719"/>
      <c r="N10" s="1719"/>
      <c r="O10" s="1719"/>
      <c r="P10" s="825">
        <f>SUM(P5:P9)</f>
        <v>4823860000</v>
      </c>
    </row>
    <row r="11" spans="1:26">
      <c r="C11" s="1720"/>
      <c r="D11" s="1719"/>
      <c r="E11" s="1719"/>
      <c r="F11" s="1719"/>
      <c r="G11" s="1719"/>
      <c r="H11" s="1719"/>
      <c r="I11" s="1719"/>
      <c r="J11" s="1719"/>
      <c r="K11" s="1719"/>
      <c r="L11" s="1719"/>
      <c r="M11" s="1719"/>
      <c r="N11" s="1719"/>
      <c r="O11" s="1719"/>
      <c r="P11" s="824"/>
    </row>
    <row r="12" spans="1:26">
      <c r="A12" t="s">
        <v>682</v>
      </c>
      <c r="B12" t="s">
        <v>34</v>
      </c>
      <c r="C12" s="1756">
        <v>-16328253.42</v>
      </c>
      <c r="D12" s="1756">
        <f>C12+49900.18</f>
        <v>-16278353.24</v>
      </c>
      <c r="E12" s="1756">
        <f t="shared" ref="E12:O12" si="0">D12+49900.18</f>
        <v>-16228453.060000001</v>
      </c>
      <c r="F12" s="1756">
        <f t="shared" si="0"/>
        <v>-16178552.880000001</v>
      </c>
      <c r="G12" s="1756">
        <f t="shared" si="0"/>
        <v>-16128652.700000001</v>
      </c>
      <c r="H12" s="1756">
        <f t="shared" si="0"/>
        <v>-16078752.520000001</v>
      </c>
      <c r="I12" s="1756">
        <f t="shared" si="0"/>
        <v>-16028852.340000002</v>
      </c>
      <c r="J12" s="1756">
        <f t="shared" si="0"/>
        <v>-15978952.160000002</v>
      </c>
      <c r="K12" s="1756">
        <f t="shared" si="0"/>
        <v>-15929051.980000002</v>
      </c>
      <c r="L12" s="1756">
        <f t="shared" si="0"/>
        <v>-15879151.800000003</v>
      </c>
      <c r="M12" s="1756">
        <f t="shared" si="0"/>
        <v>-15829251.620000003</v>
      </c>
      <c r="N12" s="1756">
        <f t="shared" si="0"/>
        <v>-15779351.440000003</v>
      </c>
      <c r="O12" s="1756">
        <f t="shared" si="0"/>
        <v>-15729451.260000004</v>
      </c>
      <c r="P12" s="824">
        <f>AVERAGE(C12:O12)</f>
        <v>-16028852.34</v>
      </c>
      <c r="Z12" s="1896"/>
    </row>
    <row r="13" spans="1:26">
      <c r="A13" t="s">
        <v>683</v>
      </c>
      <c r="B13" t="s">
        <v>35</v>
      </c>
      <c r="C13" s="1756">
        <v>-23861685.030000001</v>
      </c>
      <c r="D13" s="1756">
        <v>-23690050.18</v>
      </c>
      <c r="E13" s="1756">
        <v>-23526849.350000001</v>
      </c>
      <c r="F13" s="1756">
        <v>-23355190.68</v>
      </c>
      <c r="G13" s="1756">
        <v>-23183532.02</v>
      </c>
      <c r="H13" s="1756">
        <v>-25514812.899999999</v>
      </c>
      <c r="I13" s="1756">
        <v>-25189190.079999998</v>
      </c>
      <c r="J13" s="1756">
        <v>-25011483.43</v>
      </c>
      <c r="K13" s="1756">
        <v>-24847221.100000001</v>
      </c>
      <c r="L13" s="1756">
        <v>-24673753.620000001</v>
      </c>
      <c r="M13" s="1756">
        <v>-24494027.48</v>
      </c>
      <c r="N13" s="1756">
        <v>-24331425.699999999</v>
      </c>
      <c r="O13" s="1756">
        <v>-24172621.350000001</v>
      </c>
      <c r="P13" s="824">
        <f>AVERAGE(C13:O13)</f>
        <v>-24296295.609230772</v>
      </c>
    </row>
    <row r="14" spans="1:26">
      <c r="A14" t="s">
        <v>684</v>
      </c>
      <c r="B14" t="s">
        <v>36</v>
      </c>
      <c r="C14" s="1758">
        <v>-35804700.380000003</v>
      </c>
      <c r="D14" s="1756">
        <v>-35622826.200000003</v>
      </c>
      <c r="E14" s="1756">
        <v>-35440952.020000003</v>
      </c>
      <c r="F14" s="1756">
        <v>-35259077.840000004</v>
      </c>
      <c r="G14" s="1756">
        <v>-35077203.659999996</v>
      </c>
      <c r="H14" s="1756">
        <v>-34990354.399999999</v>
      </c>
      <c r="I14" s="1756">
        <v>-34806883.159999996</v>
      </c>
      <c r="J14" s="1756">
        <v>-34623411.920000002</v>
      </c>
      <c r="K14" s="1756">
        <v>-34439940.32</v>
      </c>
      <c r="L14" s="1756">
        <v>-34261676.219999999</v>
      </c>
      <c r="M14" s="1756">
        <v>-34083412.229999997</v>
      </c>
      <c r="N14" s="1756">
        <v>-33907530.259999998</v>
      </c>
      <c r="O14" s="1756">
        <v>-33731648.289999999</v>
      </c>
      <c r="P14" s="824">
        <f>AVERAGE(C14:O14)</f>
        <v>-34773047.453846157</v>
      </c>
    </row>
    <row r="15" spans="1:26">
      <c r="A15" t="s">
        <v>685</v>
      </c>
      <c r="B15" t="s">
        <v>28</v>
      </c>
      <c r="C15" s="1758">
        <v>0</v>
      </c>
      <c r="D15" s="1756">
        <v>0</v>
      </c>
      <c r="E15" s="1756">
        <v>0</v>
      </c>
      <c r="F15" s="1758">
        <v>0</v>
      </c>
      <c r="G15" s="1758">
        <v>0</v>
      </c>
      <c r="H15" s="1758">
        <v>0</v>
      </c>
      <c r="I15" s="1758">
        <v>0</v>
      </c>
      <c r="J15" s="1758">
        <v>0</v>
      </c>
      <c r="K15" s="1758">
        <v>0</v>
      </c>
      <c r="M15" s="1758">
        <v>0</v>
      </c>
      <c r="N15" s="1758">
        <v>0</v>
      </c>
      <c r="O15" s="1758">
        <v>0</v>
      </c>
      <c r="P15" s="824">
        <f>AVERAGE(C15:O15)</f>
        <v>0</v>
      </c>
      <c r="Z15" s="1897"/>
    </row>
    <row r="16" spans="1:26">
      <c r="A16" t="s">
        <v>686</v>
      </c>
      <c r="B16" t="s">
        <v>29</v>
      </c>
      <c r="C16" s="1757">
        <v>0</v>
      </c>
      <c r="D16" s="1757">
        <v>0</v>
      </c>
      <c r="E16" s="1757">
        <v>0</v>
      </c>
      <c r="F16" s="1757">
        <v>0</v>
      </c>
      <c r="G16" s="1757">
        <v>0</v>
      </c>
      <c r="H16" s="1757">
        <v>0</v>
      </c>
      <c r="I16" s="1757">
        <v>0</v>
      </c>
      <c r="J16" s="1757">
        <v>0</v>
      </c>
      <c r="K16" s="1757">
        <v>0</v>
      </c>
      <c r="L16" s="1757">
        <v>0</v>
      </c>
      <c r="M16" s="1757">
        <v>0</v>
      </c>
      <c r="N16" s="1757">
        <v>0</v>
      </c>
      <c r="O16" s="1757">
        <v>0</v>
      </c>
      <c r="P16" s="824">
        <f>AVERAGE(C16:O16)</f>
        <v>0</v>
      </c>
    </row>
    <row r="17" spans="1:18">
      <c r="A17" s="144" t="s">
        <v>674</v>
      </c>
      <c r="C17" s="107"/>
      <c r="D17" s="107"/>
      <c r="E17" s="107"/>
      <c r="F17" s="107"/>
      <c r="G17" s="107"/>
      <c r="H17" s="107"/>
      <c r="I17" s="107"/>
      <c r="J17" s="107"/>
      <c r="K17" s="107"/>
      <c r="L17" s="107"/>
      <c r="M17" s="107"/>
      <c r="N17" s="107"/>
      <c r="O17" s="107"/>
      <c r="P17" s="825">
        <f>SUM(P10:P16)</f>
        <v>4748761804.5969229</v>
      </c>
    </row>
    <row r="18" spans="1:18">
      <c r="C18" s="107"/>
      <c r="D18" s="107"/>
      <c r="E18" s="107"/>
      <c r="F18" s="107"/>
      <c r="G18" s="107"/>
      <c r="H18" s="107"/>
      <c r="I18" s="107"/>
      <c r="J18" s="107"/>
      <c r="K18" s="107"/>
      <c r="L18" s="107"/>
      <c r="M18" s="107"/>
      <c r="N18" s="107"/>
      <c r="O18" s="107"/>
      <c r="P18" s="824"/>
    </row>
    <row r="19" spans="1:18">
      <c r="A19" s="823" t="s">
        <v>687</v>
      </c>
      <c r="C19" s="107"/>
      <c r="D19" s="1756"/>
      <c r="E19" s="1756"/>
      <c r="F19" s="1756"/>
      <c r="G19" s="1756"/>
      <c r="H19" s="1756"/>
      <c r="I19" s="1756"/>
      <c r="J19" s="1756"/>
      <c r="K19" s="1756"/>
      <c r="L19" s="1756"/>
      <c r="M19" s="1756"/>
      <c r="N19" s="1756"/>
      <c r="O19" s="1756"/>
      <c r="P19" s="824"/>
    </row>
    <row r="20" spans="1:18">
      <c r="A20" s="183" t="s">
        <v>1033</v>
      </c>
      <c r="C20" s="1466"/>
      <c r="D20" s="1756">
        <v>20016944.5</v>
      </c>
      <c r="E20" s="1756">
        <v>20016944.5</v>
      </c>
      <c r="F20" s="1756">
        <v>20016944.5</v>
      </c>
      <c r="G20" s="1756">
        <v>20016944.5</v>
      </c>
      <c r="H20" s="1756">
        <v>20016944.5</v>
      </c>
      <c r="I20" s="1756">
        <v>20016944.5</v>
      </c>
      <c r="J20" s="1756">
        <v>20016944.5</v>
      </c>
      <c r="K20" s="1756">
        <v>20016944.5</v>
      </c>
      <c r="L20" s="1756">
        <v>20016944.5</v>
      </c>
      <c r="M20" s="1756">
        <v>20016944.5</v>
      </c>
      <c r="N20" s="1756">
        <v>20016944.5</v>
      </c>
      <c r="O20" s="1756">
        <v>20016944.5</v>
      </c>
      <c r="P20" s="824">
        <f>SUM(C20:O20)</f>
        <v>240203334</v>
      </c>
    </row>
    <row r="21" spans="1:18">
      <c r="A21" s="183" t="s">
        <v>710</v>
      </c>
      <c r="C21" s="1466"/>
      <c r="D21" s="1758">
        <v>-59224</v>
      </c>
      <c r="E21" s="1758">
        <v>-59224</v>
      </c>
      <c r="F21" s="1758">
        <v>-59224</v>
      </c>
      <c r="G21" s="1758">
        <v>-59224</v>
      </c>
      <c r="H21" s="1758">
        <v>-59224</v>
      </c>
      <c r="I21" s="1758">
        <v>-59224</v>
      </c>
      <c r="J21" s="1758">
        <v>-59224</v>
      </c>
      <c r="K21" s="1758">
        <v>-59224</v>
      </c>
      <c r="L21" s="1758">
        <v>-59224</v>
      </c>
      <c r="M21" s="1758">
        <v>-59224</v>
      </c>
      <c r="N21" s="1758">
        <v>-59224</v>
      </c>
      <c r="O21" s="1758">
        <v>-59224</v>
      </c>
      <c r="P21" s="824">
        <f t="shared" ref="P21:P28" si="1">SUM(C21:O21)</f>
        <v>-710688</v>
      </c>
      <c r="Q21" s="835"/>
    </row>
    <row r="22" spans="1:18">
      <c r="A22" s="183" t="s">
        <v>711</v>
      </c>
      <c r="C22" s="1466"/>
      <c r="D22" s="1758">
        <v>98084</v>
      </c>
      <c r="E22" s="1758">
        <v>98084</v>
      </c>
      <c r="F22" s="1758">
        <v>98084</v>
      </c>
      <c r="G22" s="1758">
        <v>98084</v>
      </c>
      <c r="H22" s="1758">
        <v>98084</v>
      </c>
      <c r="I22" s="1758">
        <v>98084</v>
      </c>
      <c r="J22" s="1758">
        <v>98084</v>
      </c>
      <c r="K22" s="1758">
        <v>98084</v>
      </c>
      <c r="L22" s="1758">
        <v>98084</v>
      </c>
      <c r="M22" s="1758">
        <v>98084</v>
      </c>
      <c r="N22" s="1758">
        <v>98084</v>
      </c>
      <c r="O22" s="1758">
        <v>98084</v>
      </c>
      <c r="P22" s="824">
        <f t="shared" si="1"/>
        <v>1177008</v>
      </c>
      <c r="Q22" s="835"/>
    </row>
    <row r="23" spans="1:18">
      <c r="A23" s="183" t="s">
        <v>1077</v>
      </c>
      <c r="C23" s="1466"/>
      <c r="D23" s="1757">
        <v>1777</v>
      </c>
      <c r="E23" s="1757">
        <v>1777</v>
      </c>
      <c r="F23" s="1757">
        <v>1777</v>
      </c>
      <c r="G23" s="1757">
        <v>1777</v>
      </c>
      <c r="H23" s="1757">
        <v>1777</v>
      </c>
      <c r="I23" s="1757">
        <v>1777</v>
      </c>
      <c r="J23" s="1757">
        <v>1777</v>
      </c>
      <c r="K23" s="1757">
        <v>1777</v>
      </c>
      <c r="L23" s="1757">
        <v>1777</v>
      </c>
      <c r="M23" s="1757">
        <v>1777</v>
      </c>
      <c r="N23" s="1757">
        <v>1777</v>
      </c>
      <c r="O23" s="1757">
        <v>1777</v>
      </c>
      <c r="P23" s="1757">
        <f>SUM(C23:O23)</f>
        <v>21324</v>
      </c>
      <c r="Q23" s="835"/>
    </row>
    <row r="24" spans="1:18">
      <c r="A24" s="176" t="s">
        <v>879</v>
      </c>
      <c r="B24" t="s">
        <v>30</v>
      </c>
      <c r="C24" s="1466"/>
      <c r="D24" s="1756">
        <f>D20-SUM(D21:D23)</f>
        <v>19976307.5</v>
      </c>
      <c r="E24" s="1756">
        <f t="shared" ref="E24:O24" si="2">E20-SUM(E21:E23)</f>
        <v>19976307.5</v>
      </c>
      <c r="F24" s="1756">
        <f t="shared" si="2"/>
        <v>19976307.5</v>
      </c>
      <c r="G24" s="1756">
        <f t="shared" si="2"/>
        <v>19976307.5</v>
      </c>
      <c r="H24" s="1756">
        <f t="shared" si="2"/>
        <v>19976307.5</v>
      </c>
      <c r="I24" s="1756">
        <f t="shared" si="2"/>
        <v>19976307.5</v>
      </c>
      <c r="J24" s="1756">
        <f t="shared" si="2"/>
        <v>19976307.5</v>
      </c>
      <c r="K24" s="1756">
        <f t="shared" si="2"/>
        <v>19976307.5</v>
      </c>
      <c r="L24" s="1756">
        <f t="shared" si="2"/>
        <v>19976307.5</v>
      </c>
      <c r="M24" s="1756">
        <f t="shared" si="2"/>
        <v>19976307.5</v>
      </c>
      <c r="N24" s="1756">
        <f t="shared" si="2"/>
        <v>19976307.5</v>
      </c>
      <c r="O24" s="1756">
        <f t="shared" si="2"/>
        <v>19976307.5</v>
      </c>
      <c r="P24" s="824">
        <f>SUM(C24:O24)</f>
        <v>239715690</v>
      </c>
      <c r="Q24" s="125"/>
      <c r="R24" s="824"/>
    </row>
    <row r="25" spans="1:18">
      <c r="A25" t="s">
        <v>688</v>
      </c>
      <c r="B25" t="s">
        <v>37</v>
      </c>
      <c r="C25" s="1466"/>
      <c r="D25" s="1846">
        <v>221535.03</v>
      </c>
      <c r="E25" s="1846">
        <v>221558.85</v>
      </c>
      <c r="F25" s="1846">
        <v>221558.85</v>
      </c>
      <c r="G25" s="1846">
        <v>221558.84</v>
      </c>
      <c r="H25" s="1846">
        <v>201812.52</v>
      </c>
      <c r="I25" s="1846">
        <v>227606.83</v>
      </c>
      <c r="J25" s="1846">
        <v>227606.83</v>
      </c>
      <c r="K25" s="1846">
        <v>227846.91</v>
      </c>
      <c r="L25" s="1846">
        <v>227896.91</v>
      </c>
      <c r="M25" s="1846">
        <v>227896.97</v>
      </c>
      <c r="N25" s="1846">
        <v>212501.96</v>
      </c>
      <c r="O25" s="1846">
        <v>212574.98</v>
      </c>
      <c r="P25" s="107">
        <f>SUM(C25:O25)</f>
        <v>2651955.48</v>
      </c>
      <c r="Q25" s="824"/>
    </row>
    <row r="26" spans="1:18">
      <c r="A26" t="s">
        <v>689</v>
      </c>
      <c r="B26" t="s">
        <v>38</v>
      </c>
      <c r="C26" s="1466"/>
      <c r="D26" s="1756">
        <v>181874.18</v>
      </c>
      <c r="E26" s="1756">
        <v>181874.18</v>
      </c>
      <c r="F26" s="1756">
        <v>181874.18</v>
      </c>
      <c r="G26" s="1756">
        <v>181874.18</v>
      </c>
      <c r="H26" s="1756">
        <v>182672.71</v>
      </c>
      <c r="I26" s="1756">
        <v>183471.24</v>
      </c>
      <c r="J26" s="1756">
        <v>183471.24</v>
      </c>
      <c r="K26" s="1756">
        <v>183471.6</v>
      </c>
      <c r="L26" s="1756">
        <v>178264.1</v>
      </c>
      <c r="M26" s="1756">
        <v>178263.99</v>
      </c>
      <c r="N26" s="1756">
        <v>175881.97</v>
      </c>
      <c r="O26" s="1756">
        <v>175881.97</v>
      </c>
      <c r="P26" s="107">
        <f t="shared" si="1"/>
        <v>2168875.54</v>
      </c>
      <c r="Q26" s="445"/>
    </row>
    <row r="27" spans="1:18">
      <c r="A27" t="s">
        <v>691</v>
      </c>
      <c r="B27" t="s">
        <v>39</v>
      </c>
      <c r="C27" s="1466"/>
      <c r="D27" s="1756">
        <v>0</v>
      </c>
      <c r="E27" s="1756">
        <v>0</v>
      </c>
      <c r="F27" s="1756">
        <v>0</v>
      </c>
      <c r="G27" s="1756">
        <v>0</v>
      </c>
      <c r="H27" s="1756">
        <v>0</v>
      </c>
      <c r="I27" s="1756">
        <v>0</v>
      </c>
      <c r="J27" s="1756">
        <v>0</v>
      </c>
      <c r="K27" s="1756">
        <v>0</v>
      </c>
      <c r="L27" s="1756">
        <v>0</v>
      </c>
      <c r="M27" s="1756">
        <v>0</v>
      </c>
      <c r="N27" s="1756">
        <v>0</v>
      </c>
      <c r="O27" s="1756">
        <v>0</v>
      </c>
      <c r="P27" s="824">
        <f t="shared" si="1"/>
        <v>0</v>
      </c>
    </row>
    <row r="28" spans="1:18">
      <c r="A28" t="s">
        <v>692</v>
      </c>
      <c r="B28" t="s">
        <v>40</v>
      </c>
      <c r="C28" s="1466"/>
      <c r="D28" s="1757">
        <v>0</v>
      </c>
      <c r="E28" s="1757">
        <v>0</v>
      </c>
      <c r="F28" s="1757">
        <v>0</v>
      </c>
      <c r="G28" s="1757">
        <v>0</v>
      </c>
      <c r="H28" s="1757">
        <v>0</v>
      </c>
      <c r="I28" s="1757">
        <v>0</v>
      </c>
      <c r="J28" s="1757">
        <v>0</v>
      </c>
      <c r="K28" s="1757">
        <v>0</v>
      </c>
      <c r="L28" s="1757">
        <v>0</v>
      </c>
      <c r="M28" s="1757">
        <v>0</v>
      </c>
      <c r="N28" s="1757">
        <v>0</v>
      </c>
      <c r="O28" s="1757">
        <v>0</v>
      </c>
      <c r="P28" s="824">
        <f t="shared" si="1"/>
        <v>0</v>
      </c>
    </row>
    <row r="29" spans="1:18">
      <c r="A29" s="144" t="s">
        <v>675</v>
      </c>
      <c r="C29" s="107"/>
      <c r="D29" s="1758"/>
      <c r="E29" s="1758"/>
      <c r="F29" s="1758"/>
      <c r="G29" s="1758"/>
      <c r="H29" s="1758"/>
      <c r="I29" s="1758"/>
      <c r="J29" s="1758"/>
      <c r="K29" s="1758"/>
      <c r="L29" s="1758"/>
      <c r="M29" s="1758"/>
      <c r="N29" s="1758"/>
      <c r="O29" s="1758"/>
      <c r="P29" s="825">
        <f>SUM(P24:P28)</f>
        <v>244536521.01999998</v>
      </c>
    </row>
    <row r="30" spans="1:18">
      <c r="C30" s="107"/>
      <c r="D30" s="146"/>
      <c r="E30" s="146"/>
      <c r="F30" s="146"/>
      <c r="G30" s="146"/>
      <c r="H30" s="146"/>
      <c r="I30" s="146"/>
      <c r="J30" s="146"/>
      <c r="K30" s="146"/>
      <c r="L30" s="146"/>
      <c r="M30" s="146"/>
      <c r="N30" s="146"/>
      <c r="O30" s="146"/>
      <c r="P30" s="824"/>
    </row>
    <row r="31" spans="1:18">
      <c r="A31" s="823" t="s">
        <v>693</v>
      </c>
      <c r="C31" s="107"/>
      <c r="D31" s="146"/>
      <c r="E31" s="146"/>
      <c r="F31" s="146"/>
      <c r="G31" s="146"/>
      <c r="H31" s="146"/>
      <c r="I31" s="146"/>
      <c r="J31" s="146"/>
      <c r="K31" s="146"/>
      <c r="L31" s="146"/>
      <c r="M31" s="146"/>
      <c r="N31" s="146"/>
      <c r="O31" s="146"/>
      <c r="P31" s="824"/>
      <c r="Q31" s="824"/>
    </row>
    <row r="32" spans="1:18">
      <c r="A32" t="s">
        <v>694</v>
      </c>
      <c r="B32" t="s">
        <v>41</v>
      </c>
      <c r="C32" s="1756">
        <v>0</v>
      </c>
      <c r="D32" s="1756">
        <v>0</v>
      </c>
      <c r="E32" s="1756">
        <v>0</v>
      </c>
      <c r="F32" s="1756">
        <v>0</v>
      </c>
      <c r="G32" s="1756">
        <v>0</v>
      </c>
      <c r="H32" s="1756">
        <v>0</v>
      </c>
      <c r="I32" s="1756">
        <v>0</v>
      </c>
      <c r="J32" s="1756">
        <v>0</v>
      </c>
      <c r="K32" s="1756">
        <v>0</v>
      </c>
      <c r="L32" s="1756">
        <v>0</v>
      </c>
      <c r="M32" s="1756">
        <v>0</v>
      </c>
      <c r="N32" s="1756">
        <v>0</v>
      </c>
      <c r="O32" s="1756">
        <v>0</v>
      </c>
      <c r="P32" s="824">
        <f>AVERAGE(C32:O32)</f>
        <v>0</v>
      </c>
    </row>
    <row r="33" spans="1:17">
      <c r="A33" t="s">
        <v>695</v>
      </c>
      <c r="B33" t="s">
        <v>42</v>
      </c>
      <c r="C33" s="1756">
        <v>0</v>
      </c>
      <c r="D33" s="1756">
        <v>0</v>
      </c>
      <c r="E33" s="1756">
        <v>0</v>
      </c>
      <c r="F33" s="1756">
        <v>0</v>
      </c>
      <c r="G33" s="1756">
        <v>0</v>
      </c>
      <c r="H33" s="1756">
        <v>0</v>
      </c>
      <c r="I33" s="1756">
        <v>0</v>
      </c>
      <c r="J33" s="1756">
        <v>0</v>
      </c>
      <c r="K33" s="1756">
        <v>0</v>
      </c>
      <c r="L33" s="1756">
        <v>0</v>
      </c>
      <c r="M33" s="1756">
        <v>0</v>
      </c>
      <c r="N33" s="1756">
        <v>0</v>
      </c>
      <c r="O33" s="1756">
        <v>0</v>
      </c>
      <c r="P33" s="824">
        <f>AVERAGE(C33:O33)</f>
        <v>0</v>
      </c>
    </row>
    <row r="34" spans="1:17">
      <c r="A34" t="s">
        <v>696</v>
      </c>
      <c r="B34" t="s">
        <v>43</v>
      </c>
      <c r="C34" s="1756">
        <v>0</v>
      </c>
      <c r="D34" s="1756">
        <v>0</v>
      </c>
      <c r="E34" s="1756">
        <v>0</v>
      </c>
      <c r="F34" s="1756">
        <v>0</v>
      </c>
      <c r="G34" s="1756">
        <v>0</v>
      </c>
      <c r="H34" s="1756">
        <v>0</v>
      </c>
      <c r="I34" s="1756">
        <v>0</v>
      </c>
      <c r="J34" s="1756">
        <v>0</v>
      </c>
      <c r="K34" s="1756">
        <v>0</v>
      </c>
      <c r="L34" s="1756">
        <v>0</v>
      </c>
      <c r="M34" s="1756">
        <v>0</v>
      </c>
      <c r="N34" s="1756">
        <v>0</v>
      </c>
      <c r="O34" s="1756">
        <v>0</v>
      </c>
      <c r="P34" s="824">
        <f t="shared" ref="P34:P39" si="3">AVERAGE(C34:O34)</f>
        <v>0</v>
      </c>
    </row>
    <row r="35" spans="1:17">
      <c r="A35" t="s">
        <v>51</v>
      </c>
      <c r="B35" t="s">
        <v>44</v>
      </c>
      <c r="C35" s="1756">
        <v>0</v>
      </c>
      <c r="D35" s="1756">
        <v>0</v>
      </c>
      <c r="E35" s="1756">
        <v>0</v>
      </c>
      <c r="F35" s="1756">
        <v>0</v>
      </c>
      <c r="G35" s="1756">
        <v>0</v>
      </c>
      <c r="H35" s="1756">
        <v>0</v>
      </c>
      <c r="I35" s="1756">
        <v>0</v>
      </c>
      <c r="J35" s="1756">
        <v>0</v>
      </c>
      <c r="K35" s="1756">
        <v>0</v>
      </c>
      <c r="L35" s="1756">
        <v>0</v>
      </c>
      <c r="M35" s="1756">
        <v>0</v>
      </c>
      <c r="N35" s="1756">
        <v>0</v>
      </c>
      <c r="O35" s="1756">
        <v>0</v>
      </c>
      <c r="P35" s="824">
        <f t="shared" si="3"/>
        <v>0</v>
      </c>
    </row>
    <row r="36" spans="1:17">
      <c r="A36" t="s">
        <v>697</v>
      </c>
      <c r="B36" t="s">
        <v>45</v>
      </c>
      <c r="C36" s="1756">
        <v>0</v>
      </c>
      <c r="D36" s="1756">
        <v>0</v>
      </c>
      <c r="E36" s="1756">
        <v>0</v>
      </c>
      <c r="F36" s="1756">
        <v>0</v>
      </c>
      <c r="G36" s="1756">
        <v>0</v>
      </c>
      <c r="H36" s="1756">
        <v>0</v>
      </c>
      <c r="I36" s="1756">
        <v>0</v>
      </c>
      <c r="J36" s="1756">
        <v>0</v>
      </c>
      <c r="K36" s="1756">
        <v>0</v>
      </c>
      <c r="L36" s="1756">
        <v>0</v>
      </c>
      <c r="M36" s="1756">
        <v>0</v>
      </c>
      <c r="N36" s="1756">
        <v>0</v>
      </c>
      <c r="O36" s="1756">
        <v>0</v>
      </c>
      <c r="P36" s="824">
        <f t="shared" si="3"/>
        <v>0</v>
      </c>
    </row>
    <row r="37" spans="1:17">
      <c r="A37" t="s">
        <v>698</v>
      </c>
      <c r="B37" s="2" t="s">
        <v>50</v>
      </c>
      <c r="C37" s="1757">
        <v>0</v>
      </c>
      <c r="D37" s="1757">
        <v>0</v>
      </c>
      <c r="E37" s="1757">
        <v>0</v>
      </c>
      <c r="F37" s="1757">
        <v>0</v>
      </c>
      <c r="G37" s="1757">
        <v>0</v>
      </c>
      <c r="H37" s="1757">
        <v>0</v>
      </c>
      <c r="I37" s="1757">
        <v>0</v>
      </c>
      <c r="J37" s="1757">
        <v>0</v>
      </c>
      <c r="K37" s="1757">
        <v>0</v>
      </c>
      <c r="L37" s="1757">
        <v>0</v>
      </c>
      <c r="M37" s="1757">
        <v>0</v>
      </c>
      <c r="N37" s="1757">
        <v>0</v>
      </c>
      <c r="O37" s="1757">
        <v>0</v>
      </c>
      <c r="P37" s="1803">
        <f t="shared" si="3"/>
        <v>0</v>
      </c>
    </row>
    <row r="38" spans="1:17">
      <c r="A38" s="144" t="s">
        <v>699</v>
      </c>
      <c r="C38" s="107"/>
      <c r="D38" s="107"/>
      <c r="E38" s="107"/>
      <c r="F38" s="107"/>
      <c r="G38" s="107"/>
      <c r="H38" s="107"/>
      <c r="I38" s="107"/>
      <c r="J38" s="107"/>
      <c r="K38" s="107"/>
      <c r="L38" s="107"/>
      <c r="M38" s="107"/>
      <c r="N38" s="107"/>
      <c r="O38" s="107"/>
      <c r="P38" s="824"/>
    </row>
    <row r="39" spans="1:17">
      <c r="A39" s="104" t="s">
        <v>676</v>
      </c>
      <c r="B39" t="s">
        <v>46</v>
      </c>
      <c r="C39" s="1720">
        <v>0</v>
      </c>
      <c r="D39" s="1720">
        <v>0</v>
      </c>
      <c r="E39" s="1720">
        <v>0</v>
      </c>
      <c r="F39" s="1720">
        <v>0</v>
      </c>
      <c r="G39" s="1720">
        <v>0</v>
      </c>
      <c r="H39" s="1720">
        <v>0</v>
      </c>
      <c r="I39" s="1720">
        <v>0</v>
      </c>
      <c r="J39" s="1720">
        <v>0</v>
      </c>
      <c r="K39" s="1720">
        <v>0</v>
      </c>
      <c r="L39" s="1720">
        <v>0</v>
      </c>
      <c r="M39" s="1720">
        <v>0</v>
      </c>
      <c r="N39" s="1720">
        <v>0</v>
      </c>
      <c r="O39" s="1720">
        <v>0</v>
      </c>
      <c r="P39" s="824">
        <f t="shared" si="3"/>
        <v>0</v>
      </c>
    </row>
    <row r="40" spans="1:17">
      <c r="C40" s="107"/>
      <c r="D40" s="107"/>
      <c r="E40" s="107"/>
      <c r="F40" s="107"/>
      <c r="G40" s="107"/>
      <c r="H40" s="107"/>
      <c r="I40" s="107"/>
      <c r="J40" s="107"/>
      <c r="K40" s="107"/>
      <c r="L40" s="107"/>
      <c r="M40" s="107"/>
      <c r="N40" s="107"/>
      <c r="O40" s="107"/>
      <c r="P40" s="824"/>
    </row>
    <row r="41" spans="1:17">
      <c r="A41" s="823" t="s">
        <v>740</v>
      </c>
      <c r="C41" s="107"/>
      <c r="D41" s="107"/>
      <c r="E41" s="107"/>
      <c r="F41" s="107"/>
      <c r="G41" s="107"/>
      <c r="H41" s="107"/>
      <c r="I41" s="107"/>
      <c r="J41" s="107"/>
      <c r="K41" s="107"/>
      <c r="L41" s="107"/>
      <c r="M41" s="107"/>
      <c r="N41" s="107"/>
      <c r="O41" s="107"/>
      <c r="P41" s="824"/>
    </row>
    <row r="42" spans="1:17">
      <c r="A42" t="s">
        <v>853</v>
      </c>
      <c r="B42" t="s">
        <v>47</v>
      </c>
      <c r="C42" s="125">
        <v>4355432771.6999998</v>
      </c>
      <c r="D42" s="824">
        <v>4500749581.0100002</v>
      </c>
      <c r="E42" s="824">
        <v>4520914131.8899994</v>
      </c>
      <c r="F42" s="824">
        <v>4633300558.1599989</v>
      </c>
      <c r="G42" s="824">
        <v>4731872235.5099993</v>
      </c>
      <c r="H42" s="824">
        <v>4748930967.1899996</v>
      </c>
      <c r="I42" s="824">
        <v>4628628569.7799997</v>
      </c>
      <c r="J42" s="824">
        <v>4692168476.6099997</v>
      </c>
      <c r="K42" s="824">
        <v>3729045130.9000001</v>
      </c>
      <c r="L42" s="824">
        <v>3614791282.5900002</v>
      </c>
      <c r="M42" s="824">
        <v>4645729609.9200001</v>
      </c>
      <c r="N42" s="824">
        <v>4781631836.3400002</v>
      </c>
      <c r="O42" s="824">
        <v>4871081451.249999</v>
      </c>
      <c r="P42" s="824">
        <f>AVERAGE(C42:O42)</f>
        <v>4496482815.6038456</v>
      </c>
      <c r="Q42" s="824"/>
    </row>
    <row r="43" spans="1:17">
      <c r="A43" t="s">
        <v>700</v>
      </c>
      <c r="B43" t="s">
        <v>41</v>
      </c>
      <c r="C43" s="1720">
        <v>0</v>
      </c>
      <c r="D43" s="824">
        <v>0</v>
      </c>
      <c r="E43" s="824">
        <v>0</v>
      </c>
      <c r="F43" s="824">
        <v>0</v>
      </c>
      <c r="G43" s="824">
        <v>0</v>
      </c>
      <c r="H43" s="824">
        <v>0</v>
      </c>
      <c r="I43" s="824">
        <v>0</v>
      </c>
      <c r="J43" s="824">
        <v>0</v>
      </c>
      <c r="K43" s="824">
        <v>0</v>
      </c>
      <c r="L43" s="824">
        <v>0</v>
      </c>
      <c r="M43" s="824">
        <v>0</v>
      </c>
      <c r="N43" s="824">
        <v>0</v>
      </c>
      <c r="O43" s="824">
        <v>0</v>
      </c>
      <c r="P43" s="824">
        <f>AVERAGE(C43:O43)</f>
        <v>0</v>
      </c>
      <c r="Q43" s="824"/>
    </row>
    <row r="44" spans="1:17">
      <c r="A44" t="s">
        <v>701</v>
      </c>
      <c r="B44" t="s">
        <v>48</v>
      </c>
      <c r="C44" s="1720">
        <v>-13535624.42</v>
      </c>
      <c r="D44" s="824">
        <v>-13535624.42</v>
      </c>
      <c r="E44" s="824">
        <v>-13535624.42</v>
      </c>
      <c r="F44" s="824">
        <v>-13911195.210000001</v>
      </c>
      <c r="G44" s="824">
        <v>-13911195.210000001</v>
      </c>
      <c r="H44" s="824">
        <v>-13911195.210000001</v>
      </c>
      <c r="I44" s="824">
        <v>-13321212.74</v>
      </c>
      <c r="J44" s="824">
        <v>-13321212.74</v>
      </c>
      <c r="K44" s="824">
        <v>-13321212.74</v>
      </c>
      <c r="L44" s="824">
        <v>-13453106.119999999</v>
      </c>
      <c r="M44" s="824">
        <v>-13453106.119999999</v>
      </c>
      <c r="N44" s="824">
        <v>-13453106.119999999</v>
      </c>
      <c r="O44" s="824">
        <v>-13264969.68</v>
      </c>
      <c r="P44" s="824">
        <f>AVERAGE(C44:O44)</f>
        <v>-13532952.703846155</v>
      </c>
    </row>
    <row r="45" spans="1:17">
      <c r="A45" t="s">
        <v>702</v>
      </c>
      <c r="B45" t="s">
        <v>49</v>
      </c>
      <c r="C45" s="107">
        <v>-113138548.28</v>
      </c>
      <c r="D45" s="824">
        <v>-111910852.06999999</v>
      </c>
      <c r="E45" s="824">
        <v>-110683155.84999999</v>
      </c>
      <c r="F45" s="824">
        <v>-109455459.64</v>
      </c>
      <c r="G45" s="824">
        <v>-108227763.42</v>
      </c>
      <c r="H45" s="824">
        <v>-107000067.20999999</v>
      </c>
      <c r="I45" s="824">
        <v>-105772370.98999999</v>
      </c>
      <c r="J45" s="824">
        <v>-103473540.38</v>
      </c>
      <c r="K45" s="824">
        <v>-102255346.81999999</v>
      </c>
      <c r="L45" s="824">
        <v>-101037153.25</v>
      </c>
      <c r="M45" s="824">
        <v>-99635679.689999998</v>
      </c>
      <c r="N45" s="824">
        <v>-98418276.120000005</v>
      </c>
      <c r="O45" s="824">
        <v>-103045030.33</v>
      </c>
      <c r="P45" s="824">
        <f>AVERAGE(C45:O45)</f>
        <v>-105696403.38846156</v>
      </c>
    </row>
    <row r="46" spans="1:17">
      <c r="A46" s="144" t="s">
        <v>677</v>
      </c>
      <c r="C46" s="1085">
        <f t="shared" ref="C46:O46" si="4">C42-C43-C44-C45</f>
        <v>4482106944.3999996</v>
      </c>
      <c r="D46" s="1085">
        <f t="shared" si="4"/>
        <v>4626196057.5</v>
      </c>
      <c r="E46" s="1085">
        <f t="shared" si="4"/>
        <v>4645132912.1599998</v>
      </c>
      <c r="F46" s="1085">
        <f t="shared" si="4"/>
        <v>4756667213.0099993</v>
      </c>
      <c r="G46" s="1085">
        <f t="shared" si="4"/>
        <v>4854011194.1399994</v>
      </c>
      <c r="H46" s="1085">
        <f t="shared" si="4"/>
        <v>4869842229.6099997</v>
      </c>
      <c r="I46" s="1085">
        <f t="shared" si="4"/>
        <v>4747722153.5099993</v>
      </c>
      <c r="J46" s="1085">
        <f t="shared" si="4"/>
        <v>4808963229.7299995</v>
      </c>
      <c r="K46" s="1085">
        <f t="shared" si="4"/>
        <v>3844621690.46</v>
      </c>
      <c r="L46" s="1085">
        <f t="shared" si="4"/>
        <v>3729281541.96</v>
      </c>
      <c r="M46" s="1085">
        <f t="shared" si="4"/>
        <v>4758818395.7299995</v>
      </c>
      <c r="N46" s="1085">
        <f t="shared" si="4"/>
        <v>4893503218.5799999</v>
      </c>
      <c r="O46" s="1085">
        <f t="shared" si="4"/>
        <v>4987391451.2599993</v>
      </c>
      <c r="P46" s="825">
        <f>P42-P43-P44-P45</f>
        <v>4615712171.6961527</v>
      </c>
    </row>
    <row r="47" spans="1:17">
      <c r="C47" s="107"/>
      <c r="D47" s="107"/>
      <c r="E47" s="107"/>
      <c r="F47" s="107"/>
      <c r="G47" s="107"/>
      <c r="H47" s="107"/>
      <c r="I47" s="107"/>
      <c r="J47" s="107"/>
      <c r="K47" s="107"/>
      <c r="L47" s="107"/>
      <c r="M47" s="107"/>
      <c r="N47" s="107"/>
      <c r="O47" s="107"/>
      <c r="P47" s="824"/>
    </row>
    <row r="48" spans="1:17">
      <c r="C48" s="107"/>
      <c r="D48" s="107"/>
      <c r="E48" s="107"/>
      <c r="F48" s="107"/>
      <c r="G48" s="107"/>
      <c r="H48" s="107"/>
      <c r="I48" s="107"/>
      <c r="J48" s="107"/>
      <c r="K48" s="107"/>
      <c r="L48" s="107"/>
      <c r="M48" s="107"/>
      <c r="N48" s="107"/>
      <c r="O48" s="107"/>
      <c r="P48" s="824"/>
    </row>
    <row r="49" spans="1:17">
      <c r="A49" t="s">
        <v>853</v>
      </c>
      <c r="C49" s="107"/>
      <c r="D49" s="107"/>
      <c r="E49" s="107"/>
      <c r="F49" s="107"/>
      <c r="G49" s="107"/>
      <c r="H49" s="107"/>
      <c r="I49" s="107"/>
      <c r="J49" s="107"/>
      <c r="K49" s="107"/>
      <c r="L49" s="107"/>
      <c r="M49" s="107"/>
      <c r="N49" s="107"/>
      <c r="O49" s="107"/>
      <c r="P49" s="824"/>
    </row>
    <row r="50" spans="1:17">
      <c r="A50" t="s">
        <v>703</v>
      </c>
      <c r="B50" t="s">
        <v>52</v>
      </c>
      <c r="C50" s="1720">
        <v>859037.91</v>
      </c>
      <c r="D50" s="1756">
        <v>859037.91</v>
      </c>
      <c r="E50" s="1756">
        <v>859037.91</v>
      </c>
      <c r="F50" s="1756">
        <v>859037.91</v>
      </c>
      <c r="G50" s="1756">
        <v>859037.91</v>
      </c>
      <c r="H50" s="1756">
        <v>859037.91</v>
      </c>
      <c r="I50" s="1756">
        <v>859037.91</v>
      </c>
      <c r="J50" s="1756">
        <v>859037.91</v>
      </c>
      <c r="K50" s="1756">
        <v>859037.91</v>
      </c>
      <c r="L50" s="1756">
        <v>859037.91</v>
      </c>
      <c r="M50" s="1756">
        <v>859037.91</v>
      </c>
      <c r="N50" s="1756">
        <v>859037.91</v>
      </c>
      <c r="O50" s="1756">
        <v>859037.91</v>
      </c>
      <c r="P50" s="824">
        <f>AVERAGE(C50:O50)</f>
        <v>859037.91</v>
      </c>
      <c r="Q50" s="824"/>
    </row>
    <row r="51" spans="1:17">
      <c r="A51" t="s">
        <v>704</v>
      </c>
      <c r="B51" t="s">
        <v>54</v>
      </c>
      <c r="C51" s="1720">
        <v>478145250</v>
      </c>
      <c r="D51" s="1756">
        <v>478145250</v>
      </c>
      <c r="E51" s="1756">
        <v>478145250</v>
      </c>
      <c r="F51" s="1756">
        <v>478145250</v>
      </c>
      <c r="G51" s="1756">
        <v>478145250</v>
      </c>
      <c r="H51" s="1756">
        <v>478145250</v>
      </c>
      <c r="I51" s="1756">
        <v>478145250</v>
      </c>
      <c r="J51" s="1756">
        <v>478145249.87</v>
      </c>
      <c r="K51" s="1756">
        <v>478145249.87</v>
      </c>
      <c r="L51" s="1756">
        <v>478145249.87</v>
      </c>
      <c r="M51" s="1756">
        <v>478145249.87</v>
      </c>
      <c r="N51" s="1756">
        <v>478145249.87</v>
      </c>
      <c r="O51" s="1756">
        <v>478145250</v>
      </c>
      <c r="P51" s="824">
        <f>AVERAGE(C51:O51)</f>
        <v>478145249.94999993</v>
      </c>
      <c r="Q51" s="824"/>
    </row>
    <row r="52" spans="1:17">
      <c r="A52" t="s">
        <v>705</v>
      </c>
      <c r="B52" t="s">
        <v>44</v>
      </c>
      <c r="C52" s="1720">
        <v>3014096691.4699998</v>
      </c>
      <c r="D52" s="1756">
        <v>3014096691.4699998</v>
      </c>
      <c r="E52" s="1756">
        <v>3014096691.4699998</v>
      </c>
      <c r="F52" s="1756">
        <v>3014096691.4699998</v>
      </c>
      <c r="G52" s="1756">
        <v>3014096691.4699998</v>
      </c>
      <c r="H52" s="1756">
        <v>3014096691.4699998</v>
      </c>
      <c r="I52" s="1756">
        <v>3014096691.4699998</v>
      </c>
      <c r="J52" s="1756">
        <v>3014096691.4699998</v>
      </c>
      <c r="K52" s="1756">
        <v>3014096691.4699998</v>
      </c>
      <c r="L52" s="1756">
        <v>3064096691.4699998</v>
      </c>
      <c r="M52" s="1756">
        <v>3064096691.4699998</v>
      </c>
      <c r="N52" s="1756">
        <v>3064096691.4699998</v>
      </c>
      <c r="O52" s="1756">
        <v>3064096691.4699998</v>
      </c>
      <c r="P52" s="824">
        <f>AVERAGE(C52:O52)</f>
        <v>3029481306.8546162</v>
      </c>
      <c r="Q52" s="824"/>
    </row>
    <row r="53" spans="1:17">
      <c r="A53" t="s">
        <v>470</v>
      </c>
      <c r="B53" t="s">
        <v>45</v>
      </c>
      <c r="C53" s="1955">
        <v>0</v>
      </c>
      <c r="D53" s="1756">
        <v>0</v>
      </c>
      <c r="E53" s="1756">
        <v>0</v>
      </c>
      <c r="F53" s="1756">
        <v>0</v>
      </c>
      <c r="G53" s="1756">
        <v>0</v>
      </c>
      <c r="H53" s="1756">
        <v>0</v>
      </c>
      <c r="I53" s="1756">
        <v>0</v>
      </c>
      <c r="J53" s="1756">
        <v>0</v>
      </c>
      <c r="K53" s="1756">
        <v>0</v>
      </c>
      <c r="L53" s="1756">
        <v>0</v>
      </c>
      <c r="M53" s="1756">
        <v>0</v>
      </c>
      <c r="N53" s="1756">
        <v>0</v>
      </c>
      <c r="O53" s="1756">
        <v>0</v>
      </c>
      <c r="P53" s="824">
        <v>0</v>
      </c>
      <c r="Q53" s="824"/>
    </row>
    <row r="54" spans="1:17">
      <c r="A54" t="s">
        <v>706</v>
      </c>
      <c r="B54" t="s">
        <v>50</v>
      </c>
      <c r="C54" s="107">
        <v>-7133879.4000000004</v>
      </c>
      <c r="D54" s="1756">
        <v>-7133879.4000000004</v>
      </c>
      <c r="E54" s="1756">
        <v>-7133879.4000000004</v>
      </c>
      <c r="F54" s="1756">
        <v>-7133879.4000000004</v>
      </c>
      <c r="G54" s="1756">
        <v>-7133879.4000000004</v>
      </c>
      <c r="H54" s="1756">
        <v>-7133879.4000000004</v>
      </c>
      <c r="I54" s="1756">
        <v>-7133879.4000000004</v>
      </c>
      <c r="J54" s="1756">
        <v>-7133879.4000000004</v>
      </c>
      <c r="K54" s="1756">
        <v>-7133879.4000000004</v>
      </c>
      <c r="L54" s="1756">
        <v>-7133879.4000000004</v>
      </c>
      <c r="M54" s="1756">
        <v>-7133879.4000000004</v>
      </c>
      <c r="N54" s="1756">
        <v>-7133879.4000000004</v>
      </c>
      <c r="O54" s="1756">
        <v>-7133879.4000000004</v>
      </c>
      <c r="P54" s="107">
        <f>AVERAGE(C54:O54)</f>
        <v>-7133879.4000000013</v>
      </c>
      <c r="Q54" s="824"/>
    </row>
    <row r="55" spans="1:17">
      <c r="A55" t="s">
        <v>707</v>
      </c>
      <c r="B55" t="s">
        <v>53</v>
      </c>
      <c r="C55" s="107">
        <v>996139844.41999996</v>
      </c>
      <c r="D55" s="1846">
        <v>1140228957.52</v>
      </c>
      <c r="E55" s="1846">
        <v>1159165812.1800001</v>
      </c>
      <c r="F55" s="1846">
        <v>1270700113.03</v>
      </c>
      <c r="G55" s="1846">
        <v>1368044094.1600001</v>
      </c>
      <c r="H55" s="1846">
        <v>1383875129.6300001</v>
      </c>
      <c r="I55" s="1846">
        <v>1261755053.53</v>
      </c>
      <c r="J55" s="1846">
        <v>1322996129.8800001</v>
      </c>
      <c r="K55" s="1846">
        <v>358654590.61000001</v>
      </c>
      <c r="L55" s="1846">
        <v>193314442.11000001</v>
      </c>
      <c r="M55" s="1846">
        <v>1222851295.8799999</v>
      </c>
      <c r="N55" s="1846">
        <v>1357536118.7299998</v>
      </c>
      <c r="O55" s="1846">
        <v>1451424351.28</v>
      </c>
      <c r="P55" s="107">
        <f>AVERAGE(C55:O55)</f>
        <v>1114360456.3815384</v>
      </c>
      <c r="Q55" s="824"/>
    </row>
    <row r="56" spans="1:17">
      <c r="A56" t="s">
        <v>708</v>
      </c>
      <c r="B56" t="s">
        <v>48</v>
      </c>
      <c r="C56" s="107">
        <v>-13535624.42</v>
      </c>
      <c r="D56" s="1756">
        <v>-13535624.42</v>
      </c>
      <c r="E56" s="1756">
        <v>-13535624.42</v>
      </c>
      <c r="F56" s="1756">
        <v>-13911195.210000001</v>
      </c>
      <c r="G56" s="1756">
        <v>-13911195.210000001</v>
      </c>
      <c r="H56" s="1756">
        <v>-13911195.210000001</v>
      </c>
      <c r="I56" s="1756">
        <v>-13321212.74</v>
      </c>
      <c r="J56" s="1756">
        <v>-13321212.74</v>
      </c>
      <c r="K56" s="1756">
        <v>-13321212.74</v>
      </c>
      <c r="L56" s="1756">
        <v>-13453106.119999999</v>
      </c>
      <c r="M56" s="1756">
        <v>-13453106.119999999</v>
      </c>
      <c r="N56" s="1756">
        <v>-13453106.119999999</v>
      </c>
      <c r="O56" s="1756">
        <v>-13264969.68</v>
      </c>
      <c r="P56" s="107">
        <f>AVERAGE(C56:O56)</f>
        <v>-13532952.703846155</v>
      </c>
      <c r="Q56" s="824"/>
    </row>
    <row r="57" spans="1:17">
      <c r="A57" t="s">
        <v>709</v>
      </c>
      <c r="B57" t="s">
        <v>49</v>
      </c>
      <c r="C57" s="1720">
        <v>-113138548.28</v>
      </c>
      <c r="D57" s="1756">
        <v>-111910852.06999999</v>
      </c>
      <c r="E57" s="1756">
        <v>-110683155.84999999</v>
      </c>
      <c r="F57" s="1756">
        <v>-109455459.64</v>
      </c>
      <c r="G57" s="1756">
        <v>-108227763.42</v>
      </c>
      <c r="H57" s="1756">
        <v>-107000067.20999999</v>
      </c>
      <c r="I57" s="1756">
        <v>-105772370.98999999</v>
      </c>
      <c r="J57" s="1756">
        <v>-103473540.38</v>
      </c>
      <c r="K57" s="1756">
        <v>-102255346.81999999</v>
      </c>
      <c r="L57" s="1756">
        <v>-101037153.25</v>
      </c>
      <c r="M57" s="1756">
        <v>-99635679.689999998</v>
      </c>
      <c r="N57" s="1756">
        <v>-98418276.120000005</v>
      </c>
      <c r="O57" s="1756">
        <v>-103045030.33</v>
      </c>
      <c r="P57" s="107">
        <f>AVERAGE(C57:O57)</f>
        <v>-105696403.38846156</v>
      </c>
      <c r="Q57" s="824"/>
    </row>
    <row r="58" spans="1:17">
      <c r="C58" s="1085">
        <f t="shared" ref="C58:P58" si="5">SUM(C50:C57)</f>
        <v>4355432771.6999998</v>
      </c>
      <c r="D58" s="1085">
        <f t="shared" ref="D58:O58" si="6">SUM(D50:D57)</f>
        <v>4500749581.0100002</v>
      </c>
      <c r="E58" s="1085">
        <f t="shared" si="6"/>
        <v>4520914131.8899994</v>
      </c>
      <c r="F58" s="1085">
        <f t="shared" si="6"/>
        <v>4633300558.1599989</v>
      </c>
      <c r="G58" s="1085">
        <f t="shared" si="6"/>
        <v>4731872235.5099993</v>
      </c>
      <c r="H58" s="1085">
        <f t="shared" si="6"/>
        <v>4748930967.1899996</v>
      </c>
      <c r="I58" s="1085">
        <f t="shared" si="6"/>
        <v>4628628569.7799997</v>
      </c>
      <c r="J58" s="1085">
        <f t="shared" si="6"/>
        <v>4692168476.6099997</v>
      </c>
      <c r="K58" s="1085">
        <f t="shared" si="6"/>
        <v>3729045130.9000001</v>
      </c>
      <c r="L58" s="1085">
        <f t="shared" si="6"/>
        <v>3614791282.5900002</v>
      </c>
      <c r="M58" s="1085">
        <f t="shared" si="6"/>
        <v>4645729609.9200001</v>
      </c>
      <c r="N58" s="1085">
        <f t="shared" si="6"/>
        <v>4781631836.3400002</v>
      </c>
      <c r="O58" s="1085">
        <f t="shared" si="6"/>
        <v>4871081451.249999</v>
      </c>
      <c r="P58" s="1085">
        <f t="shared" si="5"/>
        <v>4496482815.6038475</v>
      </c>
      <c r="Q58" s="824"/>
    </row>
    <row r="59" spans="1:17">
      <c r="C59" s="107"/>
      <c r="D59" s="107"/>
      <c r="E59" s="107"/>
      <c r="F59" s="107"/>
      <c r="G59" s="107"/>
      <c r="H59" s="107"/>
      <c r="I59" s="107"/>
      <c r="J59" s="107"/>
      <c r="K59" s="107"/>
      <c r="L59" s="107"/>
      <c r="M59" s="107"/>
      <c r="N59" s="107"/>
      <c r="O59" s="107"/>
      <c r="P59" s="107"/>
      <c r="Q59" s="2"/>
    </row>
    <row r="60" spans="1:17">
      <c r="C60" s="824"/>
      <c r="D60" s="824"/>
      <c r="E60" s="824"/>
      <c r="F60" s="824"/>
      <c r="G60" s="824"/>
      <c r="H60" s="824"/>
      <c r="I60" s="824"/>
      <c r="J60" s="824"/>
      <c r="K60" s="824"/>
      <c r="L60" s="824"/>
      <c r="M60" s="824"/>
      <c r="N60" s="824"/>
      <c r="O60" s="824"/>
      <c r="P60" s="824"/>
    </row>
    <row r="61" spans="1:17">
      <c r="C61" s="824"/>
      <c r="D61" s="824"/>
      <c r="E61" s="824"/>
      <c r="F61" s="824"/>
      <c r="G61" s="824"/>
      <c r="H61" s="824"/>
      <c r="I61" s="824"/>
      <c r="J61" s="824"/>
      <c r="K61" s="824"/>
      <c r="L61" s="824"/>
      <c r="M61" s="824"/>
      <c r="N61" s="824"/>
      <c r="O61" s="824"/>
      <c r="P61" s="824"/>
    </row>
    <row r="62" spans="1:17">
      <c r="C62" s="824"/>
      <c r="D62" s="824"/>
      <c r="E62" s="824"/>
      <c r="F62" s="824"/>
      <c r="G62" s="824"/>
      <c r="H62" s="824"/>
      <c r="I62" s="824"/>
      <c r="J62" s="824"/>
      <c r="K62" s="824"/>
      <c r="L62" s="824"/>
      <c r="M62" s="824"/>
      <c r="N62" s="824"/>
      <c r="O62" s="824"/>
      <c r="P62" s="824"/>
    </row>
    <row r="63" spans="1:17">
      <c r="C63" s="824"/>
      <c r="D63" s="824"/>
      <c r="E63" s="824"/>
      <c r="F63" s="824"/>
      <c r="G63" s="824"/>
      <c r="H63" s="824"/>
      <c r="I63" s="824"/>
      <c r="J63" s="824"/>
      <c r="K63" s="824"/>
      <c r="L63" s="824"/>
      <c r="M63" s="824"/>
      <c r="N63" s="824"/>
      <c r="O63" s="824"/>
      <c r="P63" s="824"/>
    </row>
    <row r="64" spans="1:17">
      <c r="C64" s="824"/>
      <c r="D64" s="824"/>
      <c r="E64" s="824"/>
      <c r="F64" s="824"/>
      <c r="G64" s="824"/>
      <c r="H64" s="824"/>
      <c r="I64" s="824"/>
      <c r="J64" s="824"/>
      <c r="K64" s="824"/>
      <c r="L64" s="824"/>
      <c r="M64" s="824"/>
      <c r="N64" s="824"/>
      <c r="O64" s="824"/>
      <c r="P64" s="824"/>
    </row>
    <row r="65" spans="3:16">
      <c r="C65" s="824"/>
      <c r="D65" s="824"/>
      <c r="E65" s="824"/>
      <c r="F65" s="824"/>
      <c r="G65" s="824"/>
      <c r="H65" s="824"/>
      <c r="I65" s="824"/>
      <c r="J65" s="824"/>
      <c r="K65" s="824"/>
      <c r="L65" s="824"/>
      <c r="M65" s="824"/>
      <c r="N65" s="824"/>
      <c r="O65" s="824"/>
      <c r="P65" s="824"/>
    </row>
    <row r="66" spans="3:16">
      <c r="C66" s="824"/>
      <c r="D66" s="824"/>
      <c r="E66" s="824"/>
      <c r="F66" s="824"/>
      <c r="G66" s="824"/>
      <c r="H66" s="824"/>
      <c r="I66" s="824"/>
      <c r="J66" s="824"/>
      <c r="K66" s="824"/>
      <c r="L66" s="824"/>
      <c r="M66" s="824"/>
      <c r="N66" s="824"/>
      <c r="O66" s="824"/>
      <c r="P66" s="824"/>
    </row>
    <row r="67" spans="3:16">
      <c r="C67" s="824"/>
      <c r="D67" s="824"/>
      <c r="E67" s="824"/>
      <c r="F67" s="824"/>
      <c r="G67" s="824"/>
      <c r="H67" s="824"/>
      <c r="I67" s="824"/>
      <c r="J67" s="824"/>
      <c r="K67" s="824"/>
      <c r="L67" s="824"/>
      <c r="M67" s="824"/>
      <c r="N67" s="824"/>
      <c r="O67" s="824"/>
      <c r="P67" s="824"/>
    </row>
    <row r="68" spans="3:16">
      <c r="G68" s="824"/>
      <c r="I68" s="824"/>
      <c r="J68" s="824"/>
      <c r="K68" s="824"/>
      <c r="L68" s="824"/>
    </row>
    <row r="69" spans="3:16">
      <c r="G69" s="824"/>
      <c r="I69" s="824"/>
      <c r="J69" s="824"/>
      <c r="K69" s="824"/>
      <c r="O69" s="824"/>
    </row>
    <row r="70" spans="3:16">
      <c r="G70" s="824"/>
      <c r="I70" s="824"/>
      <c r="J70" s="824"/>
      <c r="K70" s="824"/>
      <c r="N70" s="824"/>
    </row>
    <row r="71" spans="3:16">
      <c r="G71" s="824"/>
      <c r="I71" s="824"/>
      <c r="J71" s="824"/>
      <c r="K71" s="824"/>
      <c r="N71" s="824"/>
      <c r="O71" s="824"/>
    </row>
    <row r="72" spans="3:16">
      <c r="G72" s="824"/>
      <c r="I72" s="824"/>
      <c r="J72" s="824"/>
      <c r="K72" s="824"/>
      <c r="N72" s="824"/>
    </row>
    <row r="73" spans="3:16">
      <c r="G73" s="824"/>
      <c r="I73" s="824"/>
      <c r="J73" s="824"/>
      <c r="K73" s="824"/>
      <c r="O73" s="824"/>
    </row>
    <row r="74" spans="3:16">
      <c r="G74" s="824"/>
      <c r="I74" s="824"/>
      <c r="J74" s="824"/>
      <c r="K74" s="824"/>
      <c r="O74" s="824"/>
    </row>
    <row r="75" spans="3:16">
      <c r="G75" s="824"/>
      <c r="I75" s="824"/>
      <c r="J75" s="824"/>
      <c r="K75" s="824"/>
    </row>
    <row r="76" spans="3:16">
      <c r="G76" s="824"/>
      <c r="I76" s="824"/>
      <c r="J76" s="824"/>
      <c r="K76" s="824"/>
    </row>
    <row r="77" spans="3:16">
      <c r="C77" s="824"/>
      <c r="D77" s="824"/>
      <c r="E77" s="824"/>
      <c r="F77" s="824"/>
      <c r="G77" s="824"/>
      <c r="H77" s="824"/>
      <c r="I77" s="824"/>
      <c r="J77" s="824"/>
      <c r="K77" s="824"/>
      <c r="L77" s="824"/>
      <c r="M77" s="824"/>
      <c r="N77" s="824"/>
      <c r="O77" s="824"/>
      <c r="P77" s="824"/>
    </row>
    <row r="78" spans="3:16">
      <c r="J78" s="824"/>
      <c r="K78" s="824"/>
    </row>
    <row r="79" spans="3:16">
      <c r="J79" s="824"/>
      <c r="K79" s="824"/>
    </row>
    <row r="80" spans="3:16">
      <c r="G80" s="824"/>
      <c r="I80" s="824"/>
      <c r="J80" s="824"/>
      <c r="K80" s="824"/>
    </row>
    <row r="81" spans="1:25">
      <c r="A81" s="823"/>
      <c r="C81" s="824"/>
      <c r="D81" s="824"/>
      <c r="E81" s="824"/>
      <c r="F81" s="824"/>
      <c r="G81" s="824"/>
      <c r="H81" s="824"/>
      <c r="I81" s="824"/>
      <c r="J81" s="824"/>
      <c r="K81" s="824"/>
      <c r="L81" s="824"/>
      <c r="M81" s="824"/>
      <c r="N81" s="824"/>
      <c r="O81" s="824"/>
      <c r="P81" s="824"/>
    </row>
    <row r="82" spans="1:25">
      <c r="A82" s="97"/>
      <c r="B82" s="97"/>
      <c r="C82" s="890"/>
      <c r="D82" s="890"/>
      <c r="E82" s="890"/>
      <c r="F82" s="890"/>
      <c r="G82" s="890"/>
      <c r="H82" s="890"/>
      <c r="I82" s="890"/>
      <c r="J82" s="890"/>
      <c r="K82" s="890"/>
      <c r="L82" s="890"/>
      <c r="M82" s="890"/>
      <c r="N82" s="890"/>
      <c r="O82" s="890"/>
      <c r="P82" s="890"/>
      <c r="Q82" s="97"/>
      <c r="R82" s="97"/>
      <c r="S82" s="97"/>
      <c r="T82" s="97"/>
      <c r="U82" s="97"/>
      <c r="V82" s="97"/>
      <c r="W82" s="97"/>
      <c r="X82" s="97"/>
      <c r="Y82" s="97"/>
    </row>
    <row r="83" spans="1:25">
      <c r="A83" s="97"/>
      <c r="B83" s="97"/>
      <c r="C83" s="890"/>
      <c r="D83" s="890"/>
      <c r="E83" s="890"/>
      <c r="F83" s="890"/>
      <c r="G83" s="890"/>
      <c r="H83" s="890"/>
      <c r="I83" s="890"/>
      <c r="J83" s="890"/>
      <c r="K83" s="890"/>
      <c r="L83" s="890"/>
      <c r="M83" s="890"/>
      <c r="N83" s="890"/>
      <c r="O83" s="890"/>
      <c r="P83" s="890"/>
      <c r="Q83" s="97"/>
      <c r="R83" s="97"/>
      <c r="S83" s="97"/>
      <c r="T83" s="97"/>
      <c r="U83" s="97"/>
      <c r="V83" s="97"/>
      <c r="W83" s="97"/>
      <c r="X83" s="97"/>
      <c r="Y83" s="97"/>
    </row>
    <row r="84" spans="1:25">
      <c r="A84" s="97"/>
      <c r="B84" s="97"/>
      <c r="C84" s="890"/>
      <c r="D84" s="890"/>
      <c r="E84" s="890"/>
      <c r="F84" s="890"/>
      <c r="G84" s="890"/>
      <c r="H84" s="890"/>
      <c r="I84" s="890"/>
      <c r="J84" s="890"/>
      <c r="K84" s="890"/>
      <c r="L84" s="890"/>
      <c r="M84" s="890"/>
      <c r="N84" s="890"/>
      <c r="O84" s="890"/>
      <c r="P84" s="890"/>
      <c r="Q84" s="97"/>
      <c r="R84" s="97"/>
      <c r="S84" s="97"/>
      <c r="T84" s="97"/>
      <c r="U84" s="97"/>
      <c r="V84" s="97"/>
      <c r="W84" s="97"/>
      <c r="X84" s="97"/>
      <c r="Y84" s="97"/>
    </row>
    <row r="85" spans="1:25">
      <c r="A85" s="97"/>
      <c r="B85" s="97"/>
      <c r="C85" s="890"/>
      <c r="D85" s="890"/>
      <c r="E85" s="890"/>
      <c r="F85" s="890"/>
      <c r="G85" s="890"/>
      <c r="H85" s="890"/>
      <c r="I85" s="890"/>
      <c r="J85" s="890"/>
      <c r="K85" s="890"/>
      <c r="L85" s="890"/>
      <c r="M85" s="890"/>
      <c r="N85" s="890"/>
      <c r="O85" s="890"/>
      <c r="P85" s="890"/>
      <c r="Q85" s="97"/>
      <c r="R85" s="97"/>
      <c r="S85" s="97"/>
      <c r="T85" s="97"/>
      <c r="U85" s="97"/>
      <c r="V85" s="97"/>
      <c r="W85" s="97"/>
      <c r="X85" s="97"/>
      <c r="Y85" s="97"/>
    </row>
    <row r="86" spans="1:25">
      <c r="A86" s="97"/>
      <c r="B86" s="97"/>
      <c r="C86" s="890"/>
      <c r="D86" s="890"/>
      <c r="E86" s="890"/>
      <c r="F86" s="890"/>
      <c r="G86" s="890"/>
      <c r="H86" s="890"/>
      <c r="I86" s="890"/>
      <c r="J86" s="890"/>
      <c r="K86" s="890"/>
      <c r="L86" s="890"/>
      <c r="M86" s="890"/>
      <c r="N86" s="890"/>
      <c r="O86" s="890"/>
      <c r="P86" s="890"/>
      <c r="Q86" s="97"/>
      <c r="R86" s="97"/>
      <c r="S86" s="97"/>
      <c r="T86" s="97"/>
      <c r="U86" s="97"/>
      <c r="V86" s="97"/>
      <c r="W86" s="97"/>
      <c r="X86" s="97"/>
      <c r="Y86" s="97"/>
    </row>
    <row r="87" spans="1:25">
      <c r="A87" s="97"/>
      <c r="B87" s="97"/>
      <c r="C87" s="890"/>
      <c r="D87" s="890"/>
      <c r="E87" s="890"/>
      <c r="F87" s="890"/>
      <c r="G87" s="890"/>
      <c r="H87" s="890"/>
      <c r="I87" s="890"/>
      <c r="J87" s="890"/>
      <c r="K87" s="890"/>
      <c r="L87" s="890"/>
      <c r="M87" s="890"/>
      <c r="N87" s="890"/>
      <c r="O87" s="890"/>
      <c r="P87" s="890"/>
      <c r="Q87" s="97"/>
      <c r="R87" s="97"/>
      <c r="S87" s="97"/>
      <c r="T87" s="97"/>
      <c r="U87" s="97"/>
      <c r="V87" s="97"/>
      <c r="W87" s="97"/>
      <c r="X87" s="97"/>
      <c r="Y87" s="97"/>
    </row>
    <row r="88" spans="1:25">
      <c r="A88" s="97"/>
      <c r="B88" s="97"/>
      <c r="C88" s="890"/>
      <c r="D88" s="890"/>
      <c r="E88" s="890"/>
      <c r="F88" s="890"/>
      <c r="G88" s="890"/>
      <c r="H88" s="890"/>
      <c r="I88" s="890"/>
      <c r="J88" s="890"/>
      <c r="K88" s="890"/>
      <c r="L88" s="890"/>
      <c r="M88" s="890"/>
      <c r="N88" s="890"/>
      <c r="O88" s="890"/>
      <c r="P88" s="890"/>
      <c r="Q88" s="97"/>
      <c r="R88" s="97"/>
      <c r="S88" s="97"/>
      <c r="T88" s="97"/>
      <c r="U88" s="97"/>
      <c r="V88" s="97"/>
      <c r="W88" s="97"/>
      <c r="X88" s="97"/>
      <c r="Y88" s="97"/>
    </row>
    <row r="89" spans="1:25">
      <c r="A89" s="97"/>
      <c r="B89" s="97"/>
      <c r="C89" s="890"/>
      <c r="D89" s="890"/>
      <c r="E89" s="890"/>
      <c r="F89" s="890"/>
      <c r="G89" s="890"/>
      <c r="H89" s="890"/>
      <c r="I89" s="890"/>
      <c r="J89" s="890"/>
      <c r="K89" s="890"/>
      <c r="L89" s="890"/>
      <c r="M89" s="890"/>
      <c r="N89" s="890"/>
      <c r="O89" s="890"/>
      <c r="P89" s="890"/>
      <c r="Q89" s="97"/>
      <c r="R89" s="97"/>
      <c r="S89" s="97"/>
      <c r="T89" s="97"/>
      <c r="U89" s="97"/>
      <c r="V89" s="97"/>
      <c r="W89" s="97"/>
      <c r="X89" s="97"/>
      <c r="Y89" s="97"/>
    </row>
    <row r="90" spans="1:25">
      <c r="A90" s="97"/>
      <c r="B90" s="97"/>
      <c r="C90" s="890"/>
      <c r="D90" s="890"/>
      <c r="E90" s="890"/>
      <c r="F90" s="890"/>
      <c r="G90" s="890"/>
      <c r="H90" s="890"/>
      <c r="I90" s="890"/>
      <c r="J90" s="890"/>
      <c r="K90" s="890"/>
      <c r="L90" s="890"/>
      <c r="M90" s="890"/>
      <c r="N90" s="890"/>
      <c r="O90" s="890"/>
      <c r="P90" s="890"/>
      <c r="Q90" s="97"/>
      <c r="R90" s="97"/>
      <c r="S90" s="97"/>
      <c r="T90" s="97"/>
      <c r="U90" s="97"/>
      <c r="V90" s="97"/>
      <c r="W90" s="97"/>
      <c r="X90" s="97"/>
      <c r="Y90" s="97"/>
    </row>
    <row r="91" spans="1:25">
      <c r="A91" s="97"/>
      <c r="B91" s="97"/>
      <c r="C91" s="890"/>
      <c r="D91" s="890"/>
      <c r="E91" s="890"/>
      <c r="F91" s="890"/>
      <c r="G91" s="890"/>
      <c r="H91" s="890"/>
      <c r="I91" s="890"/>
      <c r="J91" s="890"/>
      <c r="K91" s="890"/>
      <c r="L91" s="890"/>
      <c r="M91" s="890"/>
      <c r="N91" s="890"/>
      <c r="O91" s="890"/>
      <c r="P91" s="890"/>
      <c r="Q91" s="97"/>
      <c r="R91" s="97"/>
      <c r="S91" s="97"/>
      <c r="T91" s="97"/>
      <c r="U91" s="97"/>
      <c r="V91" s="97"/>
      <c r="W91" s="97"/>
      <c r="X91" s="97"/>
      <c r="Y91" s="97"/>
    </row>
    <row r="92" spans="1:25">
      <c r="A92" s="97"/>
      <c r="B92" s="97"/>
      <c r="C92" s="890"/>
      <c r="D92" s="890"/>
      <c r="E92" s="890"/>
      <c r="F92" s="890"/>
      <c r="G92" s="890"/>
      <c r="H92" s="890"/>
      <c r="I92" s="890"/>
      <c r="J92" s="890"/>
      <c r="K92" s="890"/>
      <c r="L92" s="890"/>
      <c r="M92" s="890"/>
      <c r="N92" s="890"/>
      <c r="O92" s="890"/>
      <c r="P92" s="890"/>
      <c r="Q92" s="97"/>
      <c r="R92" s="97"/>
      <c r="S92" s="97"/>
      <c r="T92" s="97"/>
      <c r="U92" s="97"/>
      <c r="V92" s="97"/>
      <c r="W92" s="97"/>
      <c r="X92" s="97"/>
      <c r="Y92" s="97"/>
    </row>
    <row r="93" spans="1:25">
      <c r="A93" s="97"/>
      <c r="B93" s="97"/>
      <c r="C93" s="890"/>
      <c r="D93" s="890"/>
      <c r="E93" s="890"/>
      <c r="F93" s="890"/>
      <c r="G93" s="890"/>
      <c r="H93" s="890"/>
      <c r="I93" s="890"/>
      <c r="J93" s="890"/>
      <c r="K93" s="890"/>
      <c r="L93" s="890"/>
      <c r="M93" s="890"/>
      <c r="N93" s="890"/>
      <c r="O93" s="890"/>
      <c r="P93" s="890"/>
      <c r="Q93" s="97"/>
      <c r="R93" s="97"/>
      <c r="S93" s="97"/>
      <c r="T93" s="97"/>
      <c r="U93" s="97"/>
      <c r="V93" s="97"/>
      <c r="W93" s="97"/>
      <c r="X93" s="97"/>
      <c r="Y93" s="97"/>
    </row>
    <row r="94" spans="1:25">
      <c r="A94" s="97"/>
      <c r="B94" s="97"/>
      <c r="C94" s="890"/>
      <c r="D94" s="890"/>
      <c r="E94" s="890"/>
      <c r="F94" s="890"/>
      <c r="G94" s="890"/>
      <c r="H94" s="890"/>
      <c r="I94" s="890"/>
      <c r="J94" s="890"/>
      <c r="K94" s="890"/>
      <c r="L94" s="890"/>
      <c r="M94" s="890"/>
      <c r="N94" s="890"/>
      <c r="O94" s="890"/>
      <c r="P94" s="890"/>
      <c r="Q94" s="97"/>
      <c r="R94" s="97"/>
      <c r="S94" s="97"/>
      <c r="T94" s="97"/>
      <c r="U94" s="97"/>
      <c r="V94" s="97"/>
      <c r="W94" s="97"/>
      <c r="X94" s="97"/>
      <c r="Y94" s="97"/>
    </row>
    <row r="95" spans="1:25">
      <c r="A95" s="97"/>
      <c r="B95" s="97"/>
      <c r="C95" s="890"/>
      <c r="D95" s="890"/>
      <c r="E95" s="890"/>
      <c r="F95" s="890"/>
      <c r="G95" s="890"/>
      <c r="H95" s="890"/>
      <c r="I95" s="890"/>
      <c r="J95" s="890"/>
      <c r="K95" s="890"/>
      <c r="L95" s="890"/>
      <c r="M95" s="890"/>
      <c r="N95" s="890"/>
      <c r="O95" s="890"/>
      <c r="P95" s="890"/>
      <c r="Q95" s="97"/>
      <c r="R95" s="97"/>
      <c r="S95" s="97"/>
      <c r="T95" s="97"/>
      <c r="U95" s="97"/>
      <c r="V95" s="97"/>
      <c r="W95" s="97"/>
      <c r="X95" s="97"/>
      <c r="Y95" s="97"/>
    </row>
    <row r="96" spans="1:25">
      <c r="A96" s="97"/>
      <c r="B96" s="97"/>
      <c r="C96" s="890"/>
      <c r="D96" s="890"/>
      <c r="E96" s="890"/>
      <c r="F96" s="890"/>
      <c r="G96" s="890"/>
      <c r="H96" s="890"/>
      <c r="I96" s="890"/>
      <c r="J96" s="890"/>
      <c r="K96" s="890"/>
      <c r="L96" s="890"/>
      <c r="M96" s="890"/>
      <c r="N96" s="890"/>
      <c r="O96" s="890"/>
      <c r="P96" s="890"/>
      <c r="Q96" s="97"/>
      <c r="R96" s="97"/>
      <c r="S96" s="97"/>
      <c r="T96" s="97"/>
      <c r="U96" s="97"/>
      <c r="V96" s="97"/>
      <c r="W96" s="97"/>
      <c r="X96" s="97"/>
      <c r="Y96" s="97"/>
    </row>
    <row r="97" spans="1:25">
      <c r="A97" s="97"/>
      <c r="B97" s="97"/>
      <c r="C97" s="890"/>
      <c r="D97" s="890"/>
      <c r="E97" s="890"/>
      <c r="F97" s="890"/>
      <c r="G97" s="890"/>
      <c r="H97" s="890"/>
      <c r="I97" s="890"/>
      <c r="J97" s="890"/>
      <c r="K97" s="890"/>
      <c r="L97" s="890"/>
      <c r="M97" s="890"/>
      <c r="N97" s="890"/>
      <c r="O97" s="890"/>
      <c r="P97" s="890"/>
      <c r="Q97" s="97"/>
      <c r="R97" s="97"/>
      <c r="S97" s="97"/>
      <c r="T97" s="97"/>
      <c r="U97" s="97"/>
      <c r="V97" s="97"/>
      <c r="W97" s="97"/>
      <c r="X97" s="97"/>
      <c r="Y97" s="97"/>
    </row>
    <row r="98" spans="1:25">
      <c r="A98" s="97"/>
      <c r="B98" s="97"/>
      <c r="C98" s="890"/>
      <c r="D98" s="890"/>
      <c r="E98" s="890"/>
      <c r="F98" s="890"/>
      <c r="G98" s="890"/>
      <c r="H98" s="890"/>
      <c r="I98" s="890"/>
      <c r="J98" s="890"/>
      <c r="K98" s="890"/>
      <c r="L98" s="890"/>
      <c r="M98" s="890"/>
      <c r="N98" s="890"/>
      <c r="O98" s="890"/>
      <c r="P98" s="890"/>
      <c r="Q98" s="97"/>
      <c r="R98" s="97"/>
      <c r="S98" s="97"/>
      <c r="T98" s="97"/>
      <c r="U98" s="97"/>
      <c r="V98" s="97"/>
      <c r="W98" s="97"/>
      <c r="X98" s="97"/>
      <c r="Y98" s="97"/>
    </row>
    <row r="99" spans="1:25">
      <c r="A99" s="97"/>
      <c r="B99" s="97"/>
      <c r="C99" s="890"/>
      <c r="D99" s="890"/>
      <c r="E99" s="890"/>
      <c r="F99" s="890"/>
      <c r="G99" s="890"/>
      <c r="H99" s="890"/>
      <c r="I99" s="890"/>
      <c r="J99" s="890"/>
      <c r="K99" s="890"/>
      <c r="L99" s="890"/>
      <c r="M99" s="890"/>
      <c r="N99" s="890"/>
      <c r="O99" s="890"/>
      <c r="P99" s="890"/>
      <c r="Q99" s="97"/>
      <c r="R99" s="97"/>
      <c r="S99" s="97"/>
      <c r="T99" s="97"/>
      <c r="U99" s="97"/>
      <c r="V99" s="97"/>
      <c r="W99" s="97"/>
      <c r="X99" s="97"/>
      <c r="Y99" s="97"/>
    </row>
    <row r="100" spans="1: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row>
    <row r="101" spans="1: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row>
    <row r="102" spans="1: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row>
    <row r="103" spans="1:25" ht="15.75">
      <c r="A103" s="97"/>
      <c r="B103" s="97"/>
      <c r="C103" s="372"/>
      <c r="D103" s="655"/>
      <c r="E103" s="655"/>
      <c r="F103" s="655"/>
      <c r="G103" s="900"/>
      <c r="H103" s="655"/>
      <c r="I103" s="654"/>
      <c r="J103" s="653"/>
      <c r="K103" s="653"/>
      <c r="L103" s="653"/>
      <c r="M103" s="832"/>
      <c r="N103" s="97"/>
      <c r="O103" s="97"/>
      <c r="P103" s="97"/>
      <c r="Q103" s="97"/>
      <c r="R103" s="97"/>
      <c r="S103" s="97"/>
      <c r="T103" s="97"/>
      <c r="U103" s="97"/>
      <c r="V103" s="97"/>
      <c r="W103" s="97"/>
      <c r="X103" s="97"/>
      <c r="Y103" s="97"/>
    </row>
    <row r="104" spans="1:25" ht="15.75">
      <c r="A104" s="97"/>
      <c r="B104" s="97"/>
      <c r="C104" s="373"/>
      <c r="D104" s="23"/>
      <c r="E104" s="69"/>
      <c r="F104" s="69"/>
      <c r="G104" s="901"/>
      <c r="H104" s="651"/>
      <c r="I104" s="343"/>
      <c r="J104" s="342"/>
      <c r="K104" s="668"/>
      <c r="L104" s="88"/>
      <c r="M104" s="88"/>
      <c r="N104" s="97"/>
      <c r="O104" s="97"/>
      <c r="P104" s="97"/>
      <c r="Q104" s="97"/>
      <c r="R104" s="97"/>
      <c r="S104" s="97"/>
      <c r="T104" s="97"/>
      <c r="U104" s="97"/>
      <c r="V104" s="97"/>
      <c r="W104" s="97"/>
      <c r="X104" s="97"/>
      <c r="Y104" s="97"/>
    </row>
    <row r="105" spans="1:25" ht="15.75">
      <c r="A105" s="890"/>
      <c r="B105" s="97"/>
      <c r="C105" s="427"/>
      <c r="D105" s="100"/>
      <c r="E105" s="833"/>
      <c r="F105" s="673"/>
      <c r="G105" s="901"/>
      <c r="H105" s="393"/>
      <c r="I105" s="328"/>
      <c r="J105" s="393"/>
      <c r="K105" s="25"/>
      <c r="L105" s="328"/>
      <c r="M105" s="88"/>
      <c r="N105" s="97"/>
      <c r="O105" s="97"/>
      <c r="P105" s="97"/>
      <c r="Q105" s="97"/>
      <c r="R105" s="97"/>
      <c r="S105" s="97"/>
      <c r="T105" s="97"/>
      <c r="U105" s="97"/>
      <c r="V105" s="97"/>
      <c r="W105" s="97"/>
      <c r="X105" s="97"/>
      <c r="Y105" s="97"/>
    </row>
    <row r="106" spans="1:25" ht="15.75">
      <c r="A106" s="890"/>
      <c r="B106" s="97"/>
      <c r="C106" s="411"/>
      <c r="D106" s="711"/>
      <c r="E106" s="711"/>
      <c r="F106" s="711"/>
      <c r="G106" s="652"/>
      <c r="H106" s="711"/>
      <c r="I106" s="711"/>
      <c r="J106" s="711"/>
      <c r="K106" s="711"/>
      <c r="L106" s="711"/>
      <c r="M106" s="729"/>
      <c r="N106" s="97"/>
      <c r="O106" s="97"/>
      <c r="P106" s="97"/>
      <c r="Q106" s="97"/>
      <c r="R106" s="97"/>
      <c r="S106" s="97"/>
      <c r="T106" s="97"/>
      <c r="U106" s="97"/>
      <c r="V106" s="97"/>
      <c r="W106" s="97"/>
      <c r="X106" s="97"/>
      <c r="Y106" s="97"/>
    </row>
    <row r="107" spans="1:25" ht="15.75">
      <c r="A107" s="890"/>
      <c r="B107" s="97"/>
      <c r="C107" s="411"/>
      <c r="D107" s="902"/>
      <c r="E107" s="711"/>
      <c r="F107" s="711"/>
      <c r="G107" s="652"/>
      <c r="H107" s="711"/>
      <c r="I107" s="711"/>
      <c r="J107" s="711"/>
      <c r="K107" s="711"/>
      <c r="L107" s="711"/>
      <c r="M107" s="729"/>
      <c r="N107" s="97"/>
      <c r="O107" s="97"/>
      <c r="P107" s="97"/>
      <c r="Q107" s="97"/>
      <c r="R107" s="97"/>
      <c r="S107" s="97"/>
      <c r="T107" s="97"/>
      <c r="U107" s="97"/>
      <c r="V107" s="97"/>
      <c r="W107" s="97"/>
      <c r="X107" s="97"/>
      <c r="Y107" s="97"/>
    </row>
    <row r="108" spans="1:25" ht="15.75">
      <c r="A108" s="890"/>
      <c r="B108" s="97"/>
      <c r="C108" s="411"/>
      <c r="D108" s="903"/>
      <c r="E108" s="711"/>
      <c r="F108" s="711"/>
      <c r="G108" s="652"/>
      <c r="H108" s="711"/>
      <c r="I108" s="711"/>
      <c r="J108" s="711"/>
      <c r="K108" s="711"/>
      <c r="L108" s="711"/>
      <c r="M108" s="729"/>
      <c r="N108" s="97"/>
      <c r="O108" s="97"/>
      <c r="P108" s="97"/>
      <c r="Q108" s="97"/>
      <c r="R108" s="97"/>
      <c r="S108" s="97"/>
      <c r="T108" s="97"/>
      <c r="U108" s="97"/>
      <c r="V108" s="97"/>
      <c r="W108" s="97"/>
      <c r="X108" s="97"/>
      <c r="Y108" s="97"/>
    </row>
    <row r="109" spans="1:25" ht="15.75">
      <c r="A109" s="890"/>
      <c r="B109" s="97"/>
      <c r="C109" s="411"/>
      <c r="D109" s="902"/>
      <c r="E109" s="711"/>
      <c r="F109" s="711"/>
      <c r="G109" s="652"/>
      <c r="H109" s="711"/>
      <c r="I109" s="711"/>
      <c r="J109" s="711"/>
      <c r="K109" s="711"/>
      <c r="L109" s="711"/>
      <c r="M109" s="729"/>
      <c r="N109" s="97"/>
      <c r="O109" s="97"/>
      <c r="P109" s="97"/>
      <c r="Q109" s="97"/>
      <c r="R109" s="97"/>
      <c r="S109" s="97"/>
      <c r="T109" s="97"/>
      <c r="U109" s="97"/>
      <c r="V109" s="97"/>
      <c r="W109" s="97"/>
      <c r="X109" s="97"/>
      <c r="Y109" s="97"/>
    </row>
    <row r="110" spans="1:25" ht="15.75">
      <c r="A110" s="890"/>
      <c r="B110" s="97"/>
      <c r="C110" s="411"/>
      <c r="D110" s="902"/>
      <c r="E110" s="711"/>
      <c r="F110" s="711"/>
      <c r="G110" s="652"/>
      <c r="H110" s="711"/>
      <c r="I110" s="711"/>
      <c r="J110" s="711"/>
      <c r="K110" s="711"/>
      <c r="L110" s="711"/>
      <c r="M110" s="729"/>
      <c r="N110" s="97"/>
      <c r="O110" s="97"/>
      <c r="P110" s="97"/>
      <c r="Q110" s="97"/>
      <c r="R110" s="97"/>
      <c r="S110" s="97"/>
      <c r="T110" s="97"/>
      <c r="U110" s="97"/>
      <c r="V110" s="97"/>
      <c r="W110" s="97"/>
      <c r="X110" s="97"/>
      <c r="Y110" s="97"/>
    </row>
    <row r="111" spans="1:25" ht="15.75">
      <c r="A111" s="890"/>
      <c r="B111" s="97"/>
      <c r="C111" s="411"/>
      <c r="D111" s="902"/>
      <c r="E111" s="711"/>
      <c r="F111" s="711"/>
      <c r="G111" s="652"/>
      <c r="H111" s="711"/>
      <c r="I111" s="711"/>
      <c r="J111" s="711"/>
      <c r="K111" s="711"/>
      <c r="L111" s="711"/>
      <c r="M111" s="729"/>
      <c r="N111" s="97"/>
      <c r="O111" s="97"/>
      <c r="P111" s="97"/>
      <c r="Q111" s="97"/>
      <c r="R111" s="97"/>
      <c r="S111" s="97"/>
      <c r="T111" s="97"/>
      <c r="U111" s="97"/>
      <c r="V111" s="97"/>
      <c r="W111" s="97"/>
      <c r="X111" s="97"/>
      <c r="Y111" s="97"/>
    </row>
    <row r="112" spans="1:25" ht="15.75">
      <c r="A112" s="890"/>
      <c r="B112" s="97"/>
      <c r="C112" s="411"/>
      <c r="D112" s="711"/>
      <c r="E112" s="711"/>
      <c r="F112" s="711"/>
      <c r="G112" s="652"/>
      <c r="H112" s="711"/>
      <c r="I112" s="711"/>
      <c r="J112" s="711"/>
      <c r="K112" s="711"/>
      <c r="L112" s="711"/>
      <c r="M112" s="729"/>
      <c r="N112" s="97"/>
      <c r="O112" s="97"/>
      <c r="P112" s="97"/>
      <c r="Q112" s="97"/>
      <c r="R112" s="97"/>
      <c r="S112" s="97"/>
      <c r="T112" s="97"/>
      <c r="U112" s="97"/>
      <c r="V112" s="97"/>
      <c r="W112" s="97"/>
      <c r="X112" s="97"/>
      <c r="Y112" s="97"/>
    </row>
    <row r="113" spans="1:25" ht="15.75">
      <c r="A113" s="890"/>
      <c r="B113" s="97"/>
      <c r="C113" s="411"/>
      <c r="D113" s="711"/>
      <c r="E113" s="711"/>
      <c r="F113" s="711"/>
      <c r="G113" s="652"/>
      <c r="H113" s="711"/>
      <c r="I113" s="711"/>
      <c r="J113" s="711"/>
      <c r="K113" s="711"/>
      <c r="L113" s="711"/>
      <c r="M113" s="729"/>
      <c r="N113" s="97"/>
      <c r="O113" s="97"/>
      <c r="P113" s="97"/>
      <c r="Q113" s="97"/>
      <c r="R113" s="97"/>
      <c r="S113" s="97"/>
      <c r="T113" s="97"/>
      <c r="U113" s="97"/>
      <c r="V113" s="97"/>
      <c r="W113" s="97"/>
      <c r="X113" s="97"/>
      <c r="Y113" s="97"/>
    </row>
    <row r="114" spans="1:25" ht="15.75">
      <c r="A114" s="890"/>
      <c r="B114" s="97"/>
      <c r="C114" s="411"/>
      <c r="D114" s="903"/>
      <c r="E114" s="711"/>
      <c r="F114" s="711"/>
      <c r="G114" s="652"/>
      <c r="H114" s="711"/>
      <c r="I114" s="711"/>
      <c r="J114" s="711"/>
      <c r="K114" s="711"/>
      <c r="L114" s="711"/>
      <c r="M114" s="729"/>
      <c r="N114" s="97"/>
      <c r="O114" s="97"/>
      <c r="P114" s="97"/>
      <c r="Q114" s="97"/>
      <c r="R114" s="97"/>
      <c r="S114" s="97"/>
      <c r="T114" s="97"/>
      <c r="U114" s="97"/>
      <c r="V114" s="97"/>
      <c r="W114" s="97"/>
      <c r="X114" s="97"/>
      <c r="Y114" s="97"/>
    </row>
    <row r="115" spans="1:25" ht="15.75">
      <c r="A115" s="890"/>
      <c r="B115" s="97"/>
      <c r="C115" s="411"/>
      <c r="D115" s="711"/>
      <c r="E115" s="711"/>
      <c r="F115" s="711"/>
      <c r="G115" s="652"/>
      <c r="H115" s="711"/>
      <c r="I115" s="711"/>
      <c r="J115" s="711"/>
      <c r="K115" s="711"/>
      <c r="L115" s="711"/>
      <c r="M115" s="729"/>
      <c r="N115" s="97"/>
      <c r="O115" s="97"/>
      <c r="P115" s="97"/>
      <c r="Q115" s="97"/>
      <c r="R115" s="97"/>
      <c r="S115" s="97"/>
      <c r="T115" s="97"/>
      <c r="U115" s="97"/>
      <c r="V115" s="97"/>
      <c r="W115" s="97"/>
      <c r="X115" s="97"/>
      <c r="Y115" s="97"/>
    </row>
    <row r="116" spans="1:25" ht="15.75">
      <c r="A116" s="890"/>
      <c r="B116" s="97"/>
      <c r="C116" s="411"/>
      <c r="D116" s="711"/>
      <c r="E116" s="711"/>
      <c r="F116" s="711"/>
      <c r="G116" s="652"/>
      <c r="H116" s="711"/>
      <c r="I116" s="711"/>
      <c r="J116" s="711"/>
      <c r="K116" s="711"/>
      <c r="L116" s="711"/>
      <c r="M116" s="729"/>
      <c r="N116" s="97"/>
      <c r="O116" s="97"/>
      <c r="P116" s="97"/>
      <c r="Q116" s="97"/>
      <c r="R116" s="97"/>
      <c r="S116" s="97"/>
      <c r="T116" s="97"/>
      <c r="U116" s="97"/>
      <c r="V116" s="97"/>
      <c r="W116" s="97"/>
      <c r="X116" s="97"/>
      <c r="Y116" s="97"/>
    </row>
    <row r="117" spans="1:25" ht="15.75">
      <c r="A117" s="890"/>
      <c r="B117" s="97"/>
      <c r="C117" s="411"/>
      <c r="D117" s="834"/>
      <c r="E117" s="834"/>
      <c r="F117" s="834"/>
      <c r="G117" s="652"/>
      <c r="H117" s="834"/>
      <c r="I117" s="834"/>
      <c r="J117" s="834"/>
      <c r="K117" s="834"/>
      <c r="L117" s="834"/>
      <c r="M117" s="729"/>
      <c r="N117" s="97"/>
      <c r="O117" s="97"/>
      <c r="P117" s="97"/>
      <c r="Q117" s="97"/>
      <c r="R117" s="97"/>
      <c r="S117" s="97"/>
      <c r="T117" s="97"/>
      <c r="U117" s="97"/>
      <c r="V117" s="97"/>
      <c r="W117" s="97"/>
      <c r="X117" s="97"/>
      <c r="Y117" s="97"/>
    </row>
    <row r="118" spans="1:25" ht="15.75">
      <c r="A118" s="97"/>
      <c r="B118" s="97"/>
      <c r="C118" s="411"/>
      <c r="D118" s="904"/>
      <c r="E118" s="728"/>
      <c r="F118" s="728"/>
      <c r="G118" s="728"/>
      <c r="H118" s="656"/>
      <c r="I118" s="652"/>
      <c r="J118" s="657"/>
      <c r="K118" s="729"/>
      <c r="L118" s="729"/>
      <c r="M118" s="729"/>
      <c r="N118" s="97"/>
      <c r="O118" s="97"/>
      <c r="P118" s="97"/>
      <c r="Q118" s="97"/>
      <c r="R118" s="97"/>
      <c r="S118" s="97"/>
      <c r="T118" s="97"/>
      <c r="U118" s="97"/>
      <c r="V118" s="97"/>
      <c r="W118" s="97"/>
      <c r="X118" s="97"/>
      <c r="Y118" s="97"/>
    </row>
    <row r="119" spans="1:25" ht="15.75">
      <c r="A119" s="728"/>
      <c r="B119" s="97"/>
      <c r="C119" s="411"/>
      <c r="D119" s="728"/>
      <c r="E119" s="728"/>
      <c r="F119" s="728"/>
      <c r="G119" s="728"/>
      <c r="H119" s="728"/>
      <c r="I119" s="728"/>
      <c r="J119" s="728"/>
      <c r="K119" s="728"/>
      <c r="L119" s="728"/>
      <c r="M119" s="728"/>
      <c r="N119" s="97"/>
      <c r="O119" s="97"/>
      <c r="P119" s="97"/>
      <c r="Q119" s="97"/>
      <c r="R119" s="97"/>
      <c r="S119" s="97"/>
      <c r="T119" s="97"/>
      <c r="U119" s="97"/>
      <c r="V119" s="97"/>
      <c r="W119" s="97"/>
      <c r="X119" s="97"/>
      <c r="Y119" s="97"/>
    </row>
    <row r="120" spans="1:25">
      <c r="A120" s="728"/>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row>
    <row r="121" spans="1: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row>
    <row r="122" spans="1: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row>
    <row r="123" spans="1: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row>
    <row r="124" spans="1: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row>
  </sheetData>
  <phoneticPr fontId="73" type="noConversion"/>
  <pageMargins left="0.25" right="0.25" top="0.5" bottom="0.5" header="0.25" footer="0.25"/>
  <pageSetup paperSize="5" scale="6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zoomScaleNormal="100" workbookViewId="0">
      <selection activeCell="L18" sqref="L18"/>
    </sheetView>
  </sheetViews>
  <sheetFormatPr defaultColWidth="8.7109375" defaultRowHeight="12.75"/>
  <cols>
    <col min="1" max="1" width="5.28515625" style="1911" customWidth="1"/>
    <col min="2" max="2" width="33.85546875" style="1911" customWidth="1"/>
    <col min="3" max="3" width="11.28515625" style="1911" customWidth="1"/>
    <col min="4" max="4" width="16" style="1911" customWidth="1"/>
    <col min="5" max="5" width="16.42578125" style="1911" customWidth="1"/>
    <col min="6" max="6" width="19" style="1911" customWidth="1"/>
    <col min="7" max="11" width="15.7109375" style="1911" customWidth="1"/>
    <col min="12" max="12" width="16.7109375" style="1911" customWidth="1"/>
    <col min="13" max="16384" width="8.7109375" style="1911"/>
  </cols>
  <sheetData>
    <row r="1" spans="1:13" ht="18.75">
      <c r="A1" s="1909" t="s">
        <v>1257</v>
      </c>
      <c r="B1" s="1867"/>
      <c r="C1" s="1910"/>
      <c r="D1" s="1910"/>
      <c r="E1" s="1910"/>
      <c r="F1" s="1910"/>
      <c r="G1" s="1910"/>
      <c r="H1" s="1910"/>
      <c r="I1" s="1910"/>
    </row>
    <row r="2" spans="1:13" ht="15.75">
      <c r="A2" s="1912"/>
      <c r="B2" s="1910"/>
      <c r="C2" s="1910"/>
      <c r="D2" s="1910"/>
      <c r="E2" s="1910"/>
      <c r="F2" s="1910"/>
      <c r="G2" s="1910"/>
      <c r="H2" s="1910"/>
      <c r="I2" s="1910"/>
    </row>
    <row r="3" spans="1:13" ht="31.5" customHeight="1">
      <c r="A3" s="2028" t="s">
        <v>1296</v>
      </c>
      <c r="B3" s="2028"/>
      <c r="C3" s="2028"/>
      <c r="D3" s="2028"/>
      <c r="E3" s="2028"/>
      <c r="F3" s="2028"/>
      <c r="G3" s="2028"/>
      <c r="H3" s="2028"/>
      <c r="I3" s="2028"/>
      <c r="J3" s="2028"/>
      <c r="K3" s="2028"/>
      <c r="L3" s="2028"/>
    </row>
    <row r="4" spans="1:13">
      <c r="A4" s="1913"/>
      <c r="B4" s="1914"/>
      <c r="C4" s="1914"/>
      <c r="D4" s="1914"/>
      <c r="E4" s="1914"/>
      <c r="F4" s="1914"/>
      <c r="G4" s="1914"/>
      <c r="H4" s="1914"/>
      <c r="I4" s="1914"/>
      <c r="J4" s="1914"/>
      <c r="K4" s="1914"/>
    </row>
    <row r="5" spans="1:13" ht="14.65" customHeight="1">
      <c r="A5" s="1915" t="s">
        <v>1312</v>
      </c>
      <c r="B5" s="1914"/>
      <c r="C5" s="1914"/>
      <c r="D5" s="1914"/>
      <c r="E5" s="1914"/>
      <c r="F5" s="1914"/>
      <c r="G5" s="1914"/>
      <c r="H5" s="1914"/>
      <c r="I5" s="1914"/>
      <c r="J5" s="1914"/>
      <c r="K5" s="1914"/>
    </row>
    <row r="6" spans="1:13" ht="34.5" customHeight="1">
      <c r="A6" s="2028" t="s">
        <v>1313</v>
      </c>
      <c r="B6" s="2028"/>
      <c r="C6" s="2028"/>
      <c r="D6" s="2028"/>
      <c r="E6" s="2028"/>
      <c r="F6" s="2028"/>
      <c r="G6" s="2028"/>
      <c r="H6" s="2028"/>
      <c r="I6" s="2028"/>
      <c r="J6" s="2028"/>
      <c r="K6" s="2028"/>
      <c r="L6" s="2028"/>
    </row>
    <row r="7" spans="1:13" ht="12.4" customHeight="1">
      <c r="A7" s="1913"/>
      <c r="B7" s="1914"/>
      <c r="C7" s="1914"/>
      <c r="D7" s="1914"/>
      <c r="E7" s="1914"/>
      <c r="F7" s="1914"/>
      <c r="G7" s="1914"/>
      <c r="H7" s="1914"/>
      <c r="I7" s="1914"/>
      <c r="J7" s="1914"/>
      <c r="K7" s="1914"/>
    </row>
    <row r="8" spans="1:13">
      <c r="A8" s="1913"/>
      <c r="B8" s="1916" t="s">
        <v>263</v>
      </c>
      <c r="C8" s="1916" t="s">
        <v>264</v>
      </c>
      <c r="D8" s="1917" t="s">
        <v>356</v>
      </c>
      <c r="E8" s="1917" t="s">
        <v>265</v>
      </c>
      <c r="F8" s="1917" t="s">
        <v>266</v>
      </c>
      <c r="G8" s="1917" t="s">
        <v>262</v>
      </c>
      <c r="H8" s="1917" t="s">
        <v>355</v>
      </c>
      <c r="I8" s="1917" t="s">
        <v>570</v>
      </c>
      <c r="J8" s="1917" t="s">
        <v>571</v>
      </c>
      <c r="K8" s="1917" t="s">
        <v>963</v>
      </c>
      <c r="L8" s="1917" t="s">
        <v>964</v>
      </c>
      <c r="M8" s="1914"/>
    </row>
    <row r="9" spans="1:13" ht="63.75">
      <c r="A9" s="1918"/>
      <c r="B9" s="1919" t="s">
        <v>1258</v>
      </c>
      <c r="C9" s="1920" t="s">
        <v>1314</v>
      </c>
      <c r="D9" s="1921" t="s">
        <v>1315</v>
      </c>
      <c r="E9" s="1920" t="s">
        <v>1316</v>
      </c>
      <c r="F9" s="1920" t="s">
        <v>1259</v>
      </c>
      <c r="G9" s="1920" t="s">
        <v>1297</v>
      </c>
      <c r="H9" s="1920" t="s">
        <v>1298</v>
      </c>
      <c r="I9" s="1921" t="s">
        <v>1299</v>
      </c>
      <c r="J9" s="1880" t="s">
        <v>1317</v>
      </c>
      <c r="K9" s="1880" t="s">
        <v>1330</v>
      </c>
      <c r="L9" s="1880" t="s">
        <v>1331</v>
      </c>
    </row>
    <row r="10" spans="1:13">
      <c r="A10" s="1922"/>
      <c r="B10" s="1910"/>
      <c r="C10" s="1910"/>
      <c r="D10" s="1910"/>
      <c r="E10" s="1910"/>
      <c r="F10" s="1910"/>
      <c r="G10" s="1923"/>
      <c r="H10" s="1923"/>
      <c r="I10" s="1924"/>
      <c r="J10"/>
      <c r="K10"/>
      <c r="L10"/>
    </row>
    <row r="11" spans="1:13">
      <c r="A11" s="1922">
        <v>1</v>
      </c>
      <c r="B11" s="1910" t="s">
        <v>1254</v>
      </c>
      <c r="C11" s="1922">
        <v>282</v>
      </c>
      <c r="D11" s="1922">
        <v>254</v>
      </c>
      <c r="E11" s="1922">
        <v>411.1</v>
      </c>
      <c r="F11" s="1925" t="s">
        <v>1269</v>
      </c>
      <c r="G11" s="1926">
        <v>-1351358581.5130451</v>
      </c>
      <c r="H11" s="1926">
        <v>-808671362.47831202</v>
      </c>
      <c r="I11" s="1927">
        <v>-542687219.03473306</v>
      </c>
      <c r="J11" s="1928">
        <v>-430626457.63972002</v>
      </c>
      <c r="K11" s="1928">
        <v>21539585.196166396</v>
      </c>
      <c r="L11" s="445">
        <v>-114470324.18271035</v>
      </c>
    </row>
    <row r="12" spans="1:13">
      <c r="A12" s="1922">
        <v>2</v>
      </c>
      <c r="B12" s="1910" t="s">
        <v>1255</v>
      </c>
      <c r="C12" s="1922">
        <v>282</v>
      </c>
      <c r="D12" s="1922">
        <v>254</v>
      </c>
      <c r="E12" s="1922">
        <v>411.1</v>
      </c>
      <c r="F12" s="1925" t="s">
        <v>1269</v>
      </c>
      <c r="G12" s="1926">
        <v>-83085672.230144978</v>
      </c>
      <c r="H12" s="1926">
        <v>-50044547.799883381</v>
      </c>
      <c r="I12" s="1927">
        <v>-33041124.430261597</v>
      </c>
      <c r="J12" s="125">
        <v>-32591677.186542023</v>
      </c>
      <c r="K12" s="1928">
        <v>304290.35283174738</v>
      </c>
      <c r="L12" s="445">
        <v>-8663610.3913592733</v>
      </c>
    </row>
    <row r="13" spans="1:13">
      <c r="A13" s="1922">
        <v>3</v>
      </c>
      <c r="B13" s="1910" t="s">
        <v>1256</v>
      </c>
      <c r="C13" s="1922">
        <v>190</v>
      </c>
      <c r="D13" s="1922">
        <v>182.3</v>
      </c>
      <c r="E13" s="1922">
        <v>410.1</v>
      </c>
      <c r="F13" s="1929" t="s">
        <v>1300</v>
      </c>
      <c r="G13" s="1930">
        <v>31411462.702959999</v>
      </c>
      <c r="H13" s="1926">
        <v>18846877.621776</v>
      </c>
      <c r="I13" s="1927">
        <v>12564585.081184</v>
      </c>
      <c r="J13" s="125">
        <v>2848214.0594005072</v>
      </c>
      <c r="K13" s="1928">
        <v>-4431871.2152693607</v>
      </c>
      <c r="L13" s="445">
        <v>757120.19300519815</v>
      </c>
    </row>
    <row r="14" spans="1:13">
      <c r="A14" s="1922">
        <v>4</v>
      </c>
      <c r="B14" s="1910" t="s">
        <v>1256</v>
      </c>
      <c r="C14" s="1922">
        <v>283</v>
      </c>
      <c r="D14" s="1922">
        <v>254</v>
      </c>
      <c r="E14" s="1922">
        <v>411.1</v>
      </c>
      <c r="F14" s="1929" t="s">
        <v>1300</v>
      </c>
      <c r="G14" s="1930">
        <v>-121037047.67049998</v>
      </c>
      <c r="H14" s="1926">
        <v>-72622228.602299988</v>
      </c>
      <c r="I14" s="1927">
        <v>-48414819.068199992</v>
      </c>
      <c r="J14" s="125">
        <v>-10974955.994359396</v>
      </c>
      <c r="K14" s="1928">
        <v>17077224.726040076</v>
      </c>
      <c r="L14" s="445">
        <v>-2917393.3655892052</v>
      </c>
    </row>
    <row r="15" spans="1:13" ht="13.5" thickBot="1">
      <c r="A15" s="1922">
        <v>5</v>
      </c>
      <c r="B15" s="1931" t="s">
        <v>1272</v>
      </c>
      <c r="C15" s="1931"/>
      <c r="D15" s="1931"/>
      <c r="E15" s="1931"/>
      <c r="F15" s="1931"/>
      <c r="G15" s="1932">
        <f t="shared" ref="G15:H15" si="0">SUM(G11:G14)</f>
        <v>-1524069838.7107301</v>
      </c>
      <c r="H15" s="1932">
        <f t="shared" si="0"/>
        <v>-912491261.25871944</v>
      </c>
      <c r="I15" s="1932">
        <f>SUM(I11:I14)</f>
        <v>-611578577.45201063</v>
      </c>
      <c r="J15" s="1932">
        <f>SUM(J11:J14)</f>
        <v>-471344876.76122093</v>
      </c>
      <c r="K15" s="1932">
        <f>SUM(K11:K14)</f>
        <v>34489229.059768856</v>
      </c>
      <c r="L15" s="1932">
        <f>SUM(L11:L14)</f>
        <v>-125294207.74665362</v>
      </c>
    </row>
    <row r="16" spans="1:13" ht="13.5" thickTop="1">
      <c r="A16" s="1922"/>
      <c r="B16" s="1933"/>
      <c r="C16" s="1933"/>
      <c r="D16" s="1933"/>
      <c r="E16" s="1933"/>
      <c r="F16" s="1933"/>
      <c r="G16" s="1933"/>
      <c r="H16" s="1934"/>
      <c r="I16" s="1927"/>
      <c r="J16" s="1927"/>
      <c r="K16" s="1927"/>
    </row>
    <row r="17" spans="1:12">
      <c r="J17" s="1935"/>
    </row>
    <row r="18" spans="1:12">
      <c r="A18" s="1911" t="s">
        <v>405</v>
      </c>
      <c r="B18" s="1936"/>
      <c r="C18" s="1936"/>
      <c r="D18" s="1936"/>
      <c r="E18" s="1936"/>
      <c r="F18" s="1936"/>
      <c r="G18" s="1936"/>
      <c r="H18" s="1936"/>
      <c r="I18" s="1936"/>
    </row>
    <row r="19" spans="1:12" ht="138.75" customHeight="1">
      <c r="A19" s="1937" t="s">
        <v>1222</v>
      </c>
      <c r="B19" s="2027" t="s">
        <v>1318</v>
      </c>
      <c r="C19" s="2027"/>
      <c r="D19" s="2027"/>
      <c r="E19" s="2027"/>
      <c r="F19" s="2027"/>
      <c r="G19" s="2027"/>
      <c r="H19" s="2027"/>
      <c r="I19" s="2027"/>
      <c r="J19" s="2027"/>
      <c r="K19" s="2027"/>
      <c r="L19" s="2027"/>
    </row>
    <row r="20" spans="1:12" ht="27" customHeight="1">
      <c r="A20" s="1937" t="s">
        <v>1223</v>
      </c>
      <c r="B20" s="2027" t="s">
        <v>1270</v>
      </c>
      <c r="C20" s="2027"/>
      <c r="D20" s="2027"/>
      <c r="E20" s="2027"/>
      <c r="F20" s="2027"/>
      <c r="G20" s="2027"/>
      <c r="H20" s="2027"/>
      <c r="I20" s="2027"/>
      <c r="J20" s="2027"/>
      <c r="K20" s="2027"/>
      <c r="L20" s="2027"/>
    </row>
    <row r="21" spans="1:12" ht="12.75" customHeight="1">
      <c r="A21" s="1937" t="s">
        <v>1224</v>
      </c>
      <c r="B21" s="2027" t="s">
        <v>1271</v>
      </c>
      <c r="C21" s="2027"/>
      <c r="D21" s="2027"/>
      <c r="E21" s="2027"/>
      <c r="F21" s="2027"/>
      <c r="G21" s="2027"/>
      <c r="H21" s="2027"/>
      <c r="I21" s="2027"/>
      <c r="J21" s="2027"/>
      <c r="K21" s="2027"/>
      <c r="L21" s="2027"/>
    </row>
    <row r="22" spans="1:12" ht="38.450000000000003" customHeight="1">
      <c r="A22" s="1937" t="s">
        <v>1225</v>
      </c>
      <c r="B22" s="2027" t="s">
        <v>1319</v>
      </c>
      <c r="C22" s="2027"/>
      <c r="D22" s="2027"/>
      <c r="E22" s="2027"/>
      <c r="F22" s="2027"/>
      <c r="G22" s="2027"/>
      <c r="H22" s="2027"/>
      <c r="I22" s="2027"/>
      <c r="J22" s="2027"/>
      <c r="K22" s="2027"/>
      <c r="L22" s="2027"/>
    </row>
    <row r="23" spans="1:12" s="1938" customFormat="1">
      <c r="A23" s="1937" t="s">
        <v>1320</v>
      </c>
      <c r="B23" s="1938" t="s">
        <v>1321</v>
      </c>
      <c r="C23" s="1939"/>
      <c r="D23" s="1939"/>
    </row>
    <row r="24" spans="1:12" s="1938" customFormat="1">
      <c r="A24" s="1940"/>
      <c r="B24" s="1939"/>
      <c r="C24" s="1939"/>
      <c r="D24" s="1939"/>
    </row>
    <row r="25" spans="1:12" s="1938" customFormat="1">
      <c r="B25" s="1941"/>
      <c r="C25" s="1941"/>
      <c r="D25" s="1941"/>
    </row>
    <row r="26" spans="1:12" s="1938" customFormat="1">
      <c r="B26" s="1941"/>
      <c r="C26" s="1941"/>
      <c r="D26" s="1941"/>
    </row>
    <row r="27" spans="1:12" s="1938" customFormat="1">
      <c r="B27" s="1941"/>
      <c r="C27" s="1941"/>
      <c r="D27" s="1941"/>
    </row>
    <row r="28" spans="1:12" s="1938" customFormat="1">
      <c r="B28" s="1941"/>
      <c r="C28" s="1941"/>
      <c r="D28" s="1941"/>
    </row>
    <row r="29" spans="1:12" s="1938" customFormat="1">
      <c r="B29" s="1941"/>
      <c r="C29" s="1941"/>
      <c r="D29" s="1941"/>
    </row>
    <row r="30" spans="1:12" s="1938" customFormat="1">
      <c r="B30" s="1941"/>
      <c r="C30" s="1941"/>
    </row>
  </sheetData>
  <mergeCells count="6">
    <mergeCell ref="B22:L22"/>
    <mergeCell ref="A3:L3"/>
    <mergeCell ref="A6:L6"/>
    <mergeCell ref="B19:L19"/>
    <mergeCell ref="B20:L20"/>
    <mergeCell ref="B21:L21"/>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320"/>
  <sheetViews>
    <sheetView tabSelected="1" topLeftCell="A2" zoomScale="50" zoomScaleNormal="50" zoomScaleSheetLayoutView="50" workbookViewId="0">
      <pane xSplit="7" ySplit="5" topLeftCell="H242" activePane="bottomRight" state="frozen"/>
      <selection activeCell="A2" sqref="A2"/>
      <selection pane="topRight" activeCell="H2" sqref="H2"/>
      <selection pane="bottomLeft" activeCell="A7" sqref="A7"/>
      <selection pane="bottomRight" activeCell="N37" sqref="N37"/>
    </sheetView>
  </sheetViews>
  <sheetFormatPr defaultColWidth="11.5703125" defaultRowHeight="15"/>
  <cols>
    <col min="1" max="1" width="10" style="5" customWidth="1"/>
    <col min="2" max="2" width="5.28515625" style="5" customWidth="1"/>
    <col min="3" max="3" width="54.42578125" style="31" customWidth="1"/>
    <col min="4" max="4" width="27.28515625" style="12" customWidth="1"/>
    <col min="5" max="5" width="22.7109375" style="12" customWidth="1"/>
    <col min="6" max="6" width="34.5703125" style="12" customWidth="1"/>
    <col min="7" max="7" width="3" customWidth="1"/>
    <col min="8" max="8" width="26.140625" style="12" customWidth="1"/>
    <col min="9" max="9" width="2.42578125" style="12" customWidth="1"/>
    <col min="10" max="10" width="22.7109375" style="12" customWidth="1"/>
    <col min="11" max="11" width="24.7109375" style="424" customWidth="1"/>
    <col min="12" max="12" width="23.28515625" style="12" customWidth="1"/>
    <col min="13" max="13" width="8.28515625" style="15" customWidth="1"/>
    <col min="14" max="14" width="19.5703125" style="12" bestFit="1" customWidth="1"/>
    <col min="15" max="15" width="11.5703125" style="12"/>
    <col min="16" max="16" width="17.5703125" style="12" bestFit="1" customWidth="1"/>
    <col min="17" max="16384" width="11.5703125" style="12"/>
  </cols>
  <sheetData>
    <row r="1" spans="1:13" ht="23.25" customHeight="1">
      <c r="A1" s="437" t="s">
        <v>863</v>
      </c>
      <c r="C1" s="5"/>
      <c r="K1" s="26"/>
    </row>
    <row r="2" spans="1:13" ht="24" customHeight="1" thickBot="1">
      <c r="A2" s="92"/>
      <c r="C2" s="5"/>
      <c r="J2" s="857"/>
      <c r="K2" s="857"/>
      <c r="L2" s="857"/>
    </row>
    <row r="3" spans="1:13" ht="68.25" customHeight="1">
      <c r="A3" s="804" t="s">
        <v>447</v>
      </c>
      <c r="B3" s="805"/>
      <c r="C3" s="805"/>
      <c r="D3" s="805"/>
      <c r="E3" s="806"/>
      <c r="F3" s="807" t="s">
        <v>162</v>
      </c>
      <c r="H3" s="1057" t="s">
        <v>474</v>
      </c>
      <c r="I3" s="812"/>
      <c r="J3" s="812" t="s">
        <v>974</v>
      </c>
      <c r="K3" s="812" t="s">
        <v>437</v>
      </c>
      <c r="L3" s="813" t="s">
        <v>438</v>
      </c>
      <c r="M3" s="1562"/>
    </row>
    <row r="4" spans="1:13" s="1" customFormat="1" ht="42" customHeight="1" thickBot="1">
      <c r="A4" s="808" t="s">
        <v>1086</v>
      </c>
      <c r="B4" s="809"/>
      <c r="C4" s="809"/>
      <c r="D4" s="809"/>
      <c r="E4" s="810" t="s">
        <v>890</v>
      </c>
      <c r="F4" s="811"/>
      <c r="H4" s="814">
        <v>2022</v>
      </c>
      <c r="I4" s="1058"/>
      <c r="J4" s="815"/>
      <c r="K4" s="815"/>
      <c r="L4" s="816"/>
      <c r="M4" s="77"/>
    </row>
    <row r="5" spans="1:13" s="76" customFormat="1" ht="0.75" customHeight="1">
      <c r="A5" s="94" t="s">
        <v>663</v>
      </c>
      <c r="B5" s="376"/>
      <c r="C5" s="376"/>
      <c r="D5" s="376"/>
      <c r="E5" s="377"/>
      <c r="F5" s="95"/>
      <c r="H5" s="95"/>
      <c r="J5" s="501"/>
      <c r="M5" s="867"/>
    </row>
    <row r="6" spans="1:13" s="15" customFormat="1" ht="15.75" customHeight="1" thickBot="1">
      <c r="A6" s="30" t="s">
        <v>799</v>
      </c>
      <c r="B6" s="29"/>
      <c r="C6" s="40"/>
      <c r="D6" s="40"/>
      <c r="E6" s="378"/>
      <c r="F6" s="41"/>
      <c r="G6" s="45"/>
      <c r="H6" s="46"/>
      <c r="I6" s="45"/>
      <c r="J6" s="913"/>
      <c r="K6" s="45"/>
      <c r="L6" s="45"/>
      <c r="M6" s="868"/>
    </row>
    <row r="7" spans="1:13" s="15" customFormat="1" ht="15.75" customHeight="1">
      <c r="A7" s="945"/>
      <c r="B7" s="946"/>
      <c r="C7" s="946"/>
      <c r="D7" s="946"/>
      <c r="E7" s="947"/>
      <c r="F7" s="1022"/>
      <c r="G7" s="948"/>
      <c r="H7" s="949"/>
      <c r="I7" s="950"/>
      <c r="J7" s="951"/>
      <c r="K7" s="951"/>
      <c r="L7" s="952"/>
      <c r="M7" s="426"/>
    </row>
    <row r="8" spans="1:13" ht="15.75" customHeight="1">
      <c r="A8" s="953"/>
      <c r="B8" s="11" t="s">
        <v>805</v>
      </c>
      <c r="C8" s="21"/>
      <c r="D8" s="21"/>
      <c r="E8" s="382"/>
      <c r="F8" s="1023"/>
      <c r="G8" s="97"/>
      <c r="H8" s="905"/>
      <c r="I8" s="426"/>
      <c r="J8" s="503"/>
      <c r="K8" s="503"/>
      <c r="L8" s="954"/>
      <c r="M8" s="426"/>
    </row>
    <row r="9" spans="1:13" ht="15.75" customHeight="1">
      <c r="A9" s="955">
        <v>1</v>
      </c>
      <c r="B9" s="23"/>
      <c r="C9" s="36" t="s">
        <v>758</v>
      </c>
      <c r="D9" s="956"/>
      <c r="E9" s="74"/>
      <c r="F9" s="1023" t="s">
        <v>604</v>
      </c>
      <c r="G9" s="97"/>
      <c r="H9" s="1435">
        <v>12482576</v>
      </c>
      <c r="I9" s="669"/>
      <c r="J9" s="1436">
        <f>H9</f>
        <v>12482576</v>
      </c>
      <c r="K9" s="1436">
        <v>0</v>
      </c>
      <c r="L9" s="1437">
        <f t="shared" ref="K9:L11" si="0">K9</f>
        <v>0</v>
      </c>
      <c r="M9" s="426"/>
    </row>
    <row r="10" spans="1:13">
      <c r="A10" s="955">
        <f>+A9+1</f>
        <v>2</v>
      </c>
      <c r="B10" s="23"/>
      <c r="C10" s="36" t="s">
        <v>759</v>
      </c>
      <c r="D10" s="36"/>
      <c r="E10" s="74"/>
      <c r="F10" s="1024" t="s">
        <v>605</v>
      </c>
      <c r="G10" s="97"/>
      <c r="H10" s="1435">
        <v>128669883</v>
      </c>
      <c r="I10" s="426"/>
      <c r="J10" s="1436">
        <f>H10</f>
        <v>128669883</v>
      </c>
      <c r="K10" s="1436">
        <f t="shared" si="0"/>
        <v>128669883</v>
      </c>
      <c r="L10" s="1436">
        <f t="shared" si="0"/>
        <v>128669883</v>
      </c>
      <c r="M10" s="426"/>
    </row>
    <row r="11" spans="1:13" ht="15.75" customHeight="1">
      <c r="A11" s="955">
        <f>+A10+1</f>
        <v>3</v>
      </c>
      <c r="B11" s="23"/>
      <c r="C11" s="36" t="s">
        <v>800</v>
      </c>
      <c r="D11" s="36"/>
      <c r="E11" s="74"/>
      <c r="F11" s="1024" t="s">
        <v>606</v>
      </c>
      <c r="G11" s="97"/>
      <c r="H11" s="1435">
        <v>40669607</v>
      </c>
      <c r="I11" s="426"/>
      <c r="J11" s="1436">
        <f>H11</f>
        <v>40669607</v>
      </c>
      <c r="K11" s="1436">
        <f t="shared" si="0"/>
        <v>40669607</v>
      </c>
      <c r="L11" s="1436">
        <f t="shared" si="0"/>
        <v>40669607</v>
      </c>
      <c r="M11" s="426"/>
    </row>
    <row r="12" spans="1:13" ht="15.75" customHeight="1">
      <c r="A12" s="955">
        <f>+A11+1</f>
        <v>4</v>
      </c>
      <c r="B12" s="23"/>
      <c r="C12" s="434" t="s">
        <v>851</v>
      </c>
      <c r="D12" s="380"/>
      <c r="E12" s="388"/>
      <c r="F12" s="1061" t="str">
        <f>"(Line "&amp;A10&amp;" - "&amp;A11&amp;")"</f>
        <v>(Line 2 - 3)</v>
      </c>
      <c r="G12" s="1020"/>
      <c r="H12" s="1062">
        <f>+H10-H11</f>
        <v>88000276</v>
      </c>
      <c r="I12" s="1063"/>
      <c r="J12" s="1062">
        <f>+J10-J11</f>
        <v>88000276</v>
      </c>
      <c r="K12" s="1062">
        <f>+K10-K11</f>
        <v>88000276</v>
      </c>
      <c r="L12" s="957">
        <f>+L10-L11</f>
        <v>88000276</v>
      </c>
      <c r="M12" s="426"/>
    </row>
    <row r="13" spans="1:13" ht="32.25" customHeight="1" thickBot="1">
      <c r="A13" s="955">
        <v>5</v>
      </c>
      <c r="B13" s="9" t="s">
        <v>826</v>
      </c>
      <c r="C13" s="9"/>
      <c r="D13" s="42"/>
      <c r="E13" s="379"/>
      <c r="F13" s="1059" t="str">
        <f>"(Line "&amp;A9&amp;" / "&amp;A12&amp;")"</f>
        <v>(Line 1 / 4)</v>
      </c>
      <c r="G13" s="1060"/>
      <c r="H13" s="504">
        <f>+H9/H12</f>
        <v>0.14184700966165151</v>
      </c>
      <c r="I13" s="1065"/>
      <c r="J13" s="504">
        <f>+J9/J12</f>
        <v>0.14184700966165151</v>
      </c>
      <c r="K13" s="504">
        <f>+K9/K12</f>
        <v>0</v>
      </c>
      <c r="L13" s="958">
        <f>+L9/L12</f>
        <v>0</v>
      </c>
      <c r="M13" s="426"/>
    </row>
    <row r="14" spans="1:13" ht="16.5" customHeight="1" thickTop="1">
      <c r="A14" s="955"/>
      <c r="B14" s="23"/>
      <c r="C14" s="11"/>
      <c r="D14" s="25"/>
      <c r="E14" s="959"/>
      <c r="F14" s="1026"/>
      <c r="G14" s="97"/>
      <c r="H14" s="906"/>
      <c r="I14" s="426"/>
      <c r="J14" s="503"/>
      <c r="K14" s="503"/>
      <c r="L14" s="954"/>
      <c r="M14" s="426"/>
    </row>
    <row r="15" spans="1:13" ht="15.75" customHeight="1">
      <c r="A15" s="960"/>
      <c r="B15" s="11" t="s">
        <v>842</v>
      </c>
      <c r="C15" s="21"/>
      <c r="D15" s="26"/>
      <c r="E15" s="61"/>
      <c r="F15" s="1027"/>
      <c r="G15" s="97"/>
      <c r="H15" s="907"/>
      <c r="I15" s="426"/>
      <c r="J15" s="503"/>
      <c r="K15" s="503"/>
      <c r="L15" s="954"/>
      <c r="M15" s="426"/>
    </row>
    <row r="16" spans="1:13" ht="15.75" customHeight="1">
      <c r="A16" s="639">
        <f>+A13+1</f>
        <v>6</v>
      </c>
      <c r="B16" s="26"/>
      <c r="C16" s="440" t="s">
        <v>859</v>
      </c>
      <c r="D16" s="35"/>
      <c r="E16" s="73" t="str">
        <f>"(Note "&amp;B$298&amp;")"</f>
        <v>(Note B)</v>
      </c>
      <c r="F16" s="1028" t="s">
        <v>668</v>
      </c>
      <c r="G16" s="145"/>
      <c r="H16" s="910">
        <f>'5 - Cost Support'!F28</f>
        <v>11015156221.923077</v>
      </c>
      <c r="I16" s="940"/>
      <c r="J16" s="1016">
        <f>H16</f>
        <v>11015156221.923077</v>
      </c>
      <c r="K16" s="1016">
        <f>J16</f>
        <v>11015156221.923077</v>
      </c>
      <c r="L16" s="1017">
        <f>K16</f>
        <v>11015156221.923077</v>
      </c>
      <c r="M16" s="426"/>
    </row>
    <row r="17" spans="1:13" ht="15.75" customHeight="1">
      <c r="A17" s="639">
        <f>+A16+1</f>
        <v>7</v>
      </c>
      <c r="B17" s="26"/>
      <c r="C17" s="36" t="s">
        <v>804</v>
      </c>
      <c r="D17" s="962"/>
      <c r="E17" s="74"/>
      <c r="F17" s="1029" t="str">
        <f>"(Sum Line "&amp;A16&amp;")"</f>
        <v>(Sum Line 6)</v>
      </c>
      <c r="G17" s="97"/>
      <c r="H17" s="509">
        <f>SUM(H16:H16)</f>
        <v>11015156221.923077</v>
      </c>
      <c r="I17" s="426"/>
      <c r="J17" s="509">
        <f>SUM(J16:J16)</f>
        <v>11015156221.923077</v>
      </c>
      <c r="K17" s="509">
        <f>SUM(K16:K16)</f>
        <v>11015156221.923077</v>
      </c>
      <c r="L17" s="975">
        <f>SUM(L16:L16)</f>
        <v>11015156221.923077</v>
      </c>
      <c r="M17" s="426"/>
    </row>
    <row r="18" spans="1:13" ht="15.75" customHeight="1">
      <c r="A18" s="639">
        <f>+A17+1</f>
        <v>8</v>
      </c>
      <c r="B18" s="26"/>
      <c r="C18" s="36" t="s">
        <v>756</v>
      </c>
      <c r="D18" s="21"/>
      <c r="E18" s="61"/>
      <c r="F18" s="1024" t="s">
        <v>668</v>
      </c>
      <c r="G18" s="97"/>
      <c r="H18" s="509">
        <f>+'5 - Cost Support'!F59</f>
        <v>4885751606.2674828</v>
      </c>
      <c r="I18" s="426"/>
      <c r="J18" s="911">
        <f>H18</f>
        <v>4885751606.2674828</v>
      </c>
      <c r="K18" s="911">
        <f>J18</f>
        <v>4885751606.2674828</v>
      </c>
      <c r="L18" s="961">
        <f>K18</f>
        <v>4885751606.2674828</v>
      </c>
      <c r="M18" s="426"/>
    </row>
    <row r="19" spans="1:13" ht="15.75" customHeight="1">
      <c r="A19" s="639">
        <f>+A18+1</f>
        <v>9</v>
      </c>
      <c r="B19" s="21"/>
      <c r="C19" s="19" t="s">
        <v>803</v>
      </c>
      <c r="D19" s="20"/>
      <c r="E19" s="62"/>
      <c r="F19" s="1030" t="str">
        <f>"(Line "&amp;A18&amp;")"</f>
        <v>(Line 8)</v>
      </c>
      <c r="G19" s="491"/>
      <c r="H19" s="1018">
        <f>SUM(H18:H18)</f>
        <v>4885751606.2674828</v>
      </c>
      <c r="I19" s="1019"/>
      <c r="J19" s="1018">
        <f>SUM(J18:J18)</f>
        <v>4885751606.2674828</v>
      </c>
      <c r="K19" s="1018">
        <f>SUM(K18:K18)</f>
        <v>4885751606.2674828</v>
      </c>
      <c r="L19" s="957">
        <f>SUM(L18:L18)</f>
        <v>4885751606.2674828</v>
      </c>
      <c r="M19" s="1563"/>
    </row>
    <row r="20" spans="1:13" ht="15.75" customHeight="1">
      <c r="A20" s="955">
        <f>+A19+1</f>
        <v>10</v>
      </c>
      <c r="B20" s="26"/>
      <c r="C20" s="18" t="s">
        <v>836</v>
      </c>
      <c r="D20" s="18"/>
      <c r="E20" s="62"/>
      <c r="F20" s="1023" t="str">
        <f>"(Line "&amp;A17&amp;" - "&amp;A19&amp;")"</f>
        <v>(Line 7 - 9)</v>
      </c>
      <c r="G20" s="97"/>
      <c r="H20" s="509">
        <f>+H17-H19</f>
        <v>6129404615.6555939</v>
      </c>
      <c r="I20" s="426"/>
      <c r="J20" s="509">
        <f>+J17-J19</f>
        <v>6129404615.6555939</v>
      </c>
      <c r="K20" s="509">
        <f>+K17-K19</f>
        <v>6129404615.6555939</v>
      </c>
      <c r="L20" s="957">
        <f>+L17-L19</f>
        <v>6129404615.6555939</v>
      </c>
      <c r="M20" s="1563"/>
    </row>
    <row r="21" spans="1:13" ht="15.75" customHeight="1">
      <c r="A21" s="960"/>
      <c r="B21" s="26"/>
      <c r="C21" s="26"/>
      <c r="D21" s="26"/>
      <c r="E21" s="61"/>
      <c r="F21" s="1027"/>
      <c r="G21" s="97"/>
      <c r="H21" s="907"/>
      <c r="I21" s="426"/>
      <c r="J21" s="502"/>
      <c r="K21" s="502"/>
      <c r="L21" s="963"/>
      <c r="M21" s="1563"/>
    </row>
    <row r="22" spans="1:13" ht="15.75" customHeight="1">
      <c r="A22" s="639">
        <f>+A20+1</f>
        <v>11</v>
      </c>
      <c r="B22" s="26"/>
      <c r="C22" s="26" t="s">
        <v>801</v>
      </c>
      <c r="D22" s="962"/>
      <c r="E22" s="61"/>
      <c r="F22" s="1031" t="str">
        <f>"(Line "&amp;A43&amp;")"</f>
        <v>(Line 25)</v>
      </c>
      <c r="G22" s="104"/>
      <c r="H22" s="505">
        <f>+H43</f>
        <v>1835703114.2140098</v>
      </c>
      <c r="I22" s="426"/>
      <c r="J22" s="505">
        <f>+J43-J78</f>
        <v>1635819510.9063175</v>
      </c>
      <c r="K22" s="1942">
        <f>+K43-K78</f>
        <v>100122769.23076923</v>
      </c>
      <c r="L22" s="964">
        <f>+L43-L78</f>
        <v>94811923.076923072</v>
      </c>
      <c r="M22" s="1563"/>
    </row>
    <row r="23" spans="1:13" ht="16.5" customHeight="1" thickBot="1">
      <c r="A23" s="955">
        <f>+A22+1</f>
        <v>12</v>
      </c>
      <c r="B23" s="10" t="s">
        <v>744</v>
      </c>
      <c r="C23" s="10"/>
      <c r="D23" s="38"/>
      <c r="E23" s="63"/>
      <c r="F23" s="1025" t="str">
        <f>"(Line "&amp;A22&amp;" / "&amp;A17&amp;")"</f>
        <v>(Line 11 / 7)</v>
      </c>
      <c r="G23" s="1021"/>
      <c r="H23" s="504">
        <f>+H22/(H17)</f>
        <v>0.16665248111147754</v>
      </c>
      <c r="I23" s="1065"/>
      <c r="J23" s="504">
        <f>+J22/(J17)</f>
        <v>0.14850624702449555</v>
      </c>
      <c r="K23" s="504">
        <f>+K22/(K17)</f>
        <v>9.0895460049398493E-3</v>
      </c>
      <c r="L23" s="958">
        <f>+L22/(L17)</f>
        <v>8.6074061199624425E-3</v>
      </c>
      <c r="M23" s="1563"/>
    </row>
    <row r="24" spans="1:13" ht="16.5" customHeight="1" thickTop="1">
      <c r="A24" s="960"/>
      <c r="B24" s="21"/>
      <c r="C24" s="21"/>
      <c r="D24" s="21"/>
      <c r="E24" s="61"/>
      <c r="F24" s="1024"/>
      <c r="G24" s="104"/>
      <c r="H24" s="907"/>
      <c r="I24" s="426"/>
      <c r="J24" s="502"/>
      <c r="K24" s="502"/>
      <c r="L24" s="963"/>
      <c r="M24" s="36"/>
    </row>
    <row r="25" spans="1:13" ht="15.75" customHeight="1">
      <c r="A25" s="639">
        <f>+A23+1</f>
        <v>13</v>
      </c>
      <c r="B25" s="23"/>
      <c r="C25" s="393" t="s">
        <v>802</v>
      </c>
      <c r="D25" s="25"/>
      <c r="E25" s="959"/>
      <c r="F25" s="1031" t="str">
        <f>"(Line "&amp;A61&amp;"-44)"</f>
        <v>(Line 37-44)</v>
      </c>
      <c r="G25" s="104"/>
      <c r="H25" s="505">
        <f>+H61-H78</f>
        <v>1153929265.2069035</v>
      </c>
      <c r="I25" s="426"/>
      <c r="J25" s="505">
        <f>+J61-J78</f>
        <v>1084172649.822288</v>
      </c>
      <c r="K25" s="505">
        <f>+K61-K78</f>
        <v>24292615.384615377</v>
      </c>
      <c r="L25" s="964">
        <f>+L61-L78</f>
        <v>45463999.999999993</v>
      </c>
      <c r="M25" s="36"/>
    </row>
    <row r="26" spans="1:13" ht="16.5" customHeight="1" thickBot="1">
      <c r="A26" s="955">
        <f>+A25+1</f>
        <v>14</v>
      </c>
      <c r="B26" s="10" t="s">
        <v>837</v>
      </c>
      <c r="C26" s="10"/>
      <c r="D26" s="38"/>
      <c r="E26" s="63"/>
      <c r="F26" s="1032" t="str">
        <f>"(Line "&amp;A25&amp;" / "&amp;A20&amp;")"</f>
        <v>(Line 13 / 10)</v>
      </c>
      <c r="G26" s="1021"/>
      <c r="H26" s="504">
        <f>+H25/H20</f>
        <v>0.18826123213657034</v>
      </c>
      <c r="I26" s="1065"/>
      <c r="J26" s="504">
        <f>+J25/J20</f>
        <v>0.17688058103606302</v>
      </c>
      <c r="K26" s="504">
        <f>+K25/K20</f>
        <v>3.9632912016556547E-3</v>
      </c>
      <c r="L26" s="958">
        <f>+L25/L20</f>
        <v>7.4173598988516469E-3</v>
      </c>
      <c r="M26" s="36"/>
    </row>
    <row r="27" spans="1:13" ht="16.5" customHeight="1" thickTop="1">
      <c r="A27" s="965"/>
      <c r="B27" s="23"/>
      <c r="C27" s="11"/>
      <c r="D27" s="25"/>
      <c r="E27" s="959"/>
      <c r="F27" s="1026"/>
      <c r="G27" s="97"/>
      <c r="H27" s="522"/>
      <c r="I27" s="426"/>
      <c r="J27" s="1064"/>
      <c r="K27" s="503"/>
      <c r="L27" s="954"/>
      <c r="M27" s="426"/>
    </row>
    <row r="28" spans="1:13" s="15" customFormat="1" ht="15.75" customHeight="1">
      <c r="A28" s="966" t="s">
        <v>835</v>
      </c>
      <c r="B28" s="29"/>
      <c r="C28" s="40"/>
      <c r="D28" s="40"/>
      <c r="E28" s="378"/>
      <c r="F28" s="1033"/>
      <c r="G28" s="41"/>
      <c r="H28" s="908"/>
      <c r="I28" s="967"/>
      <c r="J28" s="506"/>
      <c r="K28" s="506"/>
      <c r="L28" s="968"/>
      <c r="M28" s="426"/>
    </row>
    <row r="29" spans="1:13" s="15" customFormat="1" ht="15.75" customHeight="1">
      <c r="A29" s="969"/>
      <c r="B29" s="43"/>
      <c r="C29" s="25"/>
      <c r="D29" s="25"/>
      <c r="E29" s="377"/>
      <c r="F29" s="1024"/>
      <c r="G29" s="36"/>
      <c r="H29" s="909"/>
      <c r="I29" s="426"/>
      <c r="J29" s="502"/>
      <c r="K29" s="502"/>
      <c r="L29" s="963"/>
      <c r="M29" s="426"/>
    </row>
    <row r="30" spans="1:13" ht="15.75" customHeight="1">
      <c r="A30" s="972"/>
      <c r="B30" s="11" t="str">
        <f>"Plant In Service  (Note "&amp;B311&amp;")"</f>
        <v>Plant In Service  (Note O)</v>
      </c>
      <c r="C30" s="25"/>
      <c r="D30" s="25"/>
      <c r="E30" s="959"/>
      <c r="F30" s="1029"/>
      <c r="G30" s="104"/>
      <c r="H30" s="509"/>
      <c r="I30" s="426"/>
      <c r="J30" s="502"/>
      <c r="K30" s="502"/>
      <c r="L30" s="963"/>
      <c r="M30" s="426"/>
    </row>
    <row r="31" spans="1:13" ht="15.75" customHeight="1">
      <c r="A31" s="639">
        <f>+A26+1</f>
        <v>15</v>
      </c>
      <c r="B31" s="69"/>
      <c r="C31" s="393" t="s">
        <v>830</v>
      </c>
      <c r="D31" s="25"/>
      <c r="E31" s="71" t="str">
        <f>"(Note "&amp;B$298&amp;")"</f>
        <v>(Note B)</v>
      </c>
      <c r="F31" s="1029" t="s">
        <v>668</v>
      </c>
      <c r="G31" s="104"/>
      <c r="H31" s="509">
        <f>'5 - Cost Support'!F9</f>
        <v>1682711076.9230769</v>
      </c>
      <c r="I31" s="426"/>
      <c r="J31" s="502">
        <f>'5 - Cost Support'!G9</f>
        <v>1487776384.6153846</v>
      </c>
      <c r="K31" s="502">
        <f>'5 - Cost Support'!H9</f>
        <v>100122769.23076923</v>
      </c>
      <c r="L31" s="963">
        <f>'5 - Cost Support'!I9</f>
        <v>94811923.076923072</v>
      </c>
      <c r="M31" s="426"/>
    </row>
    <row r="32" spans="1:13" ht="15.75" customHeight="1">
      <c r="A32" s="639">
        <f>+A31+1</f>
        <v>16</v>
      </c>
      <c r="B32" s="69"/>
      <c r="C32" s="402" t="s">
        <v>646</v>
      </c>
      <c r="D32" s="441"/>
      <c r="E32" s="637"/>
      <c r="F32" s="1035" t="s">
        <v>666</v>
      </c>
      <c r="G32" s="147"/>
      <c r="H32" s="910"/>
      <c r="I32" s="940"/>
      <c r="J32" s="530"/>
      <c r="K32" s="530">
        <v>0</v>
      </c>
      <c r="L32" s="970">
        <v>0</v>
      </c>
      <c r="M32" s="944"/>
    </row>
    <row r="33" spans="1:13" ht="15.75" customHeight="1">
      <c r="A33" s="639">
        <f>+A32+1</f>
        <v>17</v>
      </c>
      <c r="B33" s="69"/>
      <c r="C33" s="11" t="s">
        <v>645</v>
      </c>
      <c r="D33" s="25"/>
      <c r="E33" s="71"/>
      <c r="F33" s="1029" t="str">
        <f>"(Line "&amp;A31&amp;" + "&amp;A32&amp;")"</f>
        <v>(Line 15 + 16)</v>
      </c>
      <c r="G33" s="104"/>
      <c r="H33" s="911">
        <f>+H31+H32</f>
        <v>1682711076.9230769</v>
      </c>
      <c r="I33" s="426"/>
      <c r="J33" s="911">
        <f>+J31+J32</f>
        <v>1487776384.6153846</v>
      </c>
      <c r="K33" s="911">
        <f>+K31+K32</f>
        <v>100122769.23076923</v>
      </c>
      <c r="L33" s="961">
        <f>+L31+L32</f>
        <v>94811923.076923072</v>
      </c>
      <c r="M33" s="426"/>
    </row>
    <row r="34" spans="1:13" ht="15.75" customHeight="1">
      <c r="A34" s="639"/>
      <c r="B34" s="69"/>
      <c r="C34" s="11"/>
      <c r="D34" s="25"/>
      <c r="E34" s="71"/>
      <c r="F34" s="1029"/>
      <c r="G34" s="104"/>
      <c r="H34" s="911"/>
      <c r="I34" s="426"/>
      <c r="J34" s="502"/>
      <c r="K34" s="502"/>
      <c r="L34" s="963"/>
      <c r="M34" s="426"/>
    </row>
    <row r="35" spans="1:13" ht="15.75" customHeight="1">
      <c r="A35" s="639">
        <f>+A33+1</f>
        <v>18</v>
      </c>
      <c r="B35" s="69"/>
      <c r="C35" s="393" t="s">
        <v>255</v>
      </c>
      <c r="D35" s="25"/>
      <c r="E35" s="71"/>
      <c r="F35" s="1029" t="s">
        <v>668</v>
      </c>
      <c r="G35" s="104"/>
      <c r="H35" s="509">
        <f>J35</f>
        <v>679287910.86240005</v>
      </c>
      <c r="I35" s="426"/>
      <c r="J35" s="502">
        <f>'5 - Cost Support'!H31</f>
        <v>679287910.86240005</v>
      </c>
      <c r="K35" s="502">
        <f>J35</f>
        <v>679287910.86240005</v>
      </c>
      <c r="L35" s="963">
        <f>K35</f>
        <v>679287910.86240005</v>
      </c>
      <c r="M35" s="426"/>
    </row>
    <row r="36" spans="1:13" ht="15.75" customHeight="1">
      <c r="A36" s="639">
        <f>A35+1</f>
        <v>19</v>
      </c>
      <c r="B36" s="69"/>
      <c r="C36" s="402" t="s">
        <v>208</v>
      </c>
      <c r="D36" s="441"/>
      <c r="E36" s="73"/>
      <c r="F36" s="1031"/>
      <c r="G36" s="147"/>
      <c r="H36" s="1727">
        <v>0.12209229286559851</v>
      </c>
      <c r="I36" s="940"/>
      <c r="J36" s="1727">
        <v>0.12209229286559851</v>
      </c>
      <c r="K36" s="1181"/>
      <c r="L36" s="1182"/>
      <c r="M36" s="426"/>
    </row>
    <row r="37" spans="1:13" ht="15.75" customHeight="1">
      <c r="A37" s="639">
        <f>A36+1</f>
        <v>20</v>
      </c>
      <c r="B37" s="69"/>
      <c r="C37" s="393" t="s">
        <v>209</v>
      </c>
      <c r="D37" s="25"/>
      <c r="E37" s="71"/>
      <c r="F37" s="1029"/>
      <c r="G37" s="104"/>
      <c r="H37" s="509">
        <f>H35*H36</f>
        <v>82935818.553072721</v>
      </c>
      <c r="I37" s="426"/>
      <c r="J37" s="509">
        <f>J35*J36</f>
        <v>82935818.553072721</v>
      </c>
      <c r="K37" s="509">
        <f>K35*K36</f>
        <v>0</v>
      </c>
      <c r="L37" s="975">
        <f>L35*L36</f>
        <v>0</v>
      </c>
      <c r="M37" s="426"/>
    </row>
    <row r="38" spans="1:13" ht="15.75" customHeight="1">
      <c r="A38" s="639">
        <f>A37+1</f>
        <v>21</v>
      </c>
      <c r="B38" s="69"/>
      <c r="C38" s="393" t="s">
        <v>829</v>
      </c>
      <c r="D38" s="25"/>
      <c r="E38" s="74"/>
      <c r="F38" s="1031" t="s">
        <v>668</v>
      </c>
      <c r="G38" s="147"/>
      <c r="H38" s="910">
        <f>+'5 - Cost Support'!F20+'5 - Cost Support'!F16</f>
        <v>493885764</v>
      </c>
      <c r="I38" s="940"/>
      <c r="J38" s="530">
        <f>$H$38</f>
        <v>493885764</v>
      </c>
      <c r="K38" s="530">
        <f>$H$38</f>
        <v>493885764</v>
      </c>
      <c r="L38" s="970">
        <f>$H$38</f>
        <v>493885764</v>
      </c>
      <c r="M38" s="426"/>
    </row>
    <row r="39" spans="1:13" ht="15.75" customHeight="1">
      <c r="A39" s="639">
        <f>+A38+1</f>
        <v>22</v>
      </c>
      <c r="B39" s="69"/>
      <c r="C39" s="434" t="s">
        <v>357</v>
      </c>
      <c r="D39" s="17"/>
      <c r="E39" s="66"/>
      <c r="F39" s="1029" t="str">
        <f>"(Line"&amp;A38&amp;")"</f>
        <v>(Line21)</v>
      </c>
      <c r="G39" s="104"/>
      <c r="H39" s="509">
        <f>+H38</f>
        <v>493885764</v>
      </c>
      <c r="I39" s="426"/>
      <c r="J39" s="509">
        <f>+J38</f>
        <v>493885764</v>
      </c>
      <c r="K39" s="509">
        <f>+K38</f>
        <v>493885764</v>
      </c>
      <c r="L39" s="975">
        <f>+L38</f>
        <v>493885764</v>
      </c>
      <c r="M39" s="426"/>
    </row>
    <row r="40" spans="1:13" ht="15.75" customHeight="1">
      <c r="A40" s="639">
        <f>+A39+1</f>
        <v>23</v>
      </c>
      <c r="B40" s="69"/>
      <c r="C40" s="390" t="s">
        <v>843</v>
      </c>
      <c r="D40" s="393"/>
      <c r="E40" s="959"/>
      <c r="F40" s="1031" t="str">
        <f>"(Line "&amp;A$13&amp;")"</f>
        <v>(Line 5)</v>
      </c>
      <c r="G40" s="147"/>
      <c r="H40" s="1066">
        <f>+H13</f>
        <v>0.14184700966165151</v>
      </c>
      <c r="I40" s="940"/>
      <c r="J40" s="712">
        <f>+$J$13</f>
        <v>0.14184700966165151</v>
      </c>
      <c r="K40" s="712">
        <f>K13</f>
        <v>0</v>
      </c>
      <c r="L40" s="712">
        <f>L13</f>
        <v>0</v>
      </c>
      <c r="M40" s="426"/>
    </row>
    <row r="41" spans="1:13" ht="15.75" customHeight="1">
      <c r="A41" s="639">
        <f>+A40+1</f>
        <v>24</v>
      </c>
      <c r="B41" s="36"/>
      <c r="C41" s="8" t="s">
        <v>361</v>
      </c>
      <c r="D41" s="19"/>
      <c r="E41" s="388"/>
      <c r="F41" s="1029" t="str">
        <f>"(Line  + ("&amp;A39&amp;" * "&amp;A40&amp;"))"</f>
        <v>(Line  + (22 * 23))</v>
      </c>
      <c r="G41" s="104"/>
      <c r="H41" s="911">
        <f>+H39*H40</f>
        <v>70056218.737860143</v>
      </c>
      <c r="I41" s="426"/>
      <c r="J41" s="911">
        <f>+J39*J40</f>
        <v>70056218.737860143</v>
      </c>
      <c r="K41" s="911">
        <f>+K39*K40</f>
        <v>0</v>
      </c>
      <c r="L41" s="971">
        <f>+L39*L40</f>
        <v>0</v>
      </c>
      <c r="M41" s="426"/>
    </row>
    <row r="42" spans="1:13" ht="15.75" customHeight="1">
      <c r="A42" s="972"/>
      <c r="B42" s="36"/>
      <c r="C42" s="11"/>
      <c r="D42" s="36"/>
      <c r="E42" s="74"/>
      <c r="F42" s="1024"/>
      <c r="G42" s="104"/>
      <c r="H42" s="509"/>
      <c r="I42" s="426"/>
      <c r="J42" s="502"/>
      <c r="K42" s="502"/>
      <c r="L42" s="963"/>
      <c r="M42" s="426"/>
    </row>
    <row r="43" spans="1:13" s="1" customFormat="1" ht="16.5" customHeight="1" thickBot="1">
      <c r="A43" s="639">
        <f>+A41+1</f>
        <v>25</v>
      </c>
      <c r="B43" s="1183" t="s">
        <v>806</v>
      </c>
      <c r="C43" s="1183"/>
      <c r="D43" s="1183"/>
      <c r="E43" s="1184"/>
      <c r="F43" s="1037" t="str">
        <f>"(Line "&amp;A33&amp;" + "&amp;A37&amp;" + "&amp;A41&amp;")"</f>
        <v>(Line 17 + 20 + 24)</v>
      </c>
      <c r="G43" s="1183"/>
      <c r="H43" s="508">
        <f>+H41+H33+H37</f>
        <v>1835703114.2140098</v>
      </c>
      <c r="I43" s="1067"/>
      <c r="J43" s="508">
        <f>+J41+J33+J37</f>
        <v>1640768421.9063175</v>
      </c>
      <c r="K43" s="508">
        <f>+K41+K33+K37</f>
        <v>100122769.23076923</v>
      </c>
      <c r="L43" s="974">
        <f>+L41+L33+L37</f>
        <v>94811923.076923072</v>
      </c>
      <c r="M43" s="973"/>
    </row>
    <row r="44" spans="1:13" ht="16.5" customHeight="1" thickTop="1">
      <c r="A44" s="972"/>
      <c r="B44" s="36"/>
      <c r="C44" s="36"/>
      <c r="D44" s="36"/>
      <c r="E44" s="74"/>
      <c r="F44" s="1024"/>
      <c r="G44" s="104"/>
      <c r="H44" s="907"/>
      <c r="I44" s="426"/>
      <c r="J44" s="502"/>
      <c r="K44" s="502"/>
      <c r="L44" s="963"/>
      <c r="M44" s="426"/>
    </row>
    <row r="45" spans="1:13" ht="15.75" customHeight="1">
      <c r="A45" s="639"/>
      <c r="B45" s="11" t="s">
        <v>794</v>
      </c>
      <c r="C45" s="11"/>
      <c r="D45" s="328"/>
      <c r="E45" s="959"/>
      <c r="F45" s="1029"/>
      <c r="G45" s="104"/>
      <c r="H45" s="509"/>
      <c r="I45" s="426"/>
      <c r="J45" s="502"/>
      <c r="K45" s="502"/>
      <c r="L45" s="963"/>
      <c r="M45" s="426"/>
    </row>
    <row r="46" spans="1:13" ht="15.75" customHeight="1">
      <c r="A46" s="972"/>
      <c r="B46" s="25"/>
      <c r="C46" s="25"/>
      <c r="D46" s="25"/>
      <c r="E46" s="74"/>
      <c r="F46" s="1029"/>
      <c r="G46" s="104"/>
      <c r="H46" s="509"/>
      <c r="I46" s="426"/>
      <c r="J46" s="502"/>
      <c r="K46" s="502"/>
      <c r="L46" s="963"/>
      <c r="M46" s="426"/>
    </row>
    <row r="47" spans="1:13" ht="15.75" customHeight="1">
      <c r="A47" s="639">
        <f>+A43+1</f>
        <v>26</v>
      </c>
      <c r="B47" s="69"/>
      <c r="C47" s="402" t="s">
        <v>858</v>
      </c>
      <c r="D47" s="441"/>
      <c r="E47" s="73" t="str">
        <f>"(Note "&amp;B$298&amp;")"</f>
        <v>(Note B)</v>
      </c>
      <c r="F47" s="1031" t="s">
        <v>668</v>
      </c>
      <c r="G47" s="147"/>
      <c r="H47" s="530">
        <f>'5 - Cost Support'!F38</f>
        <v>615494075.26748252</v>
      </c>
      <c r="I47" s="940"/>
      <c r="J47" s="530">
        <f>'5 - Cost Support'!G38</f>
        <v>490315998.34440559</v>
      </c>
      <c r="K47" s="530">
        <f>'5 - Cost Support'!H38</f>
        <v>75830153.846153855</v>
      </c>
      <c r="L47" s="970">
        <f>'5 - Cost Support'!I38</f>
        <v>49347923.07692308</v>
      </c>
      <c r="M47" s="426"/>
    </row>
    <row r="48" spans="1:13" s="15" customFormat="1" ht="15.75" customHeight="1">
      <c r="A48" s="639">
        <f>A47+1</f>
        <v>27</v>
      </c>
      <c r="B48" s="69"/>
      <c r="C48" s="11" t="s">
        <v>281</v>
      </c>
      <c r="D48" s="71"/>
      <c r="E48" s="36"/>
      <c r="F48" s="1034" t="str">
        <f>"(Line "&amp;A47&amp;")"</f>
        <v>(Line 26)</v>
      </c>
      <c r="G48" s="36"/>
      <c r="H48" s="509">
        <f>+H47</f>
        <v>615494075.26748252</v>
      </c>
      <c r="I48" s="426"/>
      <c r="J48" s="509">
        <f>+J47</f>
        <v>490315998.34440559</v>
      </c>
      <c r="K48" s="509">
        <f>+K47</f>
        <v>75830153.846153855</v>
      </c>
      <c r="L48" s="975">
        <f>+L47</f>
        <v>49347923.07692308</v>
      </c>
      <c r="M48" s="426"/>
    </row>
    <row r="49" spans="1:13" s="15" customFormat="1" ht="15.75" customHeight="1">
      <c r="A49" s="639"/>
      <c r="B49" s="69"/>
      <c r="C49" s="393"/>
      <c r="D49" s="71"/>
      <c r="E49" s="36"/>
      <c r="F49" s="1029"/>
      <c r="G49" s="36"/>
      <c r="H49" s="509"/>
      <c r="I49" s="426"/>
      <c r="J49" s="509"/>
      <c r="K49" s="509"/>
      <c r="L49" s="975"/>
      <c r="M49" s="426"/>
    </row>
    <row r="50" spans="1:13" s="15" customFormat="1" ht="15.75" customHeight="1">
      <c r="A50" s="639">
        <f>A48+1</f>
        <v>28</v>
      </c>
      <c r="B50" s="69"/>
      <c r="C50" s="393" t="s">
        <v>256</v>
      </c>
      <c r="D50" s="71"/>
      <c r="E50" s="34"/>
      <c r="F50" s="1029" t="s">
        <v>668</v>
      </c>
      <c r="G50" s="36"/>
      <c r="H50" s="502">
        <f>'5 - Cost Support'!$H$62</f>
        <v>311822526.44280005</v>
      </c>
      <c r="I50" s="426"/>
      <c r="J50" s="502">
        <f>'5 - Cost Support'!$H$62</f>
        <v>311822526.44280005</v>
      </c>
      <c r="K50" s="502"/>
      <c r="L50" s="963"/>
      <c r="M50" s="426"/>
    </row>
    <row r="51" spans="1:13" s="15" customFormat="1" ht="15.75" customHeight="1">
      <c r="A51" s="639">
        <f>A50+1</f>
        <v>29</v>
      </c>
      <c r="B51" s="69"/>
      <c r="C51" s="402" t="s">
        <v>208</v>
      </c>
      <c r="D51" s="73"/>
      <c r="E51" s="32"/>
      <c r="F51" s="1031"/>
      <c r="G51" s="440"/>
      <c r="H51" s="1958">
        <v>0.10540272554384801</v>
      </c>
      <c r="I51" s="940"/>
      <c r="J51" s="1958">
        <v>0.10540272554384801</v>
      </c>
      <c r="K51" s="530"/>
      <c r="L51" s="970"/>
      <c r="M51" s="426"/>
    </row>
    <row r="52" spans="1:13" s="15" customFormat="1" ht="15.75" customHeight="1">
      <c r="A52" s="639">
        <f>A51+1</f>
        <v>30</v>
      </c>
      <c r="B52" s="69"/>
      <c r="C52" s="393" t="s">
        <v>209</v>
      </c>
      <c r="D52" s="71"/>
      <c r="E52" s="34"/>
      <c r="F52" s="1029"/>
      <c r="G52" s="36"/>
      <c r="H52" s="502">
        <f>H50*H51</f>
        <v>32866944.173039742</v>
      </c>
      <c r="I52" s="426"/>
      <c r="J52" s="502">
        <f>J50*J51</f>
        <v>32866944.173039742</v>
      </c>
      <c r="K52" s="502"/>
      <c r="L52" s="963"/>
      <c r="M52" s="426"/>
    </row>
    <row r="53" spans="1:13" ht="15.75" customHeight="1">
      <c r="A53" s="639">
        <f>+A52+1</f>
        <v>31</v>
      </c>
      <c r="B53" s="69"/>
      <c r="C53" s="393" t="s">
        <v>915</v>
      </c>
      <c r="D53" s="25"/>
      <c r="E53" s="74"/>
      <c r="F53" s="1029" t="s">
        <v>668</v>
      </c>
      <c r="G53" s="104"/>
      <c r="H53" s="509">
        <f>+'5 - Cost Support'!F51</f>
        <v>107655566</v>
      </c>
      <c r="I53" s="426"/>
      <c r="J53" s="502">
        <f>$H$53</f>
        <v>107655566</v>
      </c>
      <c r="K53" s="502">
        <f>$H$53</f>
        <v>107655566</v>
      </c>
      <c r="L53" s="963">
        <f>$H$53</f>
        <v>107655566</v>
      </c>
      <c r="M53" s="426"/>
    </row>
    <row r="54" spans="1:13" ht="15.75" customHeight="1">
      <c r="A54" s="639">
        <f>+A53+1</f>
        <v>32</v>
      </c>
      <c r="B54" s="69"/>
      <c r="C54" s="402" t="s">
        <v>278</v>
      </c>
      <c r="D54" s="441"/>
      <c r="E54" s="637"/>
      <c r="F54" s="1031" t="s">
        <v>668</v>
      </c>
      <c r="G54" s="147"/>
      <c r="H54" s="910">
        <f>+'5 - Cost Support'!F47</f>
        <v>93010762</v>
      </c>
      <c r="I54" s="940"/>
      <c r="J54" s="530">
        <f>$H$54</f>
        <v>93010762</v>
      </c>
      <c r="K54" s="530">
        <f>$H$54</f>
        <v>93010762</v>
      </c>
      <c r="L54" s="970">
        <f>$H$54</f>
        <v>93010762</v>
      </c>
      <c r="M54" s="426"/>
    </row>
    <row r="55" spans="1:13" ht="15.75" customHeight="1">
      <c r="A55" s="639">
        <f>+A54+1</f>
        <v>33</v>
      </c>
      <c r="B55" s="23"/>
      <c r="C55" s="381" t="s">
        <v>803</v>
      </c>
      <c r="D55" s="21"/>
      <c r="E55" s="382"/>
      <c r="F55" s="1023" t="str">
        <f>"(Sum Lines "&amp;A53&amp;" to "&amp;A54&amp;")"</f>
        <v>(Sum Lines 31 to 32)</v>
      </c>
      <c r="G55" s="97"/>
      <c r="H55" s="509">
        <f>SUM(H53:H54)</f>
        <v>200666328</v>
      </c>
      <c r="I55" s="426"/>
      <c r="J55" s="509">
        <f>SUM(J53:J54)</f>
        <v>200666328</v>
      </c>
      <c r="K55" s="509">
        <f>SUM(K53:K54)</f>
        <v>200666328</v>
      </c>
      <c r="L55" s="975">
        <f>SUM(L53:L54)</f>
        <v>200666328</v>
      </c>
      <c r="M55" s="426"/>
    </row>
    <row r="56" spans="1:13" ht="15.75" customHeight="1">
      <c r="A56" s="639">
        <f>+A55+1</f>
        <v>34</v>
      </c>
      <c r="B56" s="23"/>
      <c r="C56" s="381" t="str">
        <f>+C40</f>
        <v>Wage &amp; Salary Allocation Factor</v>
      </c>
      <c r="D56" s="21"/>
      <c r="E56" s="382"/>
      <c r="F56" s="1036" t="str">
        <f>"(Line "&amp;A$13&amp;")"</f>
        <v>(Line 5)</v>
      </c>
      <c r="G56" s="145"/>
      <c r="H56" s="712">
        <f>+H13</f>
        <v>0.14184700966165151</v>
      </c>
      <c r="I56" s="940"/>
      <c r="J56" s="712">
        <f>+$J$13</f>
        <v>0.14184700966165151</v>
      </c>
      <c r="K56" s="712">
        <v>0</v>
      </c>
      <c r="L56" s="977">
        <v>0</v>
      </c>
      <c r="M56" s="426"/>
    </row>
    <row r="57" spans="1:13" ht="15.75" customHeight="1">
      <c r="A57" s="639">
        <f>+A56+1</f>
        <v>35</v>
      </c>
      <c r="B57" s="26"/>
      <c r="C57" s="28" t="s">
        <v>358</v>
      </c>
      <c r="D57" s="18"/>
      <c r="E57" s="62"/>
      <c r="F57" s="1023" t="str">
        <f>"(Line "&amp;A55&amp;" * "&amp;A56&amp;")"</f>
        <v>(Line 33 * 34)</v>
      </c>
      <c r="G57" s="97"/>
      <c r="H57" s="911">
        <f>+H56*H55</f>
        <v>28463918.566584129</v>
      </c>
      <c r="I57" s="426"/>
      <c r="J57" s="911">
        <f>+J56*J55</f>
        <v>28463918.566584129</v>
      </c>
      <c r="K57" s="507">
        <f>+K56*K55</f>
        <v>0</v>
      </c>
      <c r="L57" s="971">
        <f>+L56*L55</f>
        <v>0</v>
      </c>
      <c r="M57" s="426"/>
    </row>
    <row r="58" spans="1:13" ht="15.75" customHeight="1">
      <c r="A58" s="972"/>
      <c r="B58" s="26"/>
      <c r="C58" s="26"/>
      <c r="D58" s="26"/>
      <c r="E58" s="61"/>
      <c r="F58" s="1027"/>
      <c r="G58" s="97"/>
      <c r="H58" s="912"/>
      <c r="I58" s="426"/>
      <c r="J58" s="502"/>
      <c r="K58" s="502"/>
      <c r="L58" s="963"/>
      <c r="M58" s="426"/>
    </row>
    <row r="59" spans="1:13" ht="16.5" customHeight="1" thickBot="1">
      <c r="A59" s="639">
        <f>+A57+1</f>
        <v>36</v>
      </c>
      <c r="B59" s="10" t="s">
        <v>831</v>
      </c>
      <c r="C59" s="10"/>
      <c r="D59" s="10"/>
      <c r="E59" s="64"/>
      <c r="F59" s="1038" t="str">
        <f>"(Line "&amp;A48&amp;" + "&amp;A57&amp;")"</f>
        <v>(Line 27 + 35)</v>
      </c>
      <c r="G59" s="1068"/>
      <c r="H59" s="508">
        <f>+H57+H48+H52</f>
        <v>676824938.00710642</v>
      </c>
      <c r="I59" s="1065"/>
      <c r="J59" s="508">
        <f>+J57+J48+J52</f>
        <v>551646861.08402944</v>
      </c>
      <c r="K59" s="508">
        <f>+K57+K48+K52</f>
        <v>75830153.846153855</v>
      </c>
      <c r="L59" s="974">
        <f>+L57+L48+L52</f>
        <v>49347923.07692308</v>
      </c>
      <c r="M59" s="426"/>
    </row>
    <row r="60" spans="1:13" ht="16.5" customHeight="1" thickTop="1">
      <c r="A60" s="972"/>
      <c r="B60" s="26"/>
      <c r="C60" s="26"/>
      <c r="D60" s="26"/>
      <c r="E60" s="61"/>
      <c r="F60" s="1027"/>
      <c r="G60" s="97"/>
      <c r="H60" s="505"/>
      <c r="I60" s="426"/>
      <c r="J60" s="505"/>
      <c r="K60" s="907"/>
      <c r="L60" s="978"/>
      <c r="M60" s="426"/>
    </row>
    <row r="61" spans="1:13" ht="16.5" customHeight="1" thickBot="1">
      <c r="A61" s="639">
        <f>+A59+1</f>
        <v>37</v>
      </c>
      <c r="B61" s="10" t="s">
        <v>833</v>
      </c>
      <c r="C61" s="10"/>
      <c r="D61" s="10"/>
      <c r="E61" s="64"/>
      <c r="F61" s="1038" t="str">
        <f>"(Line "&amp;A43&amp;" - "&amp;A59&amp;")"</f>
        <v>(Line 25 - 36)</v>
      </c>
      <c r="G61" s="1068"/>
      <c r="H61" s="508">
        <f>+H43-H59</f>
        <v>1158878176.2069035</v>
      </c>
      <c r="I61" s="1065"/>
      <c r="J61" s="508">
        <f>+J43-J59</f>
        <v>1089121560.822288</v>
      </c>
      <c r="K61" s="508">
        <f>+K43-K59</f>
        <v>24292615.384615377</v>
      </c>
      <c r="L61" s="974">
        <f>+L43-L59</f>
        <v>45463999.999999993</v>
      </c>
      <c r="M61" s="426"/>
    </row>
    <row r="62" spans="1:13" ht="16.5" customHeight="1" thickTop="1">
      <c r="A62" s="960"/>
      <c r="B62" s="26"/>
      <c r="C62" s="26"/>
      <c r="D62" s="26"/>
      <c r="E62" s="61"/>
      <c r="F62" s="1027"/>
      <c r="G62" s="97"/>
      <c r="H62" s="516"/>
      <c r="I62" s="426"/>
      <c r="J62" s="503"/>
      <c r="K62" s="503"/>
      <c r="L62" s="954"/>
      <c r="M62" s="426"/>
    </row>
    <row r="63" spans="1:13" ht="16.5" customHeight="1">
      <c r="A63" s="966" t="s">
        <v>807</v>
      </c>
      <c r="B63" s="40"/>
      <c r="C63" s="40"/>
      <c r="D63" s="40"/>
      <c r="E63" s="378"/>
      <c r="F63" s="1033"/>
      <c r="G63" s="979"/>
      <c r="H63" s="913"/>
      <c r="I63" s="967"/>
      <c r="J63" s="506"/>
      <c r="K63" s="506"/>
      <c r="L63" s="968"/>
      <c r="M63" s="426"/>
    </row>
    <row r="64" spans="1:13" ht="15.75" customHeight="1" thickBot="1">
      <c r="A64" s="980"/>
      <c r="B64" s="981"/>
      <c r="C64" s="981"/>
      <c r="D64" s="981"/>
      <c r="E64" s="61"/>
      <c r="F64" s="1027"/>
      <c r="G64" s="97"/>
      <c r="H64" s="829"/>
      <c r="I64" s="426"/>
      <c r="J64" s="503"/>
      <c r="K64" s="503"/>
      <c r="L64" s="954"/>
      <c r="M64" s="426"/>
    </row>
    <row r="65" spans="1:13" ht="15.75" customHeight="1">
      <c r="A65" s="1172"/>
      <c r="B65" s="1173" t="s">
        <v>949</v>
      </c>
      <c r="C65" s="1174"/>
      <c r="D65" s="948"/>
      <c r="E65" s="1175"/>
      <c r="F65" s="1176"/>
      <c r="G65" s="1177"/>
      <c r="H65" s="1178"/>
      <c r="I65" s="950"/>
      <c r="J65" s="1179"/>
      <c r="K65" s="1179"/>
      <c r="L65" s="1180"/>
      <c r="M65" s="426"/>
    </row>
    <row r="66" spans="1:13" ht="15.75" customHeight="1">
      <c r="A66" s="972">
        <f>+A61+1</f>
        <v>38</v>
      </c>
      <c r="B66" s="102"/>
      <c r="C66" s="21" t="s">
        <v>137</v>
      </c>
      <c r="D66" s="36"/>
      <c r="E66" s="438"/>
      <c r="F66" s="1035" t="s">
        <v>667</v>
      </c>
      <c r="G66" s="790"/>
      <c r="H66" s="910">
        <f>'1 - ADIT'!I16</f>
        <v>-210105634.82169294</v>
      </c>
      <c r="I66" s="940"/>
      <c r="J66" s="910">
        <f>H66</f>
        <v>-210105634.82169294</v>
      </c>
      <c r="K66" s="510"/>
      <c r="L66" s="976"/>
      <c r="M66" s="426"/>
    </row>
    <row r="67" spans="1:13" s="15" customFormat="1" ht="15.75" customHeight="1">
      <c r="A67" s="639">
        <f>+A66+1</f>
        <v>39</v>
      </c>
      <c r="B67" s="36"/>
      <c r="C67" s="383" t="s">
        <v>820</v>
      </c>
      <c r="D67" s="19"/>
      <c r="E67" s="713"/>
      <c r="F67" s="1029" t="str">
        <f>"(Line "&amp;A66&amp;")"</f>
        <v>(Line 38)</v>
      </c>
      <c r="G67" s="36"/>
      <c r="H67" s="915">
        <f>+H66</f>
        <v>-210105634.82169294</v>
      </c>
      <c r="I67" s="426"/>
      <c r="J67" s="915">
        <f>+J66</f>
        <v>-210105634.82169294</v>
      </c>
      <c r="K67" s="502">
        <v>0</v>
      </c>
      <c r="L67" s="963">
        <v>0</v>
      </c>
      <c r="M67" s="426"/>
    </row>
    <row r="68" spans="1:13" ht="16.5" customHeight="1">
      <c r="A68" s="972"/>
      <c r="B68" s="36"/>
      <c r="C68" s="102"/>
      <c r="D68" s="36"/>
      <c r="E68" s="74"/>
      <c r="F68" s="1024"/>
      <c r="G68" s="97"/>
      <c r="H68" s="914"/>
      <c r="I68" s="426"/>
      <c r="J68" s="503"/>
      <c r="K68" s="503"/>
      <c r="L68" s="954"/>
      <c r="M68" s="426"/>
    </row>
    <row r="69" spans="1:13" ht="16.5" customHeight="1">
      <c r="A69" s="972">
        <f>+A67+1</f>
        <v>40</v>
      </c>
      <c r="B69" s="77" t="s">
        <v>769</v>
      </c>
      <c r="C69" s="102"/>
      <c r="D69" s="74" t="s">
        <v>718</v>
      </c>
      <c r="E69" s="25" t="str">
        <f>"(Notes "&amp;$B$297&amp;" &amp; "&amp;B305&amp;")"</f>
        <v>(Notes A &amp; I)</v>
      </c>
      <c r="F69" s="1024" t="s">
        <v>667</v>
      </c>
      <c r="G69" s="104"/>
      <c r="H69" s="1427">
        <f>+'1 - ADIT'!I129</f>
        <v>0</v>
      </c>
      <c r="I69" s="426"/>
      <c r="J69" s="502">
        <v>0</v>
      </c>
      <c r="K69" s="502">
        <v>0</v>
      </c>
      <c r="L69" s="963">
        <v>0</v>
      </c>
      <c r="M69" s="426"/>
    </row>
    <row r="70" spans="1:13" ht="16.5" customHeight="1">
      <c r="A70" s="972"/>
      <c r="B70" s="36"/>
      <c r="C70" s="102"/>
      <c r="D70" s="36"/>
      <c r="E70" s="74"/>
      <c r="F70" s="1024"/>
      <c r="G70" s="97"/>
      <c r="H70" s="914"/>
      <c r="I70" s="426"/>
      <c r="J70" s="503"/>
      <c r="K70" s="503"/>
      <c r="L70" s="954"/>
      <c r="M70" s="426"/>
    </row>
    <row r="71" spans="1:13" s="15" customFormat="1" ht="15.75" customHeight="1">
      <c r="A71" s="639"/>
      <c r="B71" s="77" t="s">
        <v>717</v>
      </c>
      <c r="C71" s="102"/>
      <c r="D71" s="36"/>
      <c r="E71" s="74"/>
      <c r="F71" s="1029"/>
      <c r="G71" s="36"/>
      <c r="H71" s="915"/>
      <c r="I71" s="426"/>
      <c r="J71" s="502"/>
      <c r="K71" s="502"/>
      <c r="L71" s="963"/>
      <c r="M71" s="426"/>
    </row>
    <row r="72" spans="1:13" ht="15.75" customHeight="1">
      <c r="A72" s="972">
        <f>+A69+1</f>
        <v>41</v>
      </c>
      <c r="B72" s="36"/>
      <c r="C72" s="102" t="s">
        <v>862</v>
      </c>
      <c r="D72" s="36"/>
      <c r="E72" s="74" t="s">
        <v>718</v>
      </c>
      <c r="F72" s="1024" t="s">
        <v>668</v>
      </c>
      <c r="G72" s="104"/>
      <c r="H72" s="915">
        <f>-'5 - Cost Support'!L197</f>
        <v>-9989448.9664552491</v>
      </c>
      <c r="I72" s="426"/>
      <c r="J72" s="915">
        <f>-'5 - Cost Support'!L197</f>
        <v>-9989448.9664552491</v>
      </c>
      <c r="K72" s="502">
        <v>0</v>
      </c>
      <c r="L72" s="963">
        <v>0</v>
      </c>
      <c r="M72" s="25"/>
    </row>
    <row r="73" spans="1:13">
      <c r="A73" s="639"/>
      <c r="B73" s="983"/>
      <c r="C73" s="25"/>
      <c r="D73" s="25"/>
      <c r="E73" s="74"/>
      <c r="F73" s="1039"/>
      <c r="G73" s="104"/>
      <c r="H73" s="907"/>
      <c r="I73" s="426"/>
      <c r="J73" s="502"/>
      <c r="K73" s="502"/>
      <c r="L73" s="963"/>
      <c r="M73" s="426"/>
    </row>
    <row r="74" spans="1:13" ht="15.75">
      <c r="A74" s="639"/>
      <c r="B74" s="102" t="s">
        <v>795</v>
      </c>
      <c r="C74" s="390"/>
      <c r="D74" s="25"/>
      <c r="E74" s="74"/>
      <c r="F74" s="1040"/>
      <c r="G74" s="104"/>
      <c r="H74" s="907"/>
      <c r="I74" s="426"/>
      <c r="J74" s="502"/>
      <c r="K74" s="502"/>
      <c r="L74" s="963"/>
      <c r="M74" s="426"/>
    </row>
    <row r="75" spans="1:13" ht="15.75" customHeight="1">
      <c r="A75" s="639">
        <f>+A72+1</f>
        <v>42</v>
      </c>
      <c r="B75" s="984"/>
      <c r="C75" s="57" t="s">
        <v>719</v>
      </c>
      <c r="D75" s="73"/>
      <c r="E75" s="1166" t="s">
        <v>113</v>
      </c>
      <c r="F75" s="1042" t="s">
        <v>668</v>
      </c>
      <c r="G75" s="792"/>
      <c r="H75" s="917">
        <f>+'5 - Cost Support'!L207</f>
        <v>6048643.2651692526</v>
      </c>
      <c r="I75" s="940"/>
      <c r="J75" s="917">
        <f>+'5 - Cost Support'!L207</f>
        <v>6048643.2651692526</v>
      </c>
      <c r="K75" s="530"/>
      <c r="L75" s="970"/>
      <c r="M75" s="426"/>
    </row>
    <row r="76" spans="1:13" ht="15.75" customHeight="1">
      <c r="A76" s="639">
        <f>+A75+1</f>
        <v>43</v>
      </c>
      <c r="B76" s="983"/>
      <c r="C76" s="77" t="s">
        <v>768</v>
      </c>
      <c r="D76" s="25"/>
      <c r="E76" s="69"/>
      <c r="F76" s="1029" t="str">
        <f>"(Line "&amp;A75&amp;")"</f>
        <v>(Line 42)</v>
      </c>
      <c r="G76" s="104"/>
      <c r="H76" s="915">
        <f>+H75</f>
        <v>6048643.2651692526</v>
      </c>
      <c r="I76" s="426"/>
      <c r="J76" s="915">
        <f>+J75</f>
        <v>6048643.2651692526</v>
      </c>
      <c r="K76" s="502">
        <v>0</v>
      </c>
      <c r="L76" s="963">
        <v>0</v>
      </c>
      <c r="M76" s="426"/>
    </row>
    <row r="77" spans="1:13" ht="16.5" customHeight="1">
      <c r="A77" s="639"/>
      <c r="B77" s="983"/>
      <c r="C77" s="77"/>
      <c r="D77" s="25"/>
      <c r="E77" s="69"/>
      <c r="F77" s="1029"/>
      <c r="G77" s="104"/>
      <c r="H77" s="915"/>
      <c r="I77" s="426"/>
      <c r="J77" s="502"/>
      <c r="K77" s="502"/>
      <c r="L77" s="963"/>
      <c r="M77" s="426"/>
    </row>
    <row r="78" spans="1:13" ht="15.75">
      <c r="A78" s="639">
        <f>+A76+1</f>
        <v>44</v>
      </c>
      <c r="B78" s="11" t="s">
        <v>284</v>
      </c>
      <c r="C78" s="25"/>
      <c r="D78" s="714"/>
      <c r="E78" s="71" t="str">
        <f>"(Note "&amp;B$299&amp;")"</f>
        <v>(Note C)</v>
      </c>
      <c r="F78" s="1029" t="str">
        <f>+F72</f>
        <v>Attachment 5</v>
      </c>
      <c r="G78" s="104"/>
      <c r="H78" s="911">
        <f>+'5 - Cost Support'!I79</f>
        <v>4948911</v>
      </c>
      <c r="I78" s="36"/>
      <c r="J78" s="520">
        <f>+H78</f>
        <v>4948911</v>
      </c>
      <c r="K78" s="502">
        <v>0</v>
      </c>
      <c r="L78" s="963">
        <v>0</v>
      </c>
      <c r="M78" s="426"/>
    </row>
    <row r="79" spans="1:13" ht="15.75">
      <c r="A79" s="639"/>
      <c r="B79" s="11"/>
      <c r="C79" s="25"/>
      <c r="D79" s="714"/>
      <c r="E79" s="71"/>
      <c r="F79" s="1029"/>
      <c r="G79" s="104"/>
      <c r="H79" s="911"/>
      <c r="I79" s="36"/>
      <c r="J79" s="520"/>
      <c r="K79" s="502"/>
      <c r="L79" s="963"/>
      <c r="M79" s="426"/>
    </row>
    <row r="80" spans="1:13" ht="15.75">
      <c r="A80" s="639">
        <f>+A78+1</f>
        <v>45</v>
      </c>
      <c r="B80" s="11" t="s">
        <v>108</v>
      </c>
      <c r="C80" s="25"/>
      <c r="D80" s="714"/>
      <c r="E80" s="71"/>
      <c r="F80" s="1029"/>
      <c r="G80" s="104"/>
      <c r="H80" s="1121">
        <v>0</v>
      </c>
      <c r="I80" s="1122"/>
      <c r="J80" s="1123">
        <v>0</v>
      </c>
      <c r="K80" s="502"/>
      <c r="L80" s="963"/>
      <c r="M80" s="426"/>
    </row>
    <row r="81" spans="1:13" ht="15.75">
      <c r="A81" s="639">
        <f>+A80+1</f>
        <v>46</v>
      </c>
      <c r="B81" s="11" t="s">
        <v>96</v>
      </c>
      <c r="C81" s="25"/>
      <c r="D81" s="714"/>
      <c r="E81" s="71"/>
      <c r="F81" s="1029"/>
      <c r="G81" s="793"/>
      <c r="H81" s="1169">
        <v>0</v>
      </c>
      <c r="I81" s="1170"/>
      <c r="J81" s="1170">
        <v>0</v>
      </c>
      <c r="K81" s="1171"/>
      <c r="L81" s="1124"/>
      <c r="M81" s="426"/>
    </row>
    <row r="82" spans="1:13" ht="15.75" customHeight="1">
      <c r="A82" s="639"/>
      <c r="B82" s="983"/>
      <c r="C82" s="77"/>
      <c r="D82" s="25"/>
      <c r="E82" s="69"/>
      <c r="F82" s="1029"/>
      <c r="G82" s="104"/>
      <c r="H82" s="915"/>
      <c r="I82" s="426"/>
      <c r="J82" s="502"/>
      <c r="K82" s="502"/>
      <c r="L82" s="963"/>
      <c r="M82" s="426"/>
    </row>
    <row r="83" spans="1:13" ht="15.75" customHeight="1">
      <c r="A83" s="639"/>
      <c r="B83" s="102" t="s">
        <v>793</v>
      </c>
      <c r="C83" s="36"/>
      <c r="D83" s="36"/>
      <c r="E83" s="985"/>
      <c r="F83" s="1041"/>
      <c r="G83" s="104"/>
      <c r="H83" s="916"/>
      <c r="I83" s="426"/>
      <c r="J83" s="502"/>
      <c r="K83" s="502"/>
      <c r="L83" s="963"/>
      <c r="M83" s="426"/>
    </row>
    <row r="84" spans="1:13" ht="15.75" customHeight="1">
      <c r="A84" s="972">
        <f>+A81+1</f>
        <v>47</v>
      </c>
      <c r="B84" s="36"/>
      <c r="C84" s="36" t="s">
        <v>810</v>
      </c>
      <c r="D84" s="25"/>
      <c r="E84" s="71" t="str">
        <f>"(Note "&amp;B$297&amp;")"</f>
        <v>(Note A)</v>
      </c>
      <c r="F84" s="1048" t="s">
        <v>668</v>
      </c>
      <c r="G84" s="1167"/>
      <c r="H84" s="1039">
        <f>'5 - Cost Support'!Q213</f>
        <v>663701.38461538462</v>
      </c>
      <c r="I84" s="426"/>
      <c r="J84" s="502">
        <f>H84</f>
        <v>663701.38461538462</v>
      </c>
      <c r="K84" s="502">
        <f>J84</f>
        <v>663701.38461538462</v>
      </c>
      <c r="L84" s="963">
        <f>K84</f>
        <v>663701.38461538462</v>
      </c>
      <c r="M84" s="426"/>
    </row>
    <row r="85" spans="1:13" s="15" customFormat="1" ht="15.75" customHeight="1">
      <c r="A85" s="639">
        <f>+A84+1</f>
        <v>48</v>
      </c>
      <c r="B85" s="983"/>
      <c r="C85" s="57" t="s">
        <v>843</v>
      </c>
      <c r="D85" s="32"/>
      <c r="E85" s="65"/>
      <c r="F85" s="1031" t="str">
        <f>"(Line "&amp;A$13&amp;")"</f>
        <v>(Line 5)</v>
      </c>
      <c r="G85" s="1055"/>
      <c r="H85" s="920">
        <f>+H13</f>
        <v>0.14184700966165151</v>
      </c>
      <c r="I85" s="940"/>
      <c r="J85" s="712">
        <f>+$J$13</f>
        <v>0.14184700966165151</v>
      </c>
      <c r="K85" s="712">
        <v>0</v>
      </c>
      <c r="L85" s="977">
        <v>0</v>
      </c>
      <c r="M85" s="426"/>
    </row>
    <row r="86" spans="1:13" ht="15.75" customHeight="1">
      <c r="A86" s="639">
        <f>+A85+1</f>
        <v>49</v>
      </c>
      <c r="B86" s="983"/>
      <c r="C86" s="390" t="s">
        <v>857</v>
      </c>
      <c r="D86" s="25"/>
      <c r="E86" s="74"/>
      <c r="F86" s="1029" t="str">
        <f>"(Line "&amp;A84&amp;" * "&amp;A85&amp;")"</f>
        <v>(Line 47 * 48)</v>
      </c>
      <c r="G86" s="104"/>
      <c r="H86" s="914">
        <f>+H84*H85</f>
        <v>94144.056715989951</v>
      </c>
      <c r="I86" s="426"/>
      <c r="J86" s="914">
        <f>+J84*J85</f>
        <v>94144.056715989951</v>
      </c>
      <c r="K86" s="1396">
        <f>+K84*K85</f>
        <v>0</v>
      </c>
      <c r="L86" s="1397">
        <f>+L84*L85</f>
        <v>0</v>
      </c>
      <c r="M86" s="426"/>
    </row>
    <row r="87" spans="1:13" ht="15.75" customHeight="1">
      <c r="A87" s="639">
        <f>+A86+1</f>
        <v>50</v>
      </c>
      <c r="B87" s="983"/>
      <c r="C87" s="390" t="s">
        <v>784</v>
      </c>
      <c r="D87" s="25"/>
      <c r="E87" s="986"/>
      <c r="F87" s="1042" t="s">
        <v>668</v>
      </c>
      <c r="G87" s="792"/>
      <c r="H87" s="917">
        <f>'5 - Cost Support'!Q214</f>
        <v>696695</v>
      </c>
      <c r="I87" s="940"/>
      <c r="J87" s="917">
        <f>'5 - Cost Support'!Q214</f>
        <v>696695</v>
      </c>
      <c r="K87" s="1398">
        <v>0</v>
      </c>
      <c r="L87" s="1399">
        <v>0</v>
      </c>
      <c r="M87" s="426"/>
    </row>
    <row r="88" spans="1:13" ht="18" customHeight="1">
      <c r="A88" s="639">
        <f>+A87+1</f>
        <v>51</v>
      </c>
      <c r="B88" s="983"/>
      <c r="C88" s="384" t="s">
        <v>792</v>
      </c>
      <c r="D88" s="50"/>
      <c r="E88" s="1168"/>
      <c r="F88" s="1029" t="str">
        <f>"(Line "&amp;A86&amp;" + "&amp;A87&amp;")"</f>
        <v>(Line 49 + 50)</v>
      </c>
      <c r="G88" s="104"/>
      <c r="H88" s="520">
        <f>SUM(H86:H87)</f>
        <v>790839.05671598995</v>
      </c>
      <c r="I88" s="426"/>
      <c r="J88" s="520">
        <f>SUM(J86:J87)</f>
        <v>790839.05671598995</v>
      </c>
      <c r="K88" s="1400">
        <f>SUM(K86:K87)</f>
        <v>0</v>
      </c>
      <c r="L88" s="1401">
        <f>SUM(L86:L87)</f>
        <v>0</v>
      </c>
      <c r="M88" s="426"/>
    </row>
    <row r="89" spans="1:13" ht="15.75" customHeight="1">
      <c r="A89" s="639"/>
      <c r="B89" s="983"/>
      <c r="C89" s="390"/>
      <c r="D89" s="21"/>
      <c r="E89" s="23"/>
      <c r="F89" s="1043"/>
      <c r="G89" s="97"/>
      <c r="H89" s="829"/>
      <c r="I89" s="426"/>
      <c r="J89" s="503"/>
      <c r="K89" s="1402"/>
      <c r="L89" s="1403"/>
      <c r="M89" s="426"/>
    </row>
    <row r="90" spans="1:13" ht="15.75" customHeight="1">
      <c r="A90" s="639"/>
      <c r="B90" s="102" t="s">
        <v>796</v>
      </c>
      <c r="C90" s="36"/>
      <c r="D90" s="25"/>
      <c r="E90" s="74"/>
      <c r="F90" s="1041"/>
      <c r="G90" s="104"/>
      <c r="H90" s="907"/>
      <c r="I90" s="426"/>
      <c r="J90" s="502"/>
      <c r="K90" s="1123"/>
      <c r="L90" s="1404"/>
      <c r="M90" s="426"/>
    </row>
    <row r="91" spans="1:13" ht="15.75" customHeight="1">
      <c r="A91" s="639">
        <f>+A88+1</f>
        <v>52</v>
      </c>
      <c r="B91" s="983"/>
      <c r="C91" s="390" t="s">
        <v>854</v>
      </c>
      <c r="D91" s="34"/>
      <c r="E91" s="74"/>
      <c r="F91" s="1029" t="str">
        <f>"(Line "&amp;A$135&amp;")"</f>
        <v>(Line 82)</v>
      </c>
      <c r="G91" s="104"/>
      <c r="H91" s="914">
        <f>+H135</f>
        <v>47746437.049825557</v>
      </c>
      <c r="I91" s="426"/>
      <c r="J91" s="914">
        <f>+J135</f>
        <v>44617744.529818967</v>
      </c>
      <c r="K91" s="1123">
        <v>0</v>
      </c>
      <c r="L91" s="1404">
        <v>0</v>
      </c>
      <c r="M91" s="426"/>
    </row>
    <row r="92" spans="1:13" ht="15.75" customHeight="1">
      <c r="A92" s="639">
        <f>+A91+1</f>
        <v>53</v>
      </c>
      <c r="B92" s="983"/>
      <c r="C92" s="34" t="s">
        <v>109</v>
      </c>
      <c r="D92" s="34"/>
      <c r="E92" s="71" t="s">
        <v>519</v>
      </c>
      <c r="F92" s="1042"/>
      <c r="G92" s="792"/>
      <c r="H92" s="1163">
        <v>0</v>
      </c>
      <c r="I92" s="1164">
        <v>0</v>
      </c>
      <c r="J92" s="1165">
        <f>$H$92</f>
        <v>0</v>
      </c>
      <c r="K92" s="1398">
        <f>$H$92</f>
        <v>0</v>
      </c>
      <c r="L92" s="1404">
        <f>$H$92</f>
        <v>0</v>
      </c>
      <c r="M92" s="426"/>
    </row>
    <row r="93" spans="1:13" s="1" customFormat="1" ht="16.5" customHeight="1">
      <c r="A93" s="639">
        <f>+A92+1</f>
        <v>54</v>
      </c>
      <c r="B93" s="987"/>
      <c r="C93" s="383" t="s">
        <v>783</v>
      </c>
      <c r="D93" s="385"/>
      <c r="E93" s="386"/>
      <c r="F93" s="1029" t="str">
        <f>"(Line "&amp;A91&amp;" * "&amp;A92&amp;")"</f>
        <v>(Line 52 * 53)</v>
      </c>
      <c r="G93" s="443"/>
      <c r="H93" s="1405">
        <f>+H91*H92</f>
        <v>0</v>
      </c>
      <c r="I93" s="1411"/>
      <c r="J93" s="1405">
        <f>+J91*J92</f>
        <v>0</v>
      </c>
      <c r="K93" s="1405">
        <f>+K91*K92</f>
        <v>0</v>
      </c>
      <c r="L93" s="1406">
        <f>+L91*L92</f>
        <v>0</v>
      </c>
      <c r="M93" s="973"/>
    </row>
    <row r="94" spans="1:13" s="1" customFormat="1" ht="15.75" customHeight="1">
      <c r="A94" s="639"/>
      <c r="B94" s="987"/>
      <c r="C94" s="102"/>
      <c r="D94" s="387"/>
      <c r="E94" s="68"/>
      <c r="F94" s="1023"/>
      <c r="G94" s="443"/>
      <c r="H94" s="915"/>
      <c r="I94" s="973"/>
      <c r="J94" s="511"/>
      <c r="K94" s="1407"/>
      <c r="L94" s="1408"/>
      <c r="M94" s="973"/>
    </row>
    <row r="95" spans="1:13" s="1" customFormat="1" ht="15.75" customHeight="1">
      <c r="A95" s="988"/>
      <c r="B95" s="102" t="s">
        <v>140</v>
      </c>
      <c r="C95" s="443"/>
      <c r="D95" s="387"/>
      <c r="E95" s="443"/>
      <c r="F95" s="1023"/>
      <c r="G95" s="443"/>
      <c r="H95" s="915"/>
      <c r="I95" s="973"/>
      <c r="J95" s="511"/>
      <c r="K95" s="1407"/>
      <c r="L95" s="1408"/>
      <c r="M95" s="973"/>
    </row>
    <row r="96" spans="1:13" ht="15.75" customHeight="1">
      <c r="A96" s="639">
        <f>+A93+1</f>
        <v>55</v>
      </c>
      <c r="B96" s="26"/>
      <c r="C96" s="36" t="s">
        <v>144</v>
      </c>
      <c r="D96" s="26"/>
      <c r="E96" s="71" t="str">
        <f>"(Note "&amp;B$310&amp;")"</f>
        <v>(Note N)</v>
      </c>
      <c r="F96" s="1024" t="s">
        <v>668</v>
      </c>
      <c r="G96" s="97"/>
      <c r="H96" s="505">
        <f>J96+K96+L96</f>
        <v>0</v>
      </c>
      <c r="I96" s="426"/>
      <c r="J96" s="503">
        <f>'5 - Cost Support'!J223</f>
        <v>0</v>
      </c>
      <c r="K96" s="1402">
        <v>0</v>
      </c>
      <c r="L96" s="1403">
        <v>0</v>
      </c>
      <c r="M96" s="426"/>
    </row>
    <row r="97" spans="1:13" ht="15.75" customHeight="1">
      <c r="A97" s="960">
        <f>+A96+1</f>
        <v>56</v>
      </c>
      <c r="B97" s="26"/>
      <c r="C97" s="440" t="s">
        <v>647</v>
      </c>
      <c r="D97" s="96"/>
      <c r="E97" s="118" t="str">
        <f>+E96</f>
        <v>(Note N)</v>
      </c>
      <c r="F97" s="1028" t="s">
        <v>668</v>
      </c>
      <c r="G97" s="790"/>
      <c r="H97" s="530">
        <f>J97+K97+L97</f>
        <v>0</v>
      </c>
      <c r="I97" s="940"/>
      <c r="J97" s="530">
        <f>'5 - Cost Support'!J228</f>
        <v>0</v>
      </c>
      <c r="K97" s="1398">
        <v>0</v>
      </c>
      <c r="L97" s="1399">
        <v>0</v>
      </c>
      <c r="M97" s="426"/>
    </row>
    <row r="98" spans="1:13" ht="15.75" customHeight="1">
      <c r="A98" s="960">
        <f>+A97+1</f>
        <v>57</v>
      </c>
      <c r="B98" s="26"/>
      <c r="C98" s="26" t="s">
        <v>153</v>
      </c>
      <c r="D98" s="26"/>
      <c r="E98" s="61"/>
      <c r="F98" s="1023" t="str">
        <f>"(Line "&amp;A96&amp;" - "&amp;A97&amp;")"</f>
        <v>(Line 55 - 56)</v>
      </c>
      <c r="G98" s="97"/>
      <c r="H98" s="520">
        <f>+H96-H97</f>
        <v>0</v>
      </c>
      <c r="I98" s="426"/>
      <c r="J98" s="520">
        <f>+J96-J97</f>
        <v>0</v>
      </c>
      <c r="K98" s="1400">
        <f>+K96-K97</f>
        <v>0</v>
      </c>
      <c r="L98" s="1409">
        <f>+L96-L97</f>
        <v>0</v>
      </c>
      <c r="M98" s="426"/>
    </row>
    <row r="99" spans="1:13" ht="15.75" customHeight="1">
      <c r="A99" s="960"/>
      <c r="B99" s="26"/>
      <c r="C99" s="26"/>
      <c r="D99" s="26"/>
      <c r="E99" s="61"/>
      <c r="F99" s="1027"/>
      <c r="G99" s="97"/>
      <c r="H99" s="829"/>
      <c r="I99" s="426"/>
      <c r="J99" s="503"/>
      <c r="K99" s="1402"/>
      <c r="L99" s="1403"/>
      <c r="M99" s="426"/>
    </row>
    <row r="100" spans="1:13" ht="16.5" customHeight="1" thickBot="1">
      <c r="A100" s="960">
        <f>+A98+1</f>
        <v>58</v>
      </c>
      <c r="B100" s="10" t="s">
        <v>844</v>
      </c>
      <c r="C100" s="10"/>
      <c r="D100" s="10"/>
      <c r="E100" s="64"/>
      <c r="F100" s="1044" t="str">
        <f>"(Line "&amp;A67&amp;" + "&amp;A69&amp;" + "&amp;A72&amp;" + "&amp;A76&amp;" + "&amp;A78&amp;" + "&amp;A80&amp;" + "&amp;A81&amp;" + "&amp;A88&amp;" + "&amp;A93&amp;" - "&amp;A98&amp;" )"</f>
        <v>(Line 39 + 40 + 41 + 43 + 44 + 45 + 46 + 51 + 54 - 57 )</v>
      </c>
      <c r="G100" s="1054"/>
      <c r="H100" s="508">
        <f>SUM(H67,H72,H76,H78,H88,H93+H80+H81)-H98+H69</f>
        <v>-208306690.46626294</v>
      </c>
      <c r="I100" s="1065"/>
      <c r="J100" s="508">
        <f>SUM(J67,J72,J76,J78,J88,J93+J80+J81)-J98+J69</f>
        <v>-208306690.46626294</v>
      </c>
      <c r="K100" s="1410">
        <f>SUM(K67,K72,K76,K78,K88,K93+K80+K81)-K98+K69</f>
        <v>0</v>
      </c>
      <c r="L100" s="1410">
        <f>SUM(L67,L72,L76,L78,L88,L93+L80+L81)-L98+L69</f>
        <v>0</v>
      </c>
      <c r="M100" s="426"/>
    </row>
    <row r="101" spans="1:13" ht="16.5" customHeight="1" thickTop="1">
      <c r="A101" s="960"/>
      <c r="B101" s="26"/>
      <c r="C101" s="26"/>
      <c r="D101" s="26"/>
      <c r="E101" s="61"/>
      <c r="F101" s="1027"/>
      <c r="G101" s="97"/>
      <c r="H101" s="829"/>
      <c r="I101" s="426"/>
      <c r="J101" s="503"/>
      <c r="K101" s="503"/>
      <c r="L101" s="954"/>
      <c r="M101" s="426"/>
    </row>
    <row r="102" spans="1:13" ht="16.5" customHeight="1" thickBot="1">
      <c r="A102" s="955">
        <f>+A100+1</f>
        <v>59</v>
      </c>
      <c r="B102" s="10" t="s">
        <v>838</v>
      </c>
      <c r="C102" s="10"/>
      <c r="D102" s="10"/>
      <c r="E102" s="64"/>
      <c r="F102" s="1032" t="str">
        <f>"(Line "&amp;A61&amp;" + "&amp;A100&amp;")"</f>
        <v>(Line 37 + 58)</v>
      </c>
      <c r="G102" s="515"/>
      <c r="H102" s="512">
        <f>+H61+H100</f>
        <v>950571485.74064052</v>
      </c>
      <c r="I102" s="1065"/>
      <c r="J102" s="512">
        <f>+J61+J100</f>
        <v>880814870.3560251</v>
      </c>
      <c r="K102" s="512">
        <f>+K61+K100</f>
        <v>24292615.384615377</v>
      </c>
      <c r="L102" s="990">
        <f>+L61+L100</f>
        <v>45463999.999999993</v>
      </c>
      <c r="M102" s="426"/>
    </row>
    <row r="103" spans="1:13" ht="16.5" customHeight="1" thickTop="1" thickBot="1">
      <c r="A103" s="1125"/>
      <c r="B103" s="1126"/>
      <c r="C103" s="1126"/>
      <c r="D103" s="1126"/>
      <c r="E103" s="1127"/>
      <c r="F103" s="1128"/>
      <c r="G103" s="891"/>
      <c r="H103" s="1129"/>
      <c r="I103" s="1130"/>
      <c r="J103" s="1131">
        <f>J102/$H$102</f>
        <v>0.92661612889611944</v>
      </c>
      <c r="K103" s="1131">
        <f>K102/$H$102</f>
        <v>2.5555800641008829E-2</v>
      </c>
      <c r="L103" s="1132">
        <f>L102/$H$102</f>
        <v>4.7828070462871693E-2</v>
      </c>
      <c r="M103" s="426"/>
    </row>
    <row r="104" spans="1:13" s="15" customFormat="1" ht="15.75" customHeight="1" thickBot="1">
      <c r="A104" s="966" t="s">
        <v>896</v>
      </c>
      <c r="B104" s="29"/>
      <c r="C104" s="992"/>
      <c r="D104" s="40"/>
      <c r="E104" s="378"/>
      <c r="F104" s="1033"/>
      <c r="G104" s="41"/>
      <c r="H104" s="908"/>
      <c r="I104" s="967"/>
      <c r="J104" s="506"/>
      <c r="K104" s="506"/>
      <c r="L104" s="968"/>
      <c r="M104" s="426"/>
    </row>
    <row r="105" spans="1:13" s="15" customFormat="1" ht="15.75" customHeight="1">
      <c r="A105" s="1568"/>
      <c r="B105" s="946"/>
      <c r="C105" s="946"/>
      <c r="D105" s="946"/>
      <c r="E105" s="947"/>
      <c r="F105" s="1022"/>
      <c r="G105" s="948"/>
      <c r="H105" s="949"/>
      <c r="I105" s="950"/>
      <c r="J105" s="951"/>
      <c r="K105" s="951"/>
      <c r="L105" s="952"/>
      <c r="M105" s="426"/>
    </row>
    <row r="106" spans="1:13" ht="15.75" customHeight="1">
      <c r="A106" s="955"/>
      <c r="B106" s="11" t="s">
        <v>825</v>
      </c>
      <c r="C106" s="21"/>
      <c r="D106" s="326"/>
      <c r="E106" s="382"/>
      <c r="F106" s="1027"/>
      <c r="G106" s="97"/>
      <c r="H106" s="905"/>
      <c r="I106" s="426"/>
      <c r="J106" s="503"/>
      <c r="K106" s="503"/>
      <c r="L106" s="954"/>
      <c r="M106" s="426"/>
    </row>
    <row r="107" spans="1:13" ht="15.75" customHeight="1">
      <c r="A107" s="639">
        <f>+A102+1</f>
        <v>60</v>
      </c>
      <c r="B107" s="23"/>
      <c r="C107" s="393" t="s">
        <v>825</v>
      </c>
      <c r="D107" s="25"/>
      <c r="E107" s="74"/>
      <c r="F107" s="1029" t="s">
        <v>607</v>
      </c>
      <c r="G107" s="104"/>
      <c r="H107" s="1435">
        <v>171045528</v>
      </c>
      <c r="I107" s="993"/>
      <c r="J107" s="1436">
        <f>H107-K107-L107</f>
        <v>163949025</v>
      </c>
      <c r="K107" s="1436">
        <v>6019315</v>
      </c>
      <c r="L107" s="1436">
        <v>1077188</v>
      </c>
      <c r="M107" s="426"/>
    </row>
    <row r="108" spans="1:13" ht="15.75" customHeight="1">
      <c r="A108" s="639">
        <f>+A107+1</f>
        <v>61</v>
      </c>
      <c r="B108" s="69"/>
      <c r="C108" s="393" t="s">
        <v>749</v>
      </c>
      <c r="D108" s="25"/>
      <c r="E108" s="74"/>
      <c r="F108" s="1029" t="s">
        <v>750</v>
      </c>
      <c r="G108" s="104"/>
      <c r="H108" s="1435">
        <f>+J108+K108+L108</f>
        <v>0</v>
      </c>
      <c r="I108" s="993"/>
      <c r="J108" s="1436">
        <v>0</v>
      </c>
      <c r="K108" s="502"/>
      <c r="L108" s="963"/>
      <c r="M108" s="426"/>
    </row>
    <row r="109" spans="1:13" ht="15.75" customHeight="1">
      <c r="A109" s="639">
        <f>+A108+1</f>
        <v>62</v>
      </c>
      <c r="B109" s="69"/>
      <c r="C109" s="393" t="s">
        <v>300</v>
      </c>
      <c r="D109" s="25"/>
      <c r="E109" s="74"/>
      <c r="F109" s="1029" t="s">
        <v>301</v>
      </c>
      <c r="G109" s="104"/>
      <c r="H109" s="509">
        <f>J109+K109+L109</f>
        <v>4905585</v>
      </c>
      <c r="I109" s="993"/>
      <c r="J109" s="502">
        <f>+'Sch 1'!E18</f>
        <v>4905585</v>
      </c>
      <c r="K109" s="502"/>
      <c r="L109" s="963"/>
      <c r="M109" s="426"/>
    </row>
    <row r="110" spans="1:13" ht="15.75" customHeight="1">
      <c r="A110" s="639">
        <f>+A109+1</f>
        <v>63</v>
      </c>
      <c r="B110" s="23"/>
      <c r="C110" s="393" t="s">
        <v>897</v>
      </c>
      <c r="D110" s="21"/>
      <c r="E110" s="982" t="s">
        <v>856</v>
      </c>
      <c r="F110" s="1031" t="s">
        <v>668</v>
      </c>
      <c r="G110" s="792"/>
      <c r="H110" s="910">
        <f>'5 - Cost Support'!K246</f>
        <v>143399289.88999999</v>
      </c>
      <c r="I110" s="1056"/>
      <c r="J110" s="530">
        <f>'5 - Cost Support'!K242</f>
        <v>138512724.88999999</v>
      </c>
      <c r="K110" s="530">
        <f>'5 - Cost Support'!K243</f>
        <v>4886565</v>
      </c>
      <c r="L110" s="1002">
        <f>'5 - Cost Support'!K244</f>
        <v>0</v>
      </c>
      <c r="M110" s="426"/>
    </row>
    <row r="111" spans="1:13" ht="15.75" customHeight="1">
      <c r="A111" s="639">
        <f>+A110+1</f>
        <v>64</v>
      </c>
      <c r="B111" s="25"/>
      <c r="C111" s="8" t="s">
        <v>825</v>
      </c>
      <c r="D111" s="17"/>
      <c r="E111" s="66"/>
      <c r="F111" s="1029" t="str">
        <f>"(Line "&amp;A107&amp;" - "&amp;A110&amp;")"</f>
        <v>(Line 60 - 63)</v>
      </c>
      <c r="G111" s="104"/>
      <c r="H111" s="911">
        <f>+H107+H108-H110-H109</f>
        <v>22740653.110000014</v>
      </c>
      <c r="I111" s="993"/>
      <c r="J111" s="911">
        <f>+J107+J108-J110-J109</f>
        <v>20530715.110000014</v>
      </c>
      <c r="K111" s="911">
        <f>+K107+K108-K110-K109</f>
        <v>1132750</v>
      </c>
      <c r="L111" s="971">
        <f>+L107+L108-L110-L109</f>
        <v>1077188</v>
      </c>
      <c r="M111" s="426"/>
    </row>
    <row r="112" spans="1:13" ht="15.75" customHeight="1">
      <c r="A112" s="639"/>
      <c r="B112" s="69"/>
      <c r="C112" s="11"/>
      <c r="D112" s="25"/>
      <c r="E112" s="959"/>
      <c r="F112" s="1045"/>
      <c r="G112" s="104"/>
      <c r="H112" s="906"/>
      <c r="I112" s="993"/>
      <c r="J112" s="502"/>
      <c r="K112" s="502"/>
      <c r="L112" s="963"/>
      <c r="M112" s="426"/>
    </row>
    <row r="113" spans="1:13" ht="15.75" customHeight="1">
      <c r="A113" s="639"/>
      <c r="B113" s="11" t="s">
        <v>359</v>
      </c>
      <c r="C113" s="25"/>
      <c r="D113" s="25"/>
      <c r="E113" s="959"/>
      <c r="F113" s="1045"/>
      <c r="G113" s="104"/>
      <c r="H113" s="906"/>
      <c r="I113" s="993"/>
      <c r="J113" s="502"/>
      <c r="K113" s="502"/>
      <c r="L113" s="963"/>
      <c r="M113" s="426"/>
    </row>
    <row r="114" spans="1:13" ht="15.75" customHeight="1">
      <c r="A114" s="639">
        <f>+A111+1</f>
        <v>65</v>
      </c>
      <c r="B114" s="69"/>
      <c r="C114" s="393" t="s">
        <v>828</v>
      </c>
      <c r="D114" s="25"/>
      <c r="E114" s="74"/>
      <c r="F114" s="1029" t="s">
        <v>608</v>
      </c>
      <c r="G114" s="104"/>
      <c r="H114" s="1435">
        <v>160147165</v>
      </c>
      <c r="I114" s="993"/>
      <c r="J114" s="502"/>
      <c r="K114" s="502"/>
      <c r="L114" s="963"/>
      <c r="M114" s="426"/>
    </row>
    <row r="115" spans="1:13" ht="15.75" customHeight="1">
      <c r="A115" s="639">
        <f>+A114+1</f>
        <v>66</v>
      </c>
      <c r="B115" s="69"/>
      <c r="C115" s="393" t="s">
        <v>463</v>
      </c>
      <c r="D115" s="25"/>
      <c r="E115" s="74"/>
      <c r="F115" s="1029" t="s">
        <v>668</v>
      </c>
      <c r="G115" s="104"/>
      <c r="H115" s="509">
        <f>'5 - Cost Support'!I86</f>
        <v>168890</v>
      </c>
      <c r="I115" s="993"/>
      <c r="J115" s="502"/>
      <c r="K115" s="502"/>
      <c r="L115" s="963"/>
      <c r="M115" s="153"/>
    </row>
    <row r="116" spans="1:13" ht="15.75" customHeight="1">
      <c r="A116" s="639">
        <f>+A115+1</f>
        <v>67</v>
      </c>
      <c r="B116" s="69"/>
      <c r="C116" s="393" t="s">
        <v>902</v>
      </c>
      <c r="D116" s="328"/>
      <c r="E116" s="74"/>
      <c r="F116" s="1046" t="s">
        <v>609</v>
      </c>
      <c r="G116" s="104"/>
      <c r="H116" s="1435">
        <v>6082479</v>
      </c>
      <c r="I116" s="993"/>
      <c r="J116" s="502"/>
      <c r="K116" s="502"/>
      <c r="L116" s="963"/>
      <c r="M116" s="426"/>
    </row>
    <row r="117" spans="1:13" ht="15.75" customHeight="1">
      <c r="A117" s="639">
        <f t="shared" ref="A117:A122" si="1">+A116+1</f>
        <v>68</v>
      </c>
      <c r="B117" s="69"/>
      <c r="C117" s="393" t="s">
        <v>903</v>
      </c>
      <c r="D117" s="328"/>
      <c r="E117" s="71" t="str">
        <f>"(Note "&amp;B$301&amp;")"</f>
        <v>(Note E)</v>
      </c>
      <c r="F117" s="1046" t="s">
        <v>610</v>
      </c>
      <c r="G117" s="104"/>
      <c r="H117" s="1435">
        <v>18424521</v>
      </c>
      <c r="I117" s="993"/>
      <c r="J117" s="502"/>
      <c r="K117" s="502"/>
      <c r="L117" s="963"/>
      <c r="M117" s="426"/>
    </row>
    <row r="118" spans="1:13" ht="15.75" customHeight="1">
      <c r="A118" s="639">
        <f t="shared" si="1"/>
        <v>69</v>
      </c>
      <c r="B118" s="69"/>
      <c r="C118" s="393" t="s">
        <v>904</v>
      </c>
      <c r="D118" s="328"/>
      <c r="E118" s="74"/>
      <c r="F118" s="1046" t="s">
        <v>611</v>
      </c>
      <c r="G118" s="104"/>
      <c r="H118" s="1435">
        <v>55714</v>
      </c>
      <c r="I118" s="993"/>
      <c r="J118" s="502"/>
      <c r="K118" s="502"/>
      <c r="L118" s="963"/>
      <c r="M118" s="426"/>
    </row>
    <row r="119" spans="1:13">
      <c r="A119" s="639">
        <f t="shared" si="1"/>
        <v>70</v>
      </c>
      <c r="B119" s="69"/>
      <c r="C119" s="393" t="s">
        <v>885</v>
      </c>
      <c r="D119" s="26"/>
      <c r="E119" s="71" t="str">
        <f>"(Note "&amp;B$300&amp;")"</f>
        <v>(Note D)</v>
      </c>
      <c r="F119" s="1031" t="s">
        <v>840</v>
      </c>
      <c r="G119" s="792"/>
      <c r="H119" s="1475"/>
      <c r="I119" s="1056"/>
      <c r="J119" s="530"/>
      <c r="K119" s="502"/>
      <c r="L119" s="963"/>
      <c r="M119" s="426"/>
    </row>
    <row r="120" spans="1:13" ht="15.75" customHeight="1">
      <c r="A120" s="639">
        <f t="shared" si="1"/>
        <v>71</v>
      </c>
      <c r="B120" s="69"/>
      <c r="C120" s="8" t="s">
        <v>360</v>
      </c>
      <c r="D120" s="17"/>
      <c r="E120" s="388"/>
      <c r="F120" s="1023" t="str">
        <f>"(Line "&amp;A114&amp;") -  Sum ("&amp;A115&amp;" to "&amp;A119&amp;")"</f>
        <v>(Line 65) -  Sum (66 to 70)</v>
      </c>
      <c r="G120" s="104"/>
      <c r="H120" s="509">
        <f>H114-H116-H117-H118-H119-H115</f>
        <v>135415561</v>
      </c>
      <c r="I120" s="993"/>
      <c r="J120" s="509">
        <f>$H$120</f>
        <v>135415561</v>
      </c>
      <c r="K120" s="1062">
        <f>$H$120</f>
        <v>135415561</v>
      </c>
      <c r="L120" s="957">
        <f>$H$120</f>
        <v>135415561</v>
      </c>
      <c r="M120" s="426"/>
    </row>
    <row r="121" spans="1:13" ht="15.75" customHeight="1">
      <c r="A121" s="639">
        <f t="shared" si="1"/>
        <v>72</v>
      </c>
      <c r="B121" s="69"/>
      <c r="C121" s="393" t="s">
        <v>843</v>
      </c>
      <c r="D121" s="32"/>
      <c r="E121" s="637"/>
      <c r="F121" s="1047" t="str">
        <f>"(Line "&amp;A$13&amp;")"</f>
        <v>(Line 5)</v>
      </c>
      <c r="G121" s="792"/>
      <c r="H121" s="920">
        <f>+H13</f>
        <v>0.14184700966165151</v>
      </c>
      <c r="I121" s="1056"/>
      <c r="J121" s="712">
        <f>+$J$13</f>
        <v>0.14184700966165151</v>
      </c>
      <c r="K121" s="712">
        <v>0</v>
      </c>
      <c r="L121" s="977">
        <v>0</v>
      </c>
      <c r="M121" s="426"/>
    </row>
    <row r="122" spans="1:13" ht="15.75" customHeight="1">
      <c r="A122" s="639">
        <f t="shared" si="1"/>
        <v>73</v>
      </c>
      <c r="B122" s="69"/>
      <c r="C122" s="8" t="s">
        <v>362</v>
      </c>
      <c r="D122" s="25"/>
      <c r="E122" s="714"/>
      <c r="F122" s="1029" t="str">
        <f>"(Line "&amp;A120&amp;" * "&amp;A121&amp;")"</f>
        <v>(Line 71 * 72)</v>
      </c>
      <c r="G122" s="104"/>
      <c r="H122" s="911">
        <f>+H121*H120</f>
        <v>19208292.389504958</v>
      </c>
      <c r="I122" s="426"/>
      <c r="J122" s="911">
        <f>+J121*J120</f>
        <v>19208292.389504958</v>
      </c>
      <c r="K122" s="1412">
        <f>+K121*K120</f>
        <v>0</v>
      </c>
      <c r="L122" s="1413">
        <f>+L121*L120</f>
        <v>0</v>
      </c>
      <c r="M122" s="426"/>
    </row>
    <row r="123" spans="1:13" ht="15.75" customHeight="1">
      <c r="A123" s="639"/>
      <c r="B123" s="69"/>
      <c r="C123" s="11"/>
      <c r="D123" s="25"/>
      <c r="E123" s="959"/>
      <c r="F123" s="1045"/>
      <c r="G123" s="104"/>
      <c r="H123" s="509"/>
      <c r="I123" s="426"/>
      <c r="J123" s="502"/>
      <c r="K123" s="502"/>
      <c r="L123" s="963"/>
      <c r="M123" s="426"/>
    </row>
    <row r="124" spans="1:13" ht="15.75" customHeight="1">
      <c r="A124" s="639"/>
      <c r="B124" s="11" t="s">
        <v>785</v>
      </c>
      <c r="C124" s="36"/>
      <c r="D124" s="25"/>
      <c r="E124" s="959"/>
      <c r="F124" s="1045"/>
      <c r="G124" s="104"/>
      <c r="H124" s="509"/>
      <c r="I124" s="426"/>
      <c r="J124" s="502"/>
      <c r="K124" s="503"/>
      <c r="L124" s="954"/>
      <c r="M124" s="426"/>
    </row>
    <row r="125" spans="1:13" ht="15.75" customHeight="1">
      <c r="A125" s="639">
        <f>+A122+1</f>
        <v>74</v>
      </c>
      <c r="B125" s="983"/>
      <c r="C125" s="390" t="s">
        <v>905</v>
      </c>
      <c r="D125" s="71"/>
      <c r="E125" s="71" t="str">
        <f>"(Note "&amp;B$303&amp;")"</f>
        <v>(Note G)</v>
      </c>
      <c r="F125" s="1048" t="s">
        <v>668</v>
      </c>
      <c r="G125" s="104"/>
      <c r="H125" s="914">
        <f>+'5 - Cost Support'!H109</f>
        <v>4652396.5593357738</v>
      </c>
      <c r="I125" s="426"/>
      <c r="J125" s="502">
        <f>+'5 - Cost Support'!I109</f>
        <v>3733642.039329187</v>
      </c>
      <c r="K125" s="502">
        <f>+'5 - Cost Support'!J109</f>
        <v>339620.64877325867</v>
      </c>
      <c r="L125" s="963">
        <f>+'5 - Cost Support'!K109</f>
        <v>579133.87123332778</v>
      </c>
      <c r="M125" s="426"/>
    </row>
    <row r="126" spans="1:13" ht="15.75" customHeight="1">
      <c r="A126" s="639">
        <f>+A125+1</f>
        <v>75</v>
      </c>
      <c r="B126" s="983"/>
      <c r="C126" s="57" t="s">
        <v>906</v>
      </c>
      <c r="D126" s="72"/>
      <c r="E126" s="73" t="str">
        <f>"(Note "&amp;B$307&amp;")"</f>
        <v>(Note K)</v>
      </c>
      <c r="F126" s="1042" t="s">
        <v>668</v>
      </c>
      <c r="G126" s="792"/>
      <c r="H126" s="917">
        <f>+'5 - Cost Support'!K114</f>
        <v>0</v>
      </c>
      <c r="I126" s="940"/>
      <c r="J126" s="530">
        <f>H126</f>
        <v>0</v>
      </c>
      <c r="K126" s="510">
        <v>0</v>
      </c>
      <c r="L126" s="976">
        <v>0</v>
      </c>
      <c r="M126" s="426"/>
    </row>
    <row r="127" spans="1:13" ht="15.75" customHeight="1">
      <c r="A127" s="639">
        <f>+A126+1</f>
        <v>76</v>
      </c>
      <c r="B127" s="983"/>
      <c r="C127" s="390" t="s">
        <v>886</v>
      </c>
      <c r="D127" s="994"/>
      <c r="E127" s="985"/>
      <c r="F127" s="1029" t="str">
        <f>"(Line "&amp;A125&amp;" + "&amp;A126&amp;")"</f>
        <v>(Line 74 + 75)</v>
      </c>
      <c r="G127" s="104"/>
      <c r="H127" s="915">
        <f>+H126+H125</f>
        <v>4652396.5593357738</v>
      </c>
      <c r="I127" s="426"/>
      <c r="J127" s="513">
        <f>J125</f>
        <v>3733642.039329187</v>
      </c>
      <c r="K127" s="503">
        <f>SUM(K125:K126)</f>
        <v>339620.64877325867</v>
      </c>
      <c r="L127" s="954">
        <f>SUM(L125:L126)</f>
        <v>579133.87123332778</v>
      </c>
      <c r="M127" s="426"/>
    </row>
    <row r="128" spans="1:13" ht="15.75" customHeight="1">
      <c r="A128" s="639"/>
      <c r="B128" s="983"/>
      <c r="C128" s="390"/>
      <c r="D128" s="994"/>
      <c r="E128" s="985"/>
      <c r="F128" s="1048"/>
      <c r="G128" s="104"/>
      <c r="H128" s="918"/>
      <c r="I128" s="426"/>
      <c r="J128" s="502"/>
      <c r="K128" s="503"/>
      <c r="L128" s="954"/>
      <c r="M128" s="426"/>
    </row>
    <row r="129" spans="1:16" ht="15.75" customHeight="1">
      <c r="A129" s="639">
        <f>+A127+1</f>
        <v>77</v>
      </c>
      <c r="B129" s="983"/>
      <c r="C129" s="390" t="s">
        <v>907</v>
      </c>
      <c r="D129" s="994"/>
      <c r="E129" s="71" t="str">
        <f>"(Note "&amp;B$302&amp;")"</f>
        <v>(Note F)</v>
      </c>
      <c r="F129" s="1034" t="str">
        <f>"(Line "&amp;A116&amp;")"</f>
        <v>(Line 67)</v>
      </c>
      <c r="G129" s="104"/>
      <c r="H129" s="914">
        <f>+H116</f>
        <v>6082479</v>
      </c>
      <c r="I129" s="426"/>
      <c r="J129" s="502">
        <f>H129</f>
        <v>6082479</v>
      </c>
      <c r="K129" s="503"/>
      <c r="L129" s="954"/>
      <c r="M129" s="426"/>
    </row>
    <row r="130" spans="1:16" ht="16.5" customHeight="1">
      <c r="A130" s="639">
        <f>+A129+1</f>
        <v>78</v>
      </c>
      <c r="B130" s="983"/>
      <c r="C130" s="390" t="s">
        <v>906</v>
      </c>
      <c r="D130" s="994"/>
      <c r="E130" s="71"/>
      <c r="F130" s="1042" t="s">
        <v>668</v>
      </c>
      <c r="G130" s="792"/>
      <c r="H130" s="917">
        <f>'5 - Cost Support'!I114</f>
        <v>0</v>
      </c>
      <c r="I130" s="940"/>
      <c r="J130" s="530">
        <f>H130</f>
        <v>0</v>
      </c>
      <c r="K130" s="510"/>
      <c r="L130" s="976"/>
      <c r="M130" s="426"/>
    </row>
    <row r="131" spans="1:16" ht="15.75" customHeight="1">
      <c r="A131" s="639">
        <f>+A130+1</f>
        <v>79</v>
      </c>
      <c r="B131" s="983"/>
      <c r="C131" s="16" t="s">
        <v>851</v>
      </c>
      <c r="D131" s="769"/>
      <c r="E131" s="66"/>
      <c r="F131" s="1029" t="str">
        <f>"(Line "&amp;A129&amp;" + "&amp;A130&amp;")"</f>
        <v>(Line 77 + 78)</v>
      </c>
      <c r="G131" s="104"/>
      <c r="H131" s="914">
        <f>+H129+H130</f>
        <v>6082479</v>
      </c>
      <c r="I131" s="426"/>
      <c r="J131" s="914">
        <f>+J129+J130</f>
        <v>6082479</v>
      </c>
      <c r="K131" s="503"/>
      <c r="L131" s="954"/>
      <c r="M131" s="426"/>
    </row>
    <row r="132" spans="1:16" ht="15.75" customHeight="1">
      <c r="A132" s="639">
        <f>+A131+1</f>
        <v>80</v>
      </c>
      <c r="B132" s="69"/>
      <c r="C132" s="16" t="s">
        <v>808</v>
      </c>
      <c r="D132" s="34"/>
      <c r="E132" s="65"/>
      <c r="F132" s="1031" t="str">
        <f>"(Line "&amp;A$26&amp;")"</f>
        <v>(Line 14)</v>
      </c>
      <c r="G132" s="792"/>
      <c r="H132" s="920">
        <f>+H26</f>
        <v>0.18826123213657034</v>
      </c>
      <c r="I132" s="940"/>
      <c r="J132" s="1162">
        <f>H132</f>
        <v>0.18826123213657034</v>
      </c>
      <c r="K132" s="510"/>
      <c r="L132" s="976"/>
      <c r="M132" s="426"/>
    </row>
    <row r="133" spans="1:16" ht="15.75" customHeight="1">
      <c r="A133" s="639">
        <f>+A132+1</f>
        <v>81</v>
      </c>
      <c r="B133" s="69"/>
      <c r="C133" s="8" t="s">
        <v>786</v>
      </c>
      <c r="D133" s="17"/>
      <c r="E133" s="71" t="s">
        <v>970</v>
      </c>
      <c r="F133" s="1029" t="str">
        <f>"(Line "&amp;A131&amp;" * "&amp;A132&amp;")"</f>
        <v>(Line 79 * 80)</v>
      </c>
      <c r="G133" s="104"/>
      <c r="H133" s="915">
        <f>+H132*H131</f>
        <v>1145094.9909848142</v>
      </c>
      <c r="I133" s="426"/>
      <c r="J133" s="513">
        <f>H133</f>
        <v>1145094.9909848142</v>
      </c>
      <c r="K133" s="1414">
        <f>+K132*K131</f>
        <v>0</v>
      </c>
      <c r="L133" s="1406">
        <f>+L132*L131</f>
        <v>0</v>
      </c>
      <c r="M133" s="426"/>
    </row>
    <row r="134" spans="1:16" ht="15.75" customHeight="1">
      <c r="A134" s="955"/>
      <c r="B134" s="23"/>
      <c r="C134" s="11"/>
      <c r="D134" s="25"/>
      <c r="E134" s="382"/>
      <c r="F134" s="1026"/>
      <c r="G134" s="97"/>
      <c r="H134" s="905"/>
      <c r="I134" s="426"/>
      <c r="J134" s="503"/>
      <c r="K134" s="503"/>
      <c r="L134" s="954"/>
      <c r="M134" s="426"/>
    </row>
    <row r="135" spans="1:16" ht="16.5" customHeight="1" thickBot="1">
      <c r="A135" s="955">
        <f>+A133+1</f>
        <v>82</v>
      </c>
      <c r="B135" s="23"/>
      <c r="C135" s="9" t="s">
        <v>827</v>
      </c>
      <c r="D135" s="42"/>
      <c r="E135" s="389"/>
      <c r="F135" s="515" t="str">
        <f>"(Line "&amp;A111&amp;" + "&amp;A122&amp;" + "&amp;A127&amp;" + "&amp;A133&amp;")"</f>
        <v>(Line 64 + 73 + 76 + 81)</v>
      </c>
      <c r="G135" s="515"/>
      <c r="H135" s="514">
        <f>+H111+H122+H127+H133</f>
        <v>47746437.049825557</v>
      </c>
      <c r="I135" s="1065"/>
      <c r="J135" s="514">
        <f>+J111+J122+J127+J133</f>
        <v>44617744.529818967</v>
      </c>
      <c r="K135" s="514">
        <f>+K111+K122+K127+K133</f>
        <v>1472370.6487732586</v>
      </c>
      <c r="L135" s="995">
        <f>+L111+L122+L127+L133</f>
        <v>1656321.8712333278</v>
      </c>
      <c r="M135" s="426"/>
    </row>
    <row r="136" spans="1:16" ht="16.5" customHeight="1" thickTop="1" thickBot="1">
      <c r="A136" s="1569"/>
      <c r="B136" s="1570"/>
      <c r="C136" s="1571"/>
      <c r="D136" s="1572"/>
      <c r="E136" s="1573"/>
      <c r="F136" s="1574"/>
      <c r="G136" s="891"/>
      <c r="H136" s="1575"/>
      <c r="I136" s="1130"/>
      <c r="J136" s="1576"/>
      <c r="K136" s="1576"/>
      <c r="L136" s="1577"/>
      <c r="M136" s="426"/>
    </row>
    <row r="137" spans="1:16" ht="15.75" customHeight="1">
      <c r="A137" s="966" t="s">
        <v>821</v>
      </c>
      <c r="B137" s="29"/>
      <c r="C137" s="992"/>
      <c r="D137" s="40"/>
      <c r="E137" s="378"/>
      <c r="F137" s="1033"/>
      <c r="G137" s="979"/>
      <c r="H137" s="908"/>
      <c r="I137" s="967"/>
      <c r="J137" s="506"/>
      <c r="K137" s="506"/>
      <c r="L137" s="968"/>
      <c r="M137" s="426"/>
    </row>
    <row r="138" spans="1:16" ht="15.75" customHeight="1">
      <c r="A138" s="996"/>
      <c r="B138" s="23"/>
      <c r="C138" s="11"/>
      <c r="D138" s="25"/>
      <c r="E138" s="382"/>
      <c r="F138" s="1026"/>
      <c r="G138" s="97"/>
      <c r="H138" s="522"/>
      <c r="I138" s="426"/>
      <c r="J138" s="503"/>
      <c r="K138" s="503"/>
      <c r="L138" s="954"/>
      <c r="M138" s="426"/>
    </row>
    <row r="139" spans="1:16" ht="15.75" customHeight="1">
      <c r="A139" s="960"/>
      <c r="B139" s="59" t="str">
        <f>"Depreciation Expense  (Note "&amp;B312&amp;")"</f>
        <v>Depreciation Expense  (Note P)</v>
      </c>
      <c r="C139" s="36"/>
      <c r="D139" s="25"/>
      <c r="E139" s="74"/>
      <c r="F139" s="1160"/>
      <c r="G139" s="104"/>
      <c r="H139" s="1161"/>
      <c r="I139" s="426"/>
      <c r="J139" s="502"/>
      <c r="K139" s="502"/>
      <c r="L139" s="954"/>
      <c r="M139" s="426"/>
    </row>
    <row r="140" spans="1:16" ht="15.75" customHeight="1">
      <c r="A140" s="955">
        <f>+A135+1</f>
        <v>83</v>
      </c>
      <c r="B140" s="997"/>
      <c r="C140" s="57" t="s">
        <v>757</v>
      </c>
      <c r="D140" s="441"/>
      <c r="E140" s="65"/>
      <c r="F140" s="1042" t="s">
        <v>618</v>
      </c>
      <c r="G140" s="147"/>
      <c r="H140" s="1439">
        <v>37896402</v>
      </c>
      <c r="I140" s="940"/>
      <c r="J140" s="1436">
        <v>34686651.5</v>
      </c>
      <c r="K140" s="1436">
        <v>1570804.89</v>
      </c>
      <c r="L140" s="1436">
        <v>1638945.66</v>
      </c>
      <c r="M140" s="426"/>
      <c r="P140" s="1795"/>
    </row>
    <row r="141" spans="1:16" ht="15.75" customHeight="1">
      <c r="A141" s="955">
        <f>A140+1</f>
        <v>84</v>
      </c>
      <c r="B141" s="997"/>
      <c r="C141" s="11" t="s">
        <v>282</v>
      </c>
      <c r="D141" s="69"/>
      <c r="E141" s="36"/>
      <c r="F141" s="1034" t="str">
        <f>"(Line "&amp;A140&amp;")"</f>
        <v>(Line 83)</v>
      </c>
      <c r="G141" s="104"/>
      <c r="H141" s="915">
        <f>+H140</f>
        <v>37896402</v>
      </c>
      <c r="I141" s="426"/>
      <c r="J141" s="915">
        <f>+J140</f>
        <v>34686651.5</v>
      </c>
      <c r="K141" s="915">
        <f>+K140</f>
        <v>1570804.89</v>
      </c>
      <c r="L141" s="998">
        <f>+L140</f>
        <v>1638945.66</v>
      </c>
      <c r="M141" s="426"/>
    </row>
    <row r="142" spans="1:16" ht="15.75" customHeight="1">
      <c r="A142" s="955"/>
      <c r="B142" s="997"/>
      <c r="C142" s="390"/>
      <c r="D142" s="25"/>
      <c r="E142" s="69"/>
      <c r="F142" s="1048"/>
      <c r="G142" s="104"/>
      <c r="H142" s="915"/>
      <c r="I142" s="426"/>
      <c r="J142" s="502"/>
      <c r="K142" s="502"/>
      <c r="L142" s="954"/>
      <c r="M142" s="426"/>
    </row>
    <row r="143" spans="1:16" ht="15.75" customHeight="1">
      <c r="A143" s="955">
        <f>+A140+1</f>
        <v>84</v>
      </c>
      <c r="B143" s="997"/>
      <c r="C143" s="390" t="s">
        <v>468</v>
      </c>
      <c r="D143" s="25"/>
      <c r="E143" s="69"/>
      <c r="F143" s="1048" t="s">
        <v>469</v>
      </c>
      <c r="G143" s="104"/>
      <c r="H143" s="1438">
        <v>72696512</v>
      </c>
      <c r="I143" s="426"/>
      <c r="J143" s="1436">
        <f>H143</f>
        <v>72696512</v>
      </c>
      <c r="K143" s="502"/>
      <c r="L143" s="954"/>
      <c r="M143" s="426"/>
    </row>
    <row r="144" spans="1:16" ht="15.75" customHeight="1">
      <c r="A144" s="955">
        <f t="shared" ref="A144:A150" si="2">+A143+1</f>
        <v>85</v>
      </c>
      <c r="B144" s="997"/>
      <c r="C144" s="402" t="s">
        <v>208</v>
      </c>
      <c r="D144" s="441"/>
      <c r="E144" s="65"/>
      <c r="F144" s="1042"/>
      <c r="G144" s="147"/>
      <c r="H144" s="1959">
        <v>0.16615823137050936</v>
      </c>
      <c r="I144" s="1476"/>
      <c r="J144" s="1959">
        <v>0.16615823137050936</v>
      </c>
      <c r="K144" s="502"/>
      <c r="L144" s="954"/>
      <c r="M144" s="426"/>
    </row>
    <row r="145" spans="1:13" ht="15.75" customHeight="1">
      <c r="A145" s="955">
        <f t="shared" si="2"/>
        <v>86</v>
      </c>
      <c r="B145" s="26"/>
      <c r="C145" s="393" t="s">
        <v>210</v>
      </c>
      <c r="D145" s="36"/>
      <c r="E145" s="36"/>
      <c r="F145" s="1024"/>
      <c r="G145" s="36"/>
      <c r="H145" s="502">
        <f>H143*H144</f>
        <v>12079123.86072501</v>
      </c>
      <c r="I145" s="426"/>
      <c r="J145" s="502">
        <f>J143*J144</f>
        <v>12079123.86072501</v>
      </c>
      <c r="K145" s="502"/>
      <c r="L145" s="954"/>
      <c r="M145" s="426"/>
    </row>
    <row r="146" spans="1:13" s="15" customFormat="1" ht="15.75" customHeight="1">
      <c r="A146" s="955">
        <f t="shared" si="2"/>
        <v>87</v>
      </c>
      <c r="B146" s="997"/>
      <c r="C146" s="390" t="s">
        <v>850</v>
      </c>
      <c r="D146" s="25"/>
      <c r="E146" s="69"/>
      <c r="F146" s="1048" t="s">
        <v>619</v>
      </c>
      <c r="G146" s="104"/>
      <c r="H146" s="1438">
        <v>15664669</v>
      </c>
      <c r="I146" s="426"/>
      <c r="J146" s="502"/>
      <c r="K146" s="502"/>
      <c r="L146" s="963"/>
      <c r="M146" s="426"/>
    </row>
    <row r="147" spans="1:13" ht="15.75" customHeight="1">
      <c r="A147" s="955">
        <f t="shared" si="2"/>
        <v>88</v>
      </c>
      <c r="B147" s="997"/>
      <c r="C147" s="57" t="s">
        <v>809</v>
      </c>
      <c r="D147" s="441"/>
      <c r="E147" s="73" t="str">
        <f>"(Note "&amp;B$297&amp;")"</f>
        <v>(Note A)</v>
      </c>
      <c r="F147" s="1042" t="s">
        <v>620</v>
      </c>
      <c r="G147" s="792"/>
      <c r="H147" s="1439">
        <v>15941850</v>
      </c>
      <c r="I147" s="940"/>
      <c r="J147" s="530"/>
      <c r="K147" s="530"/>
      <c r="L147" s="976"/>
      <c r="M147" s="426"/>
    </row>
    <row r="148" spans="1:13" ht="15.75" customHeight="1">
      <c r="A148" s="955">
        <f t="shared" si="2"/>
        <v>89</v>
      </c>
      <c r="B148" s="997"/>
      <c r="C148" s="390" t="s">
        <v>851</v>
      </c>
      <c r="D148" s="25"/>
      <c r="E148" s="69"/>
      <c r="F148" s="1029" t="str">
        <f>"(Line "&amp;A146&amp;" + "&amp;A147&amp;")"</f>
        <v>(Line 87 + 88)</v>
      </c>
      <c r="G148" s="104"/>
      <c r="H148" s="914">
        <f>SUM(H146:H147)</f>
        <v>31606519</v>
      </c>
      <c r="I148" s="426"/>
      <c r="J148" s="502">
        <f>$H$148</f>
        <v>31606519</v>
      </c>
      <c r="K148" s="502">
        <f>J148</f>
        <v>31606519</v>
      </c>
      <c r="L148" s="954">
        <f>$H$148</f>
        <v>31606519</v>
      </c>
      <c r="M148" s="426"/>
    </row>
    <row r="149" spans="1:13" ht="15.75" customHeight="1">
      <c r="A149" s="955">
        <f t="shared" si="2"/>
        <v>90</v>
      </c>
      <c r="B149" s="997"/>
      <c r="C149" s="390" t="s">
        <v>843</v>
      </c>
      <c r="D149" s="32"/>
      <c r="E149" s="637"/>
      <c r="F149" s="1047" t="str">
        <f>"(Line "&amp;A$13&amp;")"</f>
        <v>(Line 5)</v>
      </c>
      <c r="G149" s="792"/>
      <c r="H149" s="920">
        <f>+H13</f>
        <v>0.14184700966165151</v>
      </c>
      <c r="I149" s="940"/>
      <c r="J149" s="712">
        <f>+$J$13</f>
        <v>0.14184700966165151</v>
      </c>
      <c r="K149" s="712">
        <v>0</v>
      </c>
      <c r="L149" s="977">
        <v>0</v>
      </c>
      <c r="M149" s="426"/>
    </row>
    <row r="150" spans="1:13" ht="15.75" customHeight="1">
      <c r="A150" s="639">
        <f t="shared" si="2"/>
        <v>91</v>
      </c>
      <c r="B150" s="997"/>
      <c r="C150" s="59" t="s">
        <v>811</v>
      </c>
      <c r="D150" s="25"/>
      <c r="E150" s="714"/>
      <c r="F150" s="1023" t="str">
        <f>"(Line "&amp;A148&amp;" * "&amp;A149&amp;"+"&amp;A145&amp;")"</f>
        <v>(Line 89 * 90+86)</v>
      </c>
      <c r="G150" s="97"/>
      <c r="H150" s="915">
        <f>(+H148*H149)+H145</f>
        <v>16562414.066689182</v>
      </c>
      <c r="I150" s="426"/>
      <c r="J150" s="915">
        <f>(+J148*J149)+J145</f>
        <v>16562414.066689182</v>
      </c>
      <c r="K150" s="1405">
        <f>+K148*K149</f>
        <v>0</v>
      </c>
      <c r="L150" s="1415">
        <f>+L148*L149</f>
        <v>0</v>
      </c>
      <c r="M150" s="426"/>
    </row>
    <row r="151" spans="1:13" ht="15.75" customHeight="1">
      <c r="A151" s="999"/>
      <c r="B151" s="1000"/>
      <c r="C151" s="390"/>
      <c r="D151" s="25"/>
      <c r="E151" s="69"/>
      <c r="F151" s="1048"/>
      <c r="G151" s="97"/>
      <c r="H151" s="916"/>
      <c r="I151" s="426"/>
      <c r="J151" s="503"/>
      <c r="K151" s="503"/>
      <c r="L151" s="954"/>
      <c r="M151" s="426"/>
    </row>
    <row r="152" spans="1:13" s="1" customFormat="1" ht="16.5" customHeight="1" thickBot="1">
      <c r="A152" s="639">
        <f>+A150+1</f>
        <v>92</v>
      </c>
      <c r="B152" s="391" t="s">
        <v>822</v>
      </c>
      <c r="C152" s="391"/>
      <c r="D152" s="37"/>
      <c r="E152" s="392"/>
      <c r="F152" s="515" t="str">
        <f>"(Line "&amp;A141&amp;" + "&amp;A150&amp;")"</f>
        <v>(Line 84 + 91)</v>
      </c>
      <c r="G152" s="515"/>
      <c r="H152" s="515">
        <f>+H150+H141</f>
        <v>54458816.066689178</v>
      </c>
      <c r="I152" s="1067"/>
      <c r="J152" s="515">
        <f>+J150+J141</f>
        <v>51249065.566689178</v>
      </c>
      <c r="K152" s="515">
        <f>+K150+K141</f>
        <v>1570804.89</v>
      </c>
      <c r="L152" s="1001">
        <f>+L150+L141</f>
        <v>1638945.66</v>
      </c>
      <c r="M152" s="973"/>
    </row>
    <row r="153" spans="1:13" ht="16.5" customHeight="1" thickTop="1">
      <c r="A153" s="991"/>
      <c r="B153" s="21"/>
      <c r="C153" s="21"/>
      <c r="D153" s="21"/>
      <c r="E153" s="61"/>
      <c r="F153" s="1027"/>
      <c r="G153" s="97"/>
      <c r="H153" s="829"/>
      <c r="I153" s="426"/>
      <c r="J153" s="503"/>
      <c r="K153" s="503"/>
      <c r="L153" s="954"/>
      <c r="M153" s="426"/>
    </row>
    <row r="154" spans="1:13" ht="16.5" customHeight="1">
      <c r="A154" s="966" t="s">
        <v>659</v>
      </c>
      <c r="B154" s="29"/>
      <c r="C154" s="992"/>
      <c r="D154" s="40"/>
      <c r="E154" s="101"/>
      <c r="F154" s="1033"/>
      <c r="G154" s="979"/>
      <c r="H154" s="908"/>
      <c r="I154" s="967"/>
      <c r="J154" s="506"/>
      <c r="K154" s="506"/>
      <c r="L154" s="968"/>
      <c r="M154" s="426"/>
    </row>
    <row r="155" spans="1:13" ht="15.75" customHeight="1">
      <c r="A155" s="980"/>
      <c r="B155" s="23"/>
      <c r="C155" s="11"/>
      <c r="D155" s="25"/>
      <c r="E155" s="382"/>
      <c r="F155" s="1026"/>
      <c r="G155" s="97"/>
      <c r="H155" s="522"/>
      <c r="I155" s="426"/>
      <c r="J155" s="503"/>
      <c r="K155" s="503"/>
      <c r="L155" s="954"/>
      <c r="M155" s="426"/>
    </row>
    <row r="156" spans="1:13" ht="15.75" customHeight="1">
      <c r="A156" s="639">
        <f>+A152+1</f>
        <v>93</v>
      </c>
      <c r="B156" s="102" t="s">
        <v>572</v>
      </c>
      <c r="C156" s="984"/>
      <c r="D156" s="25"/>
      <c r="E156" s="982"/>
      <c r="F156" s="1024" t="s">
        <v>670</v>
      </c>
      <c r="G156" s="1159"/>
      <c r="H156" s="502">
        <f>SUM(J156:L156)</f>
        <v>11087654.663443785</v>
      </c>
      <c r="I156" s="973"/>
      <c r="J156" s="502">
        <f>'2 - Other Tax'!G52</f>
        <v>9219367.4034437854</v>
      </c>
      <c r="K156" s="502">
        <f>'2 - Other Tax'!G49</f>
        <v>1309271</v>
      </c>
      <c r="L156" s="963">
        <f>'2 - Other Tax'!G50</f>
        <v>559016.26</v>
      </c>
      <c r="M156" s="426"/>
    </row>
    <row r="157" spans="1:13" ht="15.75" customHeight="1">
      <c r="A157" s="972"/>
      <c r="B157" s="25"/>
      <c r="C157" s="21"/>
      <c r="D157" s="21"/>
      <c r="E157" s="23"/>
      <c r="F157" s="1024"/>
      <c r="G157" s="97"/>
      <c r="H157" s="907"/>
      <c r="I157" s="426"/>
      <c r="J157" s="503"/>
      <c r="K157" s="503"/>
      <c r="L157" s="954"/>
      <c r="M157" s="426"/>
    </row>
    <row r="158" spans="1:13" ht="16.5" customHeight="1" thickBot="1">
      <c r="A158" s="639">
        <f>+A156+1</f>
        <v>94</v>
      </c>
      <c r="B158" s="9" t="s">
        <v>751</v>
      </c>
      <c r="C158" s="9"/>
      <c r="D158" s="37"/>
      <c r="E158" s="64"/>
      <c r="F158" s="1038" t="str">
        <f>"(Line "&amp;A156&amp;")"</f>
        <v>(Line 93)</v>
      </c>
      <c r="G158" s="1054"/>
      <c r="H158" s="508">
        <f>+H156</f>
        <v>11087654.663443785</v>
      </c>
      <c r="I158" s="1065"/>
      <c r="J158" s="508">
        <f>+J156</f>
        <v>9219367.4034437854</v>
      </c>
      <c r="K158" s="508">
        <f>+K156</f>
        <v>1309271</v>
      </c>
      <c r="L158" s="974">
        <f>+L156</f>
        <v>559016.26</v>
      </c>
      <c r="M158" s="426"/>
    </row>
    <row r="159" spans="1:13" ht="17.25" customHeight="1" thickTop="1">
      <c r="A159" s="960"/>
      <c r="B159" s="21"/>
      <c r="C159" s="21"/>
      <c r="D159" s="21"/>
      <c r="E159" s="61"/>
      <c r="F159" s="1027"/>
      <c r="G159" s="97"/>
      <c r="H159" s="829"/>
      <c r="I159" s="426"/>
      <c r="J159" s="503"/>
      <c r="K159" s="503"/>
      <c r="L159" s="954"/>
      <c r="M159" s="426"/>
    </row>
    <row r="160" spans="1:13" ht="15.75" customHeight="1">
      <c r="A160" s="966" t="s">
        <v>812</v>
      </c>
      <c r="B160" s="29"/>
      <c r="C160" s="992"/>
      <c r="D160" s="40"/>
      <c r="E160" s="378"/>
      <c r="F160" s="1033"/>
      <c r="G160" s="979"/>
      <c r="H160" s="908"/>
      <c r="I160" s="967"/>
      <c r="J160" s="506"/>
      <c r="K160" s="506"/>
      <c r="L160" s="968"/>
      <c r="M160" s="426"/>
    </row>
    <row r="161" spans="1:13" ht="15.75" customHeight="1">
      <c r="A161" s="965"/>
      <c r="B161" s="23"/>
      <c r="C161" s="11"/>
      <c r="D161" s="25"/>
      <c r="E161" s="382"/>
      <c r="F161" s="1026"/>
      <c r="G161" s="97"/>
      <c r="H161" s="522"/>
      <c r="I161" s="426"/>
      <c r="J161" s="503"/>
      <c r="K161" s="503"/>
      <c r="L161" s="954"/>
      <c r="M161" s="426"/>
    </row>
    <row r="162" spans="1:13" ht="15.75" customHeight="1">
      <c r="A162" s="639"/>
      <c r="B162" s="1140" t="s">
        <v>344</v>
      </c>
      <c r="C162" s="1141"/>
      <c r="D162" s="1142"/>
      <c r="E162" s="1142"/>
      <c r="F162" s="1143"/>
      <c r="G162" s="1144"/>
      <c r="H162" s="1145"/>
      <c r="I162" s="831"/>
      <c r="J162" s="830"/>
      <c r="K162" s="503"/>
      <c r="L162" s="954"/>
      <c r="M162" s="426"/>
    </row>
    <row r="163" spans="1:13" ht="15.75" customHeight="1">
      <c r="A163" s="639">
        <f>+A158+1</f>
        <v>95</v>
      </c>
      <c r="B163" s="1144"/>
      <c r="C163" s="1144" t="s">
        <v>306</v>
      </c>
      <c r="D163" s="1144" t="s">
        <v>343</v>
      </c>
      <c r="E163" s="1146"/>
      <c r="F163" s="1147"/>
      <c r="G163" s="1144"/>
      <c r="H163" s="1148">
        <f>+'WKSHT6 - Cost of Capital'!P5</f>
        <v>4823860000</v>
      </c>
      <c r="I163" s="26"/>
      <c r="J163" s="829"/>
      <c r="K163" s="503"/>
      <c r="L163" s="954"/>
      <c r="M163" s="426"/>
    </row>
    <row r="164" spans="1:13" ht="15.75" customHeight="1">
      <c r="A164" s="639">
        <f>+A163+1</f>
        <v>96</v>
      </c>
      <c r="B164" s="1144"/>
      <c r="C164" s="1144" t="s">
        <v>307</v>
      </c>
      <c r="D164" s="1144" t="s">
        <v>343</v>
      </c>
      <c r="E164" s="1146"/>
      <c r="F164" s="1147"/>
      <c r="G164" s="1144"/>
      <c r="H164" s="1148">
        <f>+'WKSHT6 - Cost of Capital'!P6</f>
        <v>0</v>
      </c>
      <c r="I164" s="26"/>
      <c r="J164" s="829"/>
      <c r="K164" s="503"/>
      <c r="L164" s="954"/>
      <c r="M164" s="426"/>
    </row>
    <row r="165" spans="1:13" ht="15.75" customHeight="1">
      <c r="A165" s="639">
        <f t="shared" ref="A165:A201" si="3">+A164+1</f>
        <v>97</v>
      </c>
      <c r="B165" s="1144"/>
      <c r="C165" s="1144" t="s">
        <v>308</v>
      </c>
      <c r="D165" s="1144" t="s">
        <v>343</v>
      </c>
      <c r="E165" s="1146"/>
      <c r="F165" s="1147"/>
      <c r="G165" s="1144"/>
      <c r="H165" s="1148">
        <f>+'WKSHT6 - Cost of Capital'!P8</f>
        <v>0</v>
      </c>
      <c r="I165" s="26"/>
      <c r="J165" s="829"/>
      <c r="K165" s="503"/>
      <c r="L165" s="954"/>
      <c r="M165" s="426"/>
    </row>
    <row r="166" spans="1:13" ht="15.75" customHeight="1">
      <c r="A166" s="639">
        <f t="shared" si="3"/>
        <v>98</v>
      </c>
      <c r="B166" s="1144"/>
      <c r="C166" s="1149" t="s">
        <v>309</v>
      </c>
      <c r="D166" s="1149" t="s">
        <v>343</v>
      </c>
      <c r="E166" s="1150"/>
      <c r="F166" s="1151"/>
      <c r="G166" s="1152"/>
      <c r="H166" s="1152">
        <f>+'WKSHT6 - Cost of Capital'!P9</f>
        <v>0</v>
      </c>
      <c r="I166" s="26"/>
      <c r="J166" s="829"/>
      <c r="K166" s="503"/>
      <c r="L166" s="954"/>
      <c r="M166" s="426"/>
    </row>
    <row r="167" spans="1:13" ht="15.75" customHeight="1">
      <c r="A167" s="639">
        <f t="shared" si="3"/>
        <v>99</v>
      </c>
      <c r="B167" s="1144"/>
      <c r="C167" s="1144" t="s">
        <v>673</v>
      </c>
      <c r="D167" s="1144" t="str">
        <f>"(Sum Ln "&amp;A163&amp;" through "&amp;A166&amp;""</f>
        <v>(Sum Ln 95 through 98</v>
      </c>
      <c r="E167" s="1146"/>
      <c r="F167" s="1147"/>
      <c r="G167" s="1144"/>
      <c r="H167" s="1148">
        <f>SUM(H163:H166)</f>
        <v>4823860000</v>
      </c>
      <c r="I167" s="26"/>
      <c r="J167" s="829"/>
      <c r="K167" s="503"/>
      <c r="L167" s="954"/>
      <c r="M167" s="426"/>
    </row>
    <row r="168" spans="1:13" ht="15.75" customHeight="1">
      <c r="A168" s="639"/>
      <c r="B168" s="1144"/>
      <c r="C168" s="1144"/>
      <c r="D168" s="1144"/>
      <c r="E168" s="1146"/>
      <c r="F168" s="1147"/>
      <c r="G168" s="1144"/>
      <c r="H168" s="1148"/>
      <c r="I168" s="26"/>
      <c r="J168" s="829"/>
      <c r="K168" s="503"/>
      <c r="L168" s="954"/>
      <c r="M168" s="426"/>
    </row>
    <row r="169" spans="1:13" ht="15.75" customHeight="1">
      <c r="A169" s="639">
        <f>+A167+1</f>
        <v>100</v>
      </c>
      <c r="B169" s="1144"/>
      <c r="C169" s="1144" t="s">
        <v>310</v>
      </c>
      <c r="D169" s="1144" t="s">
        <v>343</v>
      </c>
      <c r="E169" s="1146"/>
      <c r="F169" s="1147" t="s">
        <v>341</v>
      </c>
      <c r="G169" s="1144"/>
      <c r="H169" s="1148">
        <f>+'WKSHT6 - Cost of Capital'!P12</f>
        <v>-16028852.34</v>
      </c>
      <c r="I169" s="26"/>
      <c r="J169" s="829"/>
      <c r="K169" s="503"/>
      <c r="L169" s="954"/>
      <c r="M169" s="426"/>
    </row>
    <row r="170" spans="1:13" ht="15.75" customHeight="1">
      <c r="A170" s="639">
        <f t="shared" si="3"/>
        <v>101</v>
      </c>
      <c r="B170" s="1144"/>
      <c r="C170" s="1144" t="s">
        <v>311</v>
      </c>
      <c r="D170" s="1144" t="s">
        <v>343</v>
      </c>
      <c r="E170" s="1146"/>
      <c r="F170" s="1147" t="s">
        <v>341</v>
      </c>
      <c r="G170" s="1144"/>
      <c r="H170" s="1148">
        <f>+'WKSHT6 - Cost of Capital'!P13</f>
        <v>-24296295.609230772</v>
      </c>
      <c r="I170" s="26"/>
      <c r="J170" s="829"/>
      <c r="K170" s="503"/>
      <c r="L170" s="954"/>
      <c r="M170" s="426"/>
    </row>
    <row r="171" spans="1:13" ht="15.75" customHeight="1">
      <c r="A171" s="639">
        <f t="shared" si="3"/>
        <v>102</v>
      </c>
      <c r="B171" s="1144"/>
      <c r="C171" s="1144" t="s">
        <v>312</v>
      </c>
      <c r="D171" s="1144" t="s">
        <v>343</v>
      </c>
      <c r="E171" s="1146"/>
      <c r="F171" s="1147" t="s">
        <v>341</v>
      </c>
      <c r="G171" s="1153"/>
      <c r="H171" s="1148">
        <f>+'WKSHT6 - Cost of Capital'!P14</f>
        <v>-34773047.453846157</v>
      </c>
      <c r="I171" s="26"/>
      <c r="J171" s="829"/>
      <c r="K171" s="503"/>
      <c r="L171" s="954"/>
      <c r="M171" s="426"/>
    </row>
    <row r="172" spans="1:13" ht="15.75" customHeight="1">
      <c r="A172" s="639">
        <f t="shared" si="3"/>
        <v>103</v>
      </c>
      <c r="B172" s="1144"/>
      <c r="C172" s="1144" t="s">
        <v>313</v>
      </c>
      <c r="D172" s="1144" t="s">
        <v>343</v>
      </c>
      <c r="E172" s="1146"/>
      <c r="F172" s="1147" t="s">
        <v>341</v>
      </c>
      <c r="G172" s="1153"/>
      <c r="H172" s="1148">
        <f>+'WKSHT6 - Cost of Capital'!P15</f>
        <v>0</v>
      </c>
      <c r="I172" s="26"/>
      <c r="J172" s="829"/>
      <c r="K172" s="503"/>
      <c r="L172" s="954"/>
      <c r="M172" s="426"/>
    </row>
    <row r="173" spans="1:13" ht="15.75" customHeight="1">
      <c r="A173" s="639">
        <f t="shared" si="3"/>
        <v>104</v>
      </c>
      <c r="B173" s="1144"/>
      <c r="C173" s="1149" t="s">
        <v>314</v>
      </c>
      <c r="D173" s="1149" t="s">
        <v>343</v>
      </c>
      <c r="E173" s="1150"/>
      <c r="F173" s="1151" t="s">
        <v>341</v>
      </c>
      <c r="G173" s="1154"/>
      <c r="H173" s="1152">
        <f>+'WKSHT6 - Cost of Capital'!P16</f>
        <v>0</v>
      </c>
      <c r="I173" s="26"/>
      <c r="J173" s="829"/>
      <c r="K173" s="503"/>
      <c r="L173" s="954"/>
      <c r="M173" s="426"/>
    </row>
    <row r="174" spans="1:13" ht="15.75" customHeight="1">
      <c r="A174" s="639">
        <f t="shared" si="3"/>
        <v>105</v>
      </c>
      <c r="B174" s="1144"/>
      <c r="C174" s="1144" t="s">
        <v>674</v>
      </c>
      <c r="D174" s="1144" t="str">
        <f>"(Sum Ln "&amp;A169&amp;" through "&amp;A173&amp;""</f>
        <v>(Sum Ln 100 through 104</v>
      </c>
      <c r="E174" s="1146"/>
      <c r="F174" s="1147"/>
      <c r="G174" s="1153"/>
      <c r="H174" s="1148">
        <f>SUM(H167:H173)</f>
        <v>4748761804.5969229</v>
      </c>
      <c r="I174" s="26"/>
      <c r="J174" s="829"/>
      <c r="K174" s="503"/>
      <c r="L174" s="954"/>
      <c r="M174" s="426"/>
    </row>
    <row r="175" spans="1:13" ht="15.75" customHeight="1">
      <c r="A175" s="639"/>
      <c r="B175" s="1144"/>
      <c r="C175" s="1144"/>
      <c r="D175" s="1144"/>
      <c r="E175" s="1146"/>
      <c r="F175" s="1147"/>
      <c r="G175" s="1153"/>
      <c r="H175" s="1148"/>
      <c r="I175" s="26"/>
      <c r="J175" s="829"/>
      <c r="K175" s="503"/>
      <c r="L175" s="954"/>
      <c r="M175" s="426"/>
    </row>
    <row r="176" spans="1:13" ht="15.75" customHeight="1">
      <c r="A176" s="639"/>
      <c r="B176" s="1140" t="s">
        <v>687</v>
      </c>
      <c r="C176" s="1144"/>
      <c r="D176" s="1144"/>
      <c r="E176" s="1146"/>
      <c r="F176" s="1147"/>
      <c r="G176" s="1144"/>
      <c r="H176" s="1148"/>
      <c r="I176" s="26"/>
      <c r="J176" s="829"/>
      <c r="K176" s="503"/>
      <c r="L176" s="954"/>
      <c r="M176" s="426"/>
    </row>
    <row r="177" spans="1:13" ht="15.75" customHeight="1">
      <c r="A177" s="639">
        <f>+A174+1</f>
        <v>106</v>
      </c>
      <c r="B177" s="1144"/>
      <c r="C177" s="1144" t="s">
        <v>315</v>
      </c>
      <c r="D177" s="1144" t="s">
        <v>343</v>
      </c>
      <c r="E177" s="1146"/>
      <c r="F177" s="1147" t="s">
        <v>341</v>
      </c>
      <c r="G177" s="1144"/>
      <c r="H177" s="1148">
        <f>+'WKSHT6 - Cost of Capital'!P24</f>
        <v>239715690</v>
      </c>
      <c r="I177" s="26"/>
      <c r="J177" s="829"/>
      <c r="K177" s="503"/>
      <c r="L177" s="954"/>
      <c r="M177" s="426"/>
    </row>
    <row r="178" spans="1:13" ht="15.75" customHeight="1">
      <c r="A178" s="639">
        <f t="shared" si="3"/>
        <v>107</v>
      </c>
      <c r="B178" s="1144"/>
      <c r="C178" s="1144" t="s">
        <v>316</v>
      </c>
      <c r="D178" s="1144" t="s">
        <v>343</v>
      </c>
      <c r="E178" s="1146"/>
      <c r="F178" s="1147" t="s">
        <v>341</v>
      </c>
      <c r="G178" s="1144"/>
      <c r="H178" s="1148">
        <f>+'WKSHT6 - Cost of Capital'!P25</f>
        <v>2651955.48</v>
      </c>
      <c r="I178" s="26"/>
      <c r="J178" s="829"/>
      <c r="K178" s="503"/>
      <c r="L178" s="954"/>
      <c r="M178" s="426"/>
    </row>
    <row r="179" spans="1:13" ht="15.75" customHeight="1">
      <c r="A179" s="639">
        <f>+A178+1</f>
        <v>108</v>
      </c>
      <c r="B179" s="1144"/>
      <c r="C179" s="1144" t="s">
        <v>317</v>
      </c>
      <c r="D179" s="1144" t="s">
        <v>343</v>
      </c>
      <c r="E179" s="1146"/>
      <c r="F179" s="1147" t="s">
        <v>341</v>
      </c>
      <c r="G179" s="1144"/>
      <c r="H179" s="1148">
        <f>+'WKSHT6 - Cost of Capital'!P26</f>
        <v>2168875.54</v>
      </c>
      <c r="I179" s="26"/>
      <c r="J179" s="829"/>
      <c r="K179" s="503"/>
      <c r="L179" s="954"/>
      <c r="M179" s="426"/>
    </row>
    <row r="180" spans="1:13" ht="15.75" customHeight="1">
      <c r="A180" s="639">
        <f t="shared" si="3"/>
        <v>109</v>
      </c>
      <c r="B180" s="1144"/>
      <c r="C180" s="1144" t="s">
        <v>318</v>
      </c>
      <c r="D180" s="1144" t="s">
        <v>343</v>
      </c>
      <c r="E180" s="1146"/>
      <c r="F180" s="1147" t="s">
        <v>341</v>
      </c>
      <c r="G180" s="1144"/>
      <c r="H180" s="1148">
        <f>+'WKSHT6 - Cost of Capital'!P27</f>
        <v>0</v>
      </c>
      <c r="I180" s="26"/>
      <c r="J180" s="829"/>
      <c r="K180" s="503"/>
      <c r="L180" s="954"/>
      <c r="M180" s="426"/>
    </row>
    <row r="181" spans="1:13" ht="15.75" customHeight="1">
      <c r="A181" s="639">
        <f>+A180+1</f>
        <v>110</v>
      </c>
      <c r="B181" s="1144"/>
      <c r="C181" s="1144" t="s">
        <v>336</v>
      </c>
      <c r="D181" s="1144" t="s">
        <v>343</v>
      </c>
      <c r="E181" s="1146"/>
      <c r="F181" s="1147" t="s">
        <v>342</v>
      </c>
      <c r="G181" s="1144"/>
      <c r="H181" s="1148">
        <v>0</v>
      </c>
      <c r="I181" s="26"/>
      <c r="J181" s="829"/>
      <c r="K181" s="503"/>
      <c r="L181" s="954"/>
      <c r="M181" s="426"/>
    </row>
    <row r="182" spans="1:13" ht="15.75" customHeight="1">
      <c r="A182" s="639">
        <f>+A181+1</f>
        <v>111</v>
      </c>
      <c r="B182" s="1144"/>
      <c r="C182" s="1149" t="s">
        <v>319</v>
      </c>
      <c r="D182" s="1149" t="s">
        <v>343</v>
      </c>
      <c r="E182" s="1150"/>
      <c r="F182" s="1151" t="s">
        <v>341</v>
      </c>
      <c r="G182" s="1152"/>
      <c r="H182" s="1152">
        <f>+'WKSHT6 - Cost of Capital'!P28</f>
        <v>0</v>
      </c>
      <c r="I182" s="26"/>
      <c r="J182" s="829"/>
      <c r="K182" s="503"/>
      <c r="L182" s="954"/>
      <c r="M182" s="426"/>
    </row>
    <row r="183" spans="1:13" ht="15.75" customHeight="1">
      <c r="A183" s="639">
        <f>+A182+1</f>
        <v>112</v>
      </c>
      <c r="B183" s="1144"/>
      <c r="C183" s="1144" t="s">
        <v>675</v>
      </c>
      <c r="D183" s="1144" t="str">
        <f>"(Sum Ln "&amp;A177&amp;" through "&amp;A183&amp;""</f>
        <v>(Sum Ln 106 through 112</v>
      </c>
      <c r="E183" s="1146"/>
      <c r="F183" s="1147"/>
      <c r="G183" s="1144"/>
      <c r="H183" s="1148">
        <f>SUM(H177:H182)</f>
        <v>244536521.01999998</v>
      </c>
      <c r="I183" s="26"/>
      <c r="J183" s="829"/>
      <c r="K183" s="1388"/>
      <c r="L183" s="954"/>
      <c r="M183" s="426"/>
    </row>
    <row r="184" spans="1:13" ht="15.75" customHeight="1">
      <c r="A184" s="639"/>
      <c r="B184" s="1144"/>
      <c r="C184" s="1144"/>
      <c r="D184" s="1144"/>
      <c r="E184" s="1146"/>
      <c r="F184" s="1147"/>
      <c r="G184" s="1144"/>
      <c r="H184" s="1148"/>
      <c r="I184" s="26"/>
      <c r="J184" s="829"/>
      <c r="K184" s="1388"/>
      <c r="L184" s="954"/>
      <c r="M184" s="426"/>
    </row>
    <row r="185" spans="1:13" ht="15.75" customHeight="1">
      <c r="A185" s="639"/>
      <c r="B185" s="1140" t="s">
        <v>345</v>
      </c>
      <c r="C185" s="1141"/>
      <c r="D185" s="1144"/>
      <c r="E185" s="1146"/>
      <c r="F185" s="1147"/>
      <c r="G185" s="1144"/>
      <c r="H185" s="1155"/>
      <c r="I185" s="26"/>
      <c r="J185" s="829"/>
      <c r="K185" s="1388"/>
      <c r="L185" s="954"/>
      <c r="M185" s="426"/>
    </row>
    <row r="186" spans="1:13" ht="15.75" customHeight="1">
      <c r="A186" s="639">
        <f>+A183+1</f>
        <v>113</v>
      </c>
      <c r="B186" s="1144"/>
      <c r="C186" s="1144" t="s">
        <v>320</v>
      </c>
      <c r="D186" s="1144" t="s">
        <v>343</v>
      </c>
      <c r="E186" s="1146"/>
      <c r="F186" s="1147"/>
      <c r="G186" s="1144"/>
      <c r="H186" s="1148">
        <f>+'WKSHT6 - Cost of Capital'!P32</f>
        <v>0</v>
      </c>
      <c r="I186" s="26"/>
      <c r="J186" s="829"/>
      <c r="K186" s="1388"/>
      <c r="L186" s="954"/>
      <c r="M186" s="426"/>
    </row>
    <row r="187" spans="1:13" ht="15.75" customHeight="1">
      <c r="A187" s="639">
        <f t="shared" si="3"/>
        <v>114</v>
      </c>
      <c r="B187" s="1144"/>
      <c r="C187" s="1144" t="s">
        <v>321</v>
      </c>
      <c r="D187" s="1144" t="s">
        <v>343</v>
      </c>
      <c r="E187" s="1146"/>
      <c r="F187" s="1147"/>
      <c r="G187" s="1144"/>
      <c r="H187" s="1148">
        <f>+'WKSHT6 - Cost of Capital'!P33</f>
        <v>0</v>
      </c>
      <c r="I187" s="26"/>
      <c r="J187" s="829"/>
      <c r="K187" s="1388"/>
      <c r="L187" s="954"/>
      <c r="M187" s="426"/>
    </row>
    <row r="188" spans="1:13" ht="15.75" customHeight="1">
      <c r="A188" s="639">
        <f t="shared" si="3"/>
        <v>115</v>
      </c>
      <c r="B188" s="1144"/>
      <c r="C188" s="1144" t="s">
        <v>322</v>
      </c>
      <c r="D188" s="1144" t="s">
        <v>343</v>
      </c>
      <c r="E188" s="1146"/>
      <c r="F188" s="1147"/>
      <c r="G188" s="1144"/>
      <c r="H188" s="1148">
        <f>+'WKSHT6 - Cost of Capital'!P34</f>
        <v>0</v>
      </c>
      <c r="I188" s="26"/>
      <c r="J188" s="829"/>
      <c r="K188" s="1388"/>
      <c r="L188" s="954"/>
      <c r="M188" s="426"/>
    </row>
    <row r="189" spans="1:13" ht="15.75" customHeight="1">
      <c r="A189" s="639">
        <f t="shared" si="3"/>
        <v>116</v>
      </c>
      <c r="B189" s="1144"/>
      <c r="C189" s="1144" t="s">
        <v>323</v>
      </c>
      <c r="D189" s="1144" t="s">
        <v>343</v>
      </c>
      <c r="E189" s="1146"/>
      <c r="F189" s="1147"/>
      <c r="G189" s="1144"/>
      <c r="H189" s="1148">
        <f>+'WKSHT6 - Cost of Capital'!P35</f>
        <v>0</v>
      </c>
      <c r="I189" s="26"/>
      <c r="J189" s="829"/>
      <c r="K189" s="503"/>
      <c r="L189" s="954"/>
      <c r="M189" s="426"/>
    </row>
    <row r="190" spans="1:13" ht="15.75" customHeight="1">
      <c r="A190" s="639">
        <f t="shared" si="3"/>
        <v>117</v>
      </c>
      <c r="B190" s="1144"/>
      <c r="C190" s="1144" t="s">
        <v>324</v>
      </c>
      <c r="D190" s="1144" t="s">
        <v>343</v>
      </c>
      <c r="E190" s="1146"/>
      <c r="F190" s="1147"/>
      <c r="G190" s="1144"/>
      <c r="H190" s="1148">
        <f>+'WKSHT6 - Cost of Capital'!P36</f>
        <v>0</v>
      </c>
      <c r="I190" s="26"/>
      <c r="J190" s="829"/>
      <c r="K190" s="1388"/>
      <c r="L190" s="954"/>
      <c r="M190" s="426"/>
    </row>
    <row r="191" spans="1:13" ht="15.75" customHeight="1">
      <c r="A191" s="639">
        <f t="shared" si="3"/>
        <v>118</v>
      </c>
      <c r="B191" s="1144"/>
      <c r="C191" s="1149" t="s">
        <v>325</v>
      </c>
      <c r="D191" s="1149" t="s">
        <v>343</v>
      </c>
      <c r="E191" s="1150"/>
      <c r="F191" s="1151"/>
      <c r="G191" s="1152"/>
      <c r="H191" s="1152">
        <f>+'WKSHT6 - Cost of Capital'!P37</f>
        <v>0</v>
      </c>
      <c r="I191" s="26"/>
      <c r="J191" s="829"/>
      <c r="K191" s="1388"/>
      <c r="L191" s="954"/>
      <c r="M191" s="426"/>
    </row>
    <row r="192" spans="1:13" ht="15.75" customHeight="1">
      <c r="A192" s="639">
        <f t="shared" si="3"/>
        <v>119</v>
      </c>
      <c r="B192" s="1144"/>
      <c r="C192" s="1144" t="s">
        <v>326</v>
      </c>
      <c r="D192" s="1144" t="str">
        <f>"(Sum Ln "&amp;A186&amp;" through "&amp;A191&amp;""</f>
        <v>(Sum Ln 113 through 118</v>
      </c>
      <c r="E192" s="1144"/>
      <c r="F192" s="1143"/>
      <c r="G192" s="1144"/>
      <c r="H192" s="1148">
        <f>SUM(H186:H191)</f>
        <v>0</v>
      </c>
      <c r="I192" s="26"/>
      <c r="J192" s="829"/>
      <c r="K192" s="1388"/>
      <c r="L192" s="954"/>
      <c r="M192" s="426"/>
    </row>
    <row r="193" spans="1:13" ht="15.75" customHeight="1">
      <c r="A193" s="639"/>
      <c r="B193" s="1144"/>
      <c r="C193" s="1144"/>
      <c r="D193" s="1144"/>
      <c r="E193" s="1144"/>
      <c r="F193" s="1143"/>
      <c r="G193" s="1144"/>
      <c r="H193" s="1148"/>
      <c r="I193" s="26"/>
      <c r="J193" s="829"/>
      <c r="K193" s="1388"/>
      <c r="L193" s="954"/>
      <c r="M193" s="426"/>
    </row>
    <row r="194" spans="1:13" ht="15.75" customHeight="1">
      <c r="A194" s="639">
        <f>+A192+1</f>
        <v>120</v>
      </c>
      <c r="B194" s="1144"/>
      <c r="C194" s="1144" t="s">
        <v>676</v>
      </c>
      <c r="D194" s="1144" t="s">
        <v>343</v>
      </c>
      <c r="E194" s="1146"/>
      <c r="F194" s="1147" t="s">
        <v>327</v>
      </c>
      <c r="G194" s="1144"/>
      <c r="H194" s="1148">
        <f>+'WKSHT6 - Cost of Capital'!P39</f>
        <v>0</v>
      </c>
      <c r="I194" s="26"/>
      <c r="J194" s="829"/>
      <c r="K194" s="1388"/>
      <c r="L194" s="954"/>
      <c r="M194" s="426"/>
    </row>
    <row r="195" spans="1:13" ht="15.75" customHeight="1">
      <c r="A195" s="639"/>
      <c r="B195" s="1144"/>
      <c r="C195" s="1144"/>
      <c r="D195" s="1144"/>
      <c r="E195" s="1146"/>
      <c r="F195" s="1147"/>
      <c r="G195" s="1144"/>
      <c r="H195" s="1148"/>
      <c r="I195" s="26"/>
      <c r="J195" s="829"/>
      <c r="K195" s="503"/>
      <c r="L195" s="954"/>
      <c r="M195" s="426"/>
    </row>
    <row r="196" spans="1:13" ht="15.75" customHeight="1">
      <c r="A196" s="639"/>
      <c r="B196" s="1140" t="s">
        <v>740</v>
      </c>
      <c r="C196" s="1141"/>
      <c r="D196" s="1144"/>
      <c r="E196" s="1146"/>
      <c r="F196" s="1147"/>
      <c r="G196" s="1144"/>
      <c r="H196" s="1155"/>
      <c r="I196" s="26"/>
      <c r="J196" s="829"/>
      <c r="K196" s="503"/>
      <c r="L196" s="954"/>
      <c r="M196" s="426"/>
    </row>
    <row r="197" spans="1:13" ht="15.75" customHeight="1">
      <c r="A197" s="639">
        <f>+A194+1</f>
        <v>121</v>
      </c>
      <c r="B197" s="1144"/>
      <c r="C197" s="1144" t="s">
        <v>853</v>
      </c>
      <c r="D197" s="1144" t="s">
        <v>343</v>
      </c>
      <c r="E197" s="1146"/>
      <c r="F197" s="1147"/>
      <c r="G197" s="1144"/>
      <c r="H197" s="1148">
        <f>+'WKSHT6 - Cost of Capital'!P42</f>
        <v>4496482815.6038456</v>
      </c>
      <c r="I197" s="26"/>
      <c r="J197" s="829"/>
      <c r="K197" s="503"/>
      <c r="L197" s="954"/>
      <c r="M197" s="426"/>
    </row>
    <row r="198" spans="1:13" ht="15.75" customHeight="1">
      <c r="A198" s="639">
        <f t="shared" si="3"/>
        <v>122</v>
      </c>
      <c r="B198" s="1144"/>
      <c r="C198" s="1144" t="s">
        <v>328</v>
      </c>
      <c r="D198" s="1144" t="s">
        <v>343</v>
      </c>
      <c r="E198" s="1146"/>
      <c r="F198" s="1147"/>
      <c r="G198" s="1144"/>
      <c r="H198" s="1148">
        <f>+'WKSHT6 - Cost of Capital'!P43</f>
        <v>0</v>
      </c>
      <c r="I198" s="26"/>
      <c r="J198" s="829"/>
      <c r="K198" s="503"/>
      <c r="L198" s="954"/>
      <c r="M198" s="426"/>
    </row>
    <row r="199" spans="1:13" ht="15.75" customHeight="1">
      <c r="A199" s="639">
        <f t="shared" si="3"/>
        <v>123</v>
      </c>
      <c r="B199" s="1144"/>
      <c r="C199" s="1144" t="s">
        <v>329</v>
      </c>
      <c r="D199" s="1144" t="s">
        <v>343</v>
      </c>
      <c r="E199" s="1146"/>
      <c r="F199" s="1147"/>
      <c r="G199" s="1144"/>
      <c r="H199" s="1148">
        <f>+'WKSHT6 - Cost of Capital'!P44</f>
        <v>-13532952.703846155</v>
      </c>
      <c r="I199" s="26"/>
      <c r="J199" s="829"/>
      <c r="K199" s="503"/>
      <c r="L199" s="954"/>
      <c r="M199" s="426"/>
    </row>
    <row r="200" spans="1:13" ht="15.75" customHeight="1">
      <c r="A200" s="639">
        <f t="shared" si="3"/>
        <v>124</v>
      </c>
      <c r="B200" s="1144"/>
      <c r="C200" s="1149" t="s">
        <v>330</v>
      </c>
      <c r="D200" s="1149" t="s">
        <v>343</v>
      </c>
      <c r="E200" s="1150"/>
      <c r="F200" s="1151"/>
      <c r="G200" s="1152"/>
      <c r="H200" s="1152">
        <f>+'WKSHT6 - Cost of Capital'!P45</f>
        <v>-105696403.38846156</v>
      </c>
      <c r="I200" s="26"/>
      <c r="J200" s="829"/>
      <c r="K200" s="503"/>
      <c r="L200" s="954"/>
      <c r="M200" s="426"/>
    </row>
    <row r="201" spans="1:13" ht="15.75" customHeight="1">
      <c r="A201" s="639">
        <f t="shared" si="3"/>
        <v>125</v>
      </c>
      <c r="B201" s="1144"/>
      <c r="C201" s="1144" t="s">
        <v>677</v>
      </c>
      <c r="D201" s="1144" t="str">
        <f>"(Sum Ln "&amp;A197&amp;" through "&amp;A200&amp;""</f>
        <v>(Sum Ln 121 through 124</v>
      </c>
      <c r="E201" s="1144"/>
      <c r="F201" s="1143"/>
      <c r="G201" s="1144"/>
      <c r="H201" s="1148">
        <f>+H197-H198-H199-H200</f>
        <v>4615712171.6961527</v>
      </c>
      <c r="I201" s="26"/>
      <c r="J201" s="829"/>
      <c r="K201" s="503"/>
      <c r="L201" s="954"/>
      <c r="M201" s="426"/>
    </row>
    <row r="202" spans="1:13" ht="15.75" customHeight="1">
      <c r="A202" s="639"/>
      <c r="B202" s="1144"/>
      <c r="C202" s="1144"/>
      <c r="D202" s="1144"/>
      <c r="E202" s="1144"/>
      <c r="F202" s="1143"/>
      <c r="G202" s="1144"/>
      <c r="H202" s="1148"/>
      <c r="I202" s="26"/>
      <c r="J202" s="829"/>
      <c r="K202" s="503"/>
      <c r="L202" s="954"/>
      <c r="M202" s="426"/>
    </row>
    <row r="203" spans="1:13" ht="15.75" customHeight="1">
      <c r="A203" s="639">
        <f>+A201+1</f>
        <v>126</v>
      </c>
      <c r="B203" s="36"/>
      <c r="C203" s="390" t="s">
        <v>331</v>
      </c>
      <c r="D203" s="393" t="s">
        <v>745</v>
      </c>
      <c r="E203" s="71" t="s">
        <v>107</v>
      </c>
      <c r="F203" s="1039" t="str">
        <f>"1 minus Sum Lines "&amp;A204&amp;" &amp; "&amp;A205&amp;"))"</f>
        <v>1 minus Sum Lines 127 &amp; 128))</v>
      </c>
      <c r="G203" s="328"/>
      <c r="H203" s="921">
        <f>1-H204-H205</f>
        <v>0.51102527871591263</v>
      </c>
      <c r="I203" s="26"/>
      <c r="J203" s="829"/>
      <c r="K203" s="503"/>
      <c r="L203" s="954"/>
      <c r="M203" s="426"/>
    </row>
    <row r="204" spans="1:13" ht="15.75" customHeight="1">
      <c r="A204" s="639">
        <f>+A203+1</f>
        <v>127</v>
      </c>
      <c r="B204" s="36"/>
      <c r="C204" s="390" t="s">
        <v>332</v>
      </c>
      <c r="D204" s="393" t="s">
        <v>765</v>
      </c>
      <c r="E204" s="71"/>
      <c r="F204" s="1029" t="str">
        <f>"(Line "&amp;A192&amp;" / (Lines "&amp;A$167&amp;" + "&amp;A$192&amp;" +"&amp;A$201&amp;"))"</f>
        <v>(Line 119 / (Lines 99 + 119 +125))</v>
      </c>
      <c r="G204" s="328"/>
      <c r="H204" s="1156">
        <f>H192/(H167+H192+H201)</f>
        <v>0</v>
      </c>
      <c r="I204" s="26"/>
      <c r="J204" s="829"/>
      <c r="K204" s="503"/>
      <c r="L204" s="954"/>
      <c r="M204" s="426"/>
    </row>
    <row r="205" spans="1:13" ht="15.75" customHeight="1">
      <c r="A205" s="639">
        <f>+A204+1</f>
        <v>128</v>
      </c>
      <c r="B205" s="36"/>
      <c r="C205" s="390" t="s">
        <v>333</v>
      </c>
      <c r="D205" s="393" t="s">
        <v>770</v>
      </c>
      <c r="E205" s="71"/>
      <c r="F205" s="1039" t="str">
        <f>"Lesser of 50% or (Line "&amp;A201&amp;" / (Lines "&amp;A$167&amp;" + "&amp;A$192&amp;" +"&amp;A$201&amp;"))"</f>
        <v>Lesser of 50% or (Line 125 / (Lines 99 + 119 +125))</v>
      </c>
      <c r="G205" s="328"/>
      <c r="H205" s="1156">
        <f>IF(H201/(H167+H192+H201)&gt;0.5,0.5,H201/(H167+H192+H201))</f>
        <v>0.48897472128408731</v>
      </c>
      <c r="I205" s="26"/>
      <c r="J205" s="829"/>
      <c r="K205" s="503"/>
      <c r="L205" s="954"/>
      <c r="M205" s="426"/>
    </row>
    <row r="206" spans="1:13" ht="18">
      <c r="A206" s="639"/>
      <c r="B206" s="36"/>
      <c r="C206" s="1157"/>
      <c r="D206" s="25"/>
      <c r="E206" s="74"/>
      <c r="F206" s="1029"/>
      <c r="G206" s="328"/>
      <c r="H206" s="1387"/>
      <c r="I206" s="26"/>
      <c r="J206" s="829"/>
      <c r="K206" s="503"/>
      <c r="L206" s="954"/>
      <c r="M206" s="426"/>
    </row>
    <row r="207" spans="1:13" ht="15.75" customHeight="1">
      <c r="A207" s="639"/>
      <c r="B207" s="36"/>
      <c r="C207" s="1157"/>
      <c r="D207" s="25"/>
      <c r="E207" s="74"/>
      <c r="F207" s="1029"/>
      <c r="G207" s="509"/>
      <c r="H207" s="829"/>
      <c r="I207" s="26"/>
      <c r="J207" s="829"/>
      <c r="K207" s="503"/>
      <c r="L207" s="954"/>
      <c r="M207" s="426"/>
    </row>
    <row r="208" spans="1:13" ht="66.75" customHeight="1">
      <c r="A208" s="639">
        <f>+A205+1</f>
        <v>129</v>
      </c>
      <c r="B208" s="36"/>
      <c r="C208" s="1157" t="s">
        <v>911</v>
      </c>
      <c r="D208" s="1158" t="s">
        <v>334</v>
      </c>
      <c r="E208" s="74"/>
      <c r="F208" s="1029" t="str">
        <f>"(Line "&amp;A183&amp;" / Line "&amp;A174&amp;")"</f>
        <v>(Line 112 / Line 105)</v>
      </c>
      <c r="G208" s="328"/>
      <c r="H208" s="921">
        <f>H183/H174</f>
        <v>5.1494796134706602E-2</v>
      </c>
      <c r="I208" s="26"/>
      <c r="J208" s="829"/>
      <c r="K208" s="503"/>
      <c r="L208" s="954"/>
      <c r="M208" s="426"/>
    </row>
    <row r="209" spans="1:13" ht="15.75" customHeight="1">
      <c r="A209" s="639">
        <f>+A208+1</f>
        <v>130</v>
      </c>
      <c r="B209" s="36"/>
      <c r="C209" s="1157" t="s">
        <v>917</v>
      </c>
      <c r="D209" s="1158" t="s">
        <v>335</v>
      </c>
      <c r="E209" s="74"/>
      <c r="F209" s="1029" t="str">
        <f>"(Line "&amp;A194&amp;" / Line "&amp;A192&amp;")"</f>
        <v>(Line 120 / Line 119)</v>
      </c>
      <c r="G209" s="328"/>
      <c r="H209" s="921">
        <f>IF(H194=0,0,H194/H192)</f>
        <v>0</v>
      </c>
      <c r="I209" s="26"/>
      <c r="J209" s="829"/>
      <c r="K209" s="503"/>
      <c r="L209" s="954"/>
      <c r="M209" s="426"/>
    </row>
    <row r="210" spans="1:13" ht="15.75" customHeight="1">
      <c r="A210" s="639">
        <f>+A209+1</f>
        <v>131</v>
      </c>
      <c r="B210" s="36"/>
      <c r="C210" s="1157" t="s">
        <v>912</v>
      </c>
      <c r="D210" s="393" t="s">
        <v>740</v>
      </c>
      <c r="E210" s="71" t="str">
        <f>"(Note "&amp;B306&amp;")"</f>
        <v>(Note J)</v>
      </c>
      <c r="F210" s="1029" t="s">
        <v>894</v>
      </c>
      <c r="G210" s="328"/>
      <c r="H210" s="921">
        <v>9.8000000000000004E-2</v>
      </c>
      <c r="I210" s="26"/>
      <c r="J210" s="829"/>
      <c r="K210" s="503"/>
      <c r="L210" s="954"/>
      <c r="M210" s="426"/>
    </row>
    <row r="211" spans="1:13" ht="15.75" customHeight="1">
      <c r="A211" s="639"/>
      <c r="B211" s="36"/>
      <c r="C211" s="1157"/>
      <c r="D211" s="393"/>
      <c r="E211" s="71"/>
      <c r="F211" s="1029"/>
      <c r="G211" s="328"/>
      <c r="H211" s="921"/>
      <c r="I211" s="26"/>
      <c r="J211" s="829"/>
      <c r="K211" s="503"/>
      <c r="L211" s="954"/>
      <c r="M211" s="426"/>
    </row>
    <row r="212" spans="1:13" ht="15.75" customHeight="1">
      <c r="A212" s="639">
        <f>+A210+1</f>
        <v>132</v>
      </c>
      <c r="B212" s="69"/>
      <c r="C212" s="390" t="s">
        <v>913</v>
      </c>
      <c r="D212" s="393"/>
      <c r="E212" s="74"/>
      <c r="F212" s="1029" t="str">
        <f>"(Line "&amp;A203&amp;" * "&amp;A208&amp;")"</f>
        <v>(Line 126 * 129)</v>
      </c>
      <c r="G212" s="104"/>
      <c r="H212" s="922">
        <f>+H203*H208</f>
        <v>2.6315142547157541E-2</v>
      </c>
      <c r="I212" s="426"/>
      <c r="J212" s="503"/>
      <c r="K212" s="503"/>
      <c r="L212" s="954"/>
      <c r="M212" s="426"/>
    </row>
    <row r="213" spans="1:13" ht="15.75" customHeight="1">
      <c r="A213" s="639">
        <f>+A212+1</f>
        <v>133</v>
      </c>
      <c r="B213" s="69"/>
      <c r="C213" s="390" t="s">
        <v>943</v>
      </c>
      <c r="D213" s="393"/>
      <c r="E213" s="74"/>
      <c r="F213" s="1029" t="str">
        <f>"(Line "&amp;A204&amp;" * "&amp;A209&amp;")"</f>
        <v>(Line 127 * 130)</v>
      </c>
      <c r="G213" s="104"/>
      <c r="H213" s="922">
        <f>+H204*H209</f>
        <v>0</v>
      </c>
      <c r="I213" s="426"/>
      <c r="J213" s="503"/>
      <c r="K213" s="503"/>
      <c r="L213" s="954"/>
      <c r="M213" s="426"/>
    </row>
    <row r="214" spans="1:13" ht="15.75" customHeight="1">
      <c r="A214" s="639">
        <f>+A213+1</f>
        <v>134</v>
      </c>
      <c r="B214" s="60"/>
      <c r="C214" s="33" t="s">
        <v>914</v>
      </c>
      <c r="D214" s="322"/>
      <c r="E214" s="67"/>
      <c r="F214" s="1036" t="str">
        <f>"(Line "&amp;A205&amp;" * "&amp;A210&amp;")"</f>
        <v>(Line 128 * 131)</v>
      </c>
      <c r="G214" s="790"/>
      <c r="H214" s="925">
        <f>+H205*H210</f>
        <v>4.7919522685840557E-2</v>
      </c>
      <c r="I214" s="426"/>
      <c r="J214" s="502"/>
      <c r="K214" s="502"/>
      <c r="L214" s="963"/>
      <c r="M214" s="426"/>
    </row>
    <row r="215" spans="1:13" s="1" customFormat="1" ht="15.75" customHeight="1">
      <c r="A215" s="955">
        <f>+A214+1</f>
        <v>135</v>
      </c>
      <c r="B215" s="27" t="s">
        <v>746</v>
      </c>
      <c r="C215" s="27"/>
      <c r="D215" s="47"/>
      <c r="E215" s="68"/>
      <c r="F215" s="1023" t="str">
        <f>"(Sum Lines "&amp;A212&amp;" to "&amp;A214&amp;")"</f>
        <v>(Sum Lines 132 to 134)</v>
      </c>
      <c r="G215" s="443"/>
      <c r="H215" s="926">
        <f>SUM(H212:H214)</f>
        <v>7.4234665232998098E-2</v>
      </c>
      <c r="I215" s="973"/>
      <c r="J215" s="513"/>
      <c r="K215" s="513"/>
      <c r="L215" s="1002"/>
      <c r="M215" s="973"/>
    </row>
    <row r="216" spans="1:13" s="1" customFormat="1" ht="15.75" customHeight="1">
      <c r="A216" s="1003"/>
      <c r="B216" s="408"/>
      <c r="C216" s="27"/>
      <c r="D216" s="47"/>
      <c r="E216" s="68"/>
      <c r="F216" s="1049"/>
      <c r="G216" s="443"/>
      <c r="H216" s="927"/>
      <c r="I216" s="973"/>
      <c r="J216" s="513"/>
      <c r="K216" s="513"/>
      <c r="L216" s="1002"/>
      <c r="M216" s="973"/>
    </row>
    <row r="217" spans="1:13" ht="16.5" customHeight="1" thickBot="1">
      <c r="A217" s="955">
        <f>+A215+1</f>
        <v>136</v>
      </c>
      <c r="B217" s="39" t="s">
        <v>817</v>
      </c>
      <c r="C217" s="38"/>
      <c r="D217" s="37"/>
      <c r="E217" s="439"/>
      <c r="F217" s="1038" t="str">
        <f>"(Line "&amp;A102&amp;" * "&amp;A215&amp;")"</f>
        <v>(Line 59 * 135)</v>
      </c>
      <c r="G217" s="1069"/>
      <c r="H217" s="1038">
        <f>+H102*H215</f>
        <v>70565356.02399008</v>
      </c>
      <c r="I217" s="1065"/>
      <c r="J217" s="514">
        <f>$H$217*J103</f>
        <v>65386997.033126153</v>
      </c>
      <c r="K217" s="514">
        <f>+H215*K102</f>
        <v>1803354.1707109017</v>
      </c>
      <c r="L217" s="995">
        <f>$H$217*L103</f>
        <v>3375004.820153025</v>
      </c>
      <c r="M217" s="426"/>
    </row>
    <row r="218" spans="1:13" ht="16.5" customHeight="1" thickTop="1">
      <c r="A218" s="955"/>
      <c r="B218" s="23"/>
      <c r="C218" s="381"/>
      <c r="D218" s="21"/>
      <c r="E218" s="61"/>
      <c r="F218" s="1023"/>
      <c r="G218" s="97"/>
      <c r="H218" s="928"/>
      <c r="I218" s="426"/>
      <c r="J218" s="502"/>
      <c r="K218" s="502"/>
      <c r="L218" s="963"/>
      <c r="M218" s="426"/>
    </row>
    <row r="219" spans="1:13" ht="15.75" customHeight="1">
      <c r="A219" s="966" t="s">
        <v>603</v>
      </c>
      <c r="B219" s="29"/>
      <c r="C219" s="992"/>
      <c r="D219" s="40"/>
      <c r="E219" s="101"/>
      <c r="F219" s="1033"/>
      <c r="G219" s="979"/>
      <c r="H219" s="908"/>
      <c r="I219" s="967"/>
      <c r="J219" s="506"/>
      <c r="K219" s="506"/>
      <c r="L219" s="968"/>
      <c r="M219" s="426"/>
    </row>
    <row r="220" spans="1:13" ht="15.75" customHeight="1">
      <c r="A220" s="1004"/>
      <c r="B220" s="23"/>
      <c r="C220" s="11"/>
      <c r="D220" s="25"/>
      <c r="E220" s="382"/>
      <c r="F220" s="1026"/>
      <c r="G220" s="97"/>
      <c r="H220" s="522"/>
      <c r="I220" s="426"/>
      <c r="J220" s="502"/>
      <c r="K220" s="502"/>
      <c r="L220" s="963"/>
      <c r="M220" s="426"/>
    </row>
    <row r="221" spans="1:13" ht="15.75" customHeight="1">
      <c r="A221" s="955" t="s">
        <v>760</v>
      </c>
      <c r="B221" s="48" t="s">
        <v>818</v>
      </c>
      <c r="C221" s="21"/>
      <c r="D221" s="21"/>
      <c r="E221" s="382"/>
      <c r="F221" s="1023"/>
      <c r="G221" s="97"/>
      <c r="H221" s="929"/>
      <c r="I221" s="426"/>
      <c r="J221" s="502"/>
      <c r="K221" s="502"/>
      <c r="L221" s="963"/>
      <c r="M221" s="426"/>
    </row>
    <row r="222" spans="1:13" ht="15.75" customHeight="1">
      <c r="A222" s="955">
        <f>+A217+1</f>
        <v>137</v>
      </c>
      <c r="B222" s="23"/>
      <c r="C222" s="21" t="s">
        <v>816</v>
      </c>
      <c r="D222" s="21"/>
      <c r="E222" s="61"/>
      <c r="F222" s="1026"/>
      <c r="G222" s="97"/>
      <c r="H222" s="930">
        <v>0.21</v>
      </c>
      <c r="I222" s="426"/>
      <c r="J222" s="502"/>
      <c r="K222" s="502"/>
      <c r="L222" s="963"/>
      <c r="M222" s="426"/>
    </row>
    <row r="223" spans="1:13" ht="15.75" customHeight="1">
      <c r="A223" s="955">
        <f>+A222+1</f>
        <v>138</v>
      </c>
      <c r="B223" s="23"/>
      <c r="C223" s="1005" t="s">
        <v>815</v>
      </c>
      <c r="D223" s="1006"/>
      <c r="E223" s="71" t="str">
        <f>"(Note "&amp;B$305&amp;")"</f>
        <v>(Note I)</v>
      </c>
      <c r="F223" s="1026"/>
      <c r="G223" s="97"/>
      <c r="H223" s="930">
        <v>0</v>
      </c>
      <c r="I223" s="426"/>
      <c r="J223" s="502"/>
      <c r="K223" s="502"/>
      <c r="L223" s="963"/>
      <c r="M223" s="426"/>
    </row>
    <row r="224" spans="1:13" ht="15.75" customHeight="1">
      <c r="A224" s="955">
        <f>+A223+1</f>
        <v>139</v>
      </c>
      <c r="B224" s="23"/>
      <c r="C224" s="1005" t="s">
        <v>888</v>
      </c>
      <c r="D224" s="1005" t="s">
        <v>889</v>
      </c>
      <c r="E224" s="61"/>
      <c r="F224" s="1026" t="s">
        <v>727</v>
      </c>
      <c r="G224" s="97"/>
      <c r="H224" s="930">
        <v>0</v>
      </c>
      <c r="I224" s="426"/>
      <c r="J224" s="502"/>
      <c r="K224" s="502"/>
      <c r="L224" s="963"/>
      <c r="M224" s="426"/>
    </row>
    <row r="225" spans="1:13" ht="15.75" customHeight="1">
      <c r="A225" s="955">
        <f>+A224+1</f>
        <v>140</v>
      </c>
      <c r="B225" s="23"/>
      <c r="C225" s="1005" t="s">
        <v>617</v>
      </c>
      <c r="D225" s="394" t="s">
        <v>908</v>
      </c>
      <c r="E225" s="61"/>
      <c r="F225" s="1026"/>
      <c r="G225" s="97"/>
      <c r="H225" s="931">
        <f>IF(H222&gt;0,1-(((1-H223)*(1-H222))/(1-H223*H222*H224)),0)</f>
        <v>0.20999999999999996</v>
      </c>
      <c r="I225" s="426"/>
      <c r="J225" s="502"/>
      <c r="K225" s="502"/>
      <c r="L225" s="963"/>
      <c r="M225" s="426"/>
    </row>
    <row r="226" spans="1:13" ht="15.75" customHeight="1">
      <c r="A226" s="955">
        <f>+A225+1</f>
        <v>141</v>
      </c>
      <c r="B226" s="23"/>
      <c r="C226" s="1005" t="s">
        <v>887</v>
      </c>
      <c r="D226" s="1006"/>
      <c r="E226" s="61"/>
      <c r="F226" s="1026"/>
      <c r="G226" s="97"/>
      <c r="H226" s="930">
        <f>+H225/(1-H225)</f>
        <v>0.2658227848101265</v>
      </c>
      <c r="I226" s="426"/>
      <c r="J226" s="502"/>
      <c r="K226" s="502"/>
      <c r="L226" s="963"/>
      <c r="M226" s="426"/>
    </row>
    <row r="227" spans="1:13" ht="15.75" customHeight="1">
      <c r="A227" s="955"/>
      <c r="B227" s="23"/>
      <c r="C227" s="21"/>
      <c r="D227" s="21"/>
      <c r="E227" s="1007"/>
      <c r="F227" s="1050"/>
      <c r="G227" s="97"/>
      <c r="H227" s="931"/>
      <c r="I227" s="426"/>
      <c r="J227" s="502"/>
      <c r="K227" s="502"/>
      <c r="L227" s="963"/>
      <c r="M227" s="426"/>
    </row>
    <row r="228" spans="1:13" ht="15.75" customHeight="1">
      <c r="A228" s="955"/>
      <c r="B228" s="48" t="s">
        <v>813</v>
      </c>
      <c r="C228" s="381"/>
      <c r="D228" s="21"/>
      <c r="E228" s="71" t="str">
        <f>"(Note "&amp;B$305&amp;")"</f>
        <v>(Note I)</v>
      </c>
      <c r="F228" s="1023"/>
      <c r="G228" s="97"/>
      <c r="H228" s="932"/>
      <c r="I228" s="426"/>
      <c r="J228" s="502"/>
      <c r="K228" s="502"/>
      <c r="L228" s="963"/>
      <c r="M228" s="426"/>
    </row>
    <row r="229" spans="1:13" ht="15.75" customHeight="1">
      <c r="A229" s="955">
        <f>+A226+1</f>
        <v>142</v>
      </c>
      <c r="B229" s="23"/>
      <c r="C229" s="393" t="s">
        <v>483</v>
      </c>
      <c r="D229" s="25" t="str">
        <f>"(Note "&amp;$B$297&amp;")"</f>
        <v>(Note A)</v>
      </c>
      <c r="E229" s="959" t="s">
        <v>893</v>
      </c>
      <c r="F229" s="1048" t="s">
        <v>667</v>
      </c>
      <c r="G229" s="104"/>
      <c r="H229" s="509">
        <f>+'1 - ADIT'!H132</f>
        <v>0</v>
      </c>
      <c r="I229" s="944"/>
      <c r="J229" s="543"/>
      <c r="K229" s="502"/>
      <c r="L229" s="963"/>
      <c r="M229" s="426"/>
    </row>
    <row r="230" spans="1:13" ht="15.75" customHeight="1">
      <c r="A230" s="955">
        <f>+A229+1</f>
        <v>143</v>
      </c>
      <c r="B230" s="23"/>
      <c r="C230" s="393" t="s">
        <v>277</v>
      </c>
      <c r="D230" s="25"/>
      <c r="E230" s="23"/>
      <c r="F230" s="1029" t="str">
        <f>"(1 / (1-Line "&amp;A225&amp;"))"</f>
        <v>(1 / (1-Line 140))</v>
      </c>
      <c r="G230" s="104"/>
      <c r="H230" s="921">
        <f>1/(1-H225)</f>
        <v>1.2658227848101264</v>
      </c>
      <c r="I230" s="426"/>
      <c r="J230" s="502"/>
      <c r="K230" s="502"/>
      <c r="L230" s="963"/>
      <c r="M230" s="426"/>
    </row>
    <row r="231" spans="1:13" ht="15.75" customHeight="1">
      <c r="A231" s="955">
        <f>+A230+1</f>
        <v>144</v>
      </c>
      <c r="B231" s="23"/>
      <c r="C231" s="381" t="s">
        <v>808</v>
      </c>
      <c r="D231" s="32"/>
      <c r="E231" s="60"/>
      <c r="F231" s="1036" t="str">
        <f>"(Line "&amp;A$26&amp;")"</f>
        <v>(Line 14)</v>
      </c>
      <c r="G231" s="1053"/>
      <c r="H231" s="919">
        <f>+H26</f>
        <v>0.18826123213657034</v>
      </c>
      <c r="I231" s="426"/>
      <c r="J231" s="502"/>
      <c r="K231" s="502"/>
      <c r="L231" s="963"/>
      <c r="M231" s="426"/>
    </row>
    <row r="232" spans="1:13" ht="15.75" customHeight="1">
      <c r="A232" s="955">
        <f>+A231+1</f>
        <v>145</v>
      </c>
      <c r="B232" s="23"/>
      <c r="C232" s="49" t="s">
        <v>814</v>
      </c>
      <c r="D232" s="17"/>
      <c r="E232" s="71"/>
      <c r="F232" s="1023" t="str">
        <f>"(Line "&amp;A229&amp;" *  "&amp;A230&amp;" * "&amp;A231&amp;")"</f>
        <v>(Line 142 *  143 * 144)</v>
      </c>
      <c r="G232" s="97"/>
      <c r="H232" s="933">
        <f>+H229*H230*H231</f>
        <v>0</v>
      </c>
      <c r="I232" s="426"/>
      <c r="J232" s="502"/>
      <c r="K232" s="502"/>
      <c r="L232" s="963"/>
      <c r="M232" s="426"/>
    </row>
    <row r="233" spans="1:13" ht="15.75" customHeight="1">
      <c r="A233" s="955"/>
      <c r="B233" s="23"/>
      <c r="C233" s="59"/>
      <c r="D233" s="25"/>
      <c r="E233" s="71"/>
      <c r="F233" s="1023"/>
      <c r="G233" s="97"/>
      <c r="H233" s="1874"/>
      <c r="I233" s="426"/>
      <c r="J233" s="502"/>
      <c r="K233" s="502"/>
      <c r="L233" s="963"/>
      <c r="M233" s="426"/>
    </row>
    <row r="234" spans="1:13" ht="15.75" customHeight="1">
      <c r="A234" s="955"/>
      <c r="B234" s="48" t="s">
        <v>1245</v>
      </c>
      <c r="C234" s="59"/>
      <c r="D234" s="25"/>
      <c r="E234" s="71"/>
      <c r="F234" s="1023"/>
      <c r="G234" s="97"/>
      <c r="H234" s="1874"/>
      <c r="I234" s="426"/>
      <c r="J234" s="502"/>
      <c r="K234" s="502"/>
      <c r="L234" s="963"/>
      <c r="M234" s="426"/>
    </row>
    <row r="235" spans="1:13" ht="15.75" customHeight="1">
      <c r="A235" s="955" t="s">
        <v>1244</v>
      </c>
      <c r="B235" s="48"/>
      <c r="C235" s="59" t="s">
        <v>1247</v>
      </c>
      <c r="D235" s="25"/>
      <c r="E235" s="326"/>
      <c r="F235" s="1027" t="s">
        <v>668</v>
      </c>
      <c r="G235" s="12"/>
      <c r="H235" s="1874">
        <f>'5 - Cost Support'!H254</f>
        <v>-3132290.4691306632</v>
      </c>
      <c r="I235" s="426"/>
      <c r="J235" s="502"/>
      <c r="K235" s="502"/>
      <c r="L235" s="963"/>
      <c r="M235" s="426"/>
    </row>
    <row r="236" spans="1:13" ht="15.75" customHeight="1">
      <c r="A236" s="955" t="s">
        <v>1246</v>
      </c>
      <c r="B236" s="23"/>
      <c r="C236" s="59" t="s">
        <v>1248</v>
      </c>
      <c r="D236" s="21" t="s">
        <v>1249</v>
      </c>
      <c r="F236" s="1023" t="s">
        <v>1250</v>
      </c>
      <c r="G236" s="97"/>
      <c r="H236" s="1874">
        <f>H235*(1/(1-H225))</f>
        <v>-3964924.6444691936</v>
      </c>
      <c r="I236" s="426"/>
      <c r="J236" s="502"/>
      <c r="K236" s="502"/>
      <c r="L236" s="963"/>
      <c r="M236" s="426"/>
    </row>
    <row r="237" spans="1:13" ht="15.75" customHeight="1">
      <c r="A237" s="955"/>
      <c r="B237" s="23"/>
      <c r="C237" s="59"/>
      <c r="D237" s="25"/>
      <c r="E237" s="79"/>
      <c r="F237" s="1051"/>
      <c r="G237" s="97"/>
      <c r="H237" s="934"/>
      <c r="I237" s="426"/>
      <c r="J237" s="502"/>
      <c r="K237" s="502"/>
      <c r="L237" s="963"/>
      <c r="M237" s="426"/>
    </row>
    <row r="238" spans="1:13" ht="15.75" customHeight="1">
      <c r="A238" s="955">
        <f>+A232+1</f>
        <v>146</v>
      </c>
      <c r="B238" s="443" t="s">
        <v>839</v>
      </c>
      <c r="C238" s="26"/>
      <c r="D238" s="21" t="s">
        <v>841</v>
      </c>
      <c r="E238" s="382"/>
      <c r="F238" s="1023" t="str">
        <f>"[Line "&amp;A226&amp;" * "&amp;A217&amp;" * (1-("&amp;A212&amp;" / "&amp;A215&amp;"))]"</f>
        <v>[Line 141 * 136 * (1-(132 / 135))]</v>
      </c>
      <c r="G238" s="97"/>
      <c r="H238" s="523">
        <f>+H226*(1-H212/H215)*H217</f>
        <v>12108475.561831612</v>
      </c>
      <c r="I238" s="426"/>
      <c r="J238" s="502"/>
      <c r="K238" s="502"/>
      <c r="L238" s="963"/>
      <c r="M238" s="426"/>
    </row>
    <row r="239" spans="1:13" ht="15.75" customHeight="1">
      <c r="A239" s="955"/>
      <c r="B239" s="23"/>
      <c r="C239" s="24"/>
      <c r="D239" s="25"/>
      <c r="E239" s="69"/>
      <c r="F239" s="1043"/>
      <c r="G239" s="97"/>
      <c r="H239" s="935"/>
      <c r="I239" s="426"/>
      <c r="J239" s="502"/>
      <c r="K239" s="502"/>
      <c r="L239" s="963"/>
      <c r="M239" s="426"/>
    </row>
    <row r="240" spans="1:13" ht="16.5" customHeight="1" thickBot="1">
      <c r="A240" s="955">
        <f>+A238+1</f>
        <v>147</v>
      </c>
      <c r="B240" s="39" t="s">
        <v>736</v>
      </c>
      <c r="C240" s="39"/>
      <c r="D240" s="37"/>
      <c r="E240" s="64"/>
      <c r="F240" s="1038" t="str">
        <f>"(Line "&amp;A232&amp;" + 145b + "&amp;A238&amp;")"</f>
        <v>(Line 145 + 145b + 146)</v>
      </c>
      <c r="G240" s="1038"/>
      <c r="H240" s="936">
        <f>+H238+H236+H232</f>
        <v>8143550.917362418</v>
      </c>
      <c r="I240" s="1065"/>
      <c r="J240" s="514">
        <f>$H240*J$103</f>
        <v>7545945.6265148064</v>
      </c>
      <c r="K240" s="514">
        <f>$H$240*K103</f>
        <v>208114.96375401854</v>
      </c>
      <c r="L240" s="995">
        <f>$H$240*L103</f>
        <v>389490.32709359314</v>
      </c>
      <c r="M240" s="426"/>
    </row>
    <row r="241" spans="1:16" ht="16.5" customHeight="1" thickTop="1">
      <c r="A241" s="955"/>
      <c r="B241" s="23"/>
      <c r="C241" s="394"/>
      <c r="D241" s="21"/>
      <c r="E241" s="61"/>
      <c r="F241" s="1039"/>
      <c r="G241" s="97"/>
      <c r="H241" s="937"/>
      <c r="I241" s="426"/>
      <c r="J241" s="502"/>
      <c r="K241" s="502"/>
      <c r="L241" s="963"/>
      <c r="M241" s="426"/>
    </row>
    <row r="242" spans="1:16" ht="15.75" customHeight="1">
      <c r="A242" s="966" t="s">
        <v>747</v>
      </c>
      <c r="B242" s="29"/>
      <c r="C242" s="992"/>
      <c r="D242" s="40"/>
      <c r="E242" s="378"/>
      <c r="F242" s="1033"/>
      <c r="G242" s="979"/>
      <c r="H242" s="908"/>
      <c r="I242" s="967"/>
      <c r="J242" s="506"/>
      <c r="K242" s="506"/>
      <c r="L242" s="968"/>
      <c r="M242" s="426"/>
      <c r="N242" s="56"/>
    </row>
    <row r="243" spans="1:16" ht="15.75" customHeight="1">
      <c r="A243" s="960"/>
      <c r="B243" s="26"/>
      <c r="C243" s="26"/>
      <c r="D243" s="26"/>
      <c r="E243" s="61"/>
      <c r="F243" s="1027"/>
      <c r="G243" s="97"/>
      <c r="H243" s="829"/>
      <c r="I243" s="426"/>
      <c r="J243" s="503"/>
      <c r="K243" s="503"/>
      <c r="L243" s="954"/>
      <c r="M243" s="426"/>
    </row>
    <row r="244" spans="1:16" ht="15.75" customHeight="1">
      <c r="A244" s="960"/>
      <c r="B244" s="443" t="s">
        <v>737</v>
      </c>
      <c r="C244" s="26"/>
      <c r="D244" s="26"/>
      <c r="E244" s="61"/>
      <c r="F244" s="1027"/>
      <c r="G244" s="97"/>
      <c r="H244" s="829"/>
      <c r="I244" s="426"/>
      <c r="J244" s="503"/>
      <c r="K244" s="503"/>
      <c r="L244" s="954"/>
      <c r="M244" s="426"/>
    </row>
    <row r="245" spans="1:16" ht="15.75" customHeight="1">
      <c r="A245" s="960">
        <f>+A240+1</f>
        <v>148</v>
      </c>
      <c r="B245" s="26"/>
      <c r="C245" s="26" t="s">
        <v>738</v>
      </c>
      <c r="D245" s="26"/>
      <c r="E245" s="61"/>
      <c r="F245" s="1023" t="str">
        <f>"(Line "&amp;A61&amp;")"</f>
        <v>(Line 37)</v>
      </c>
      <c r="G245" s="97"/>
      <c r="H245" s="516">
        <f>+H61</f>
        <v>1158878176.2069035</v>
      </c>
      <c r="I245" s="962"/>
      <c r="J245" s="516">
        <f>+J61</f>
        <v>1089121560.822288</v>
      </c>
      <c r="K245" s="516">
        <f>+K61</f>
        <v>24292615.384615377</v>
      </c>
      <c r="L245" s="1008">
        <f>+L61</f>
        <v>45463999.999999993</v>
      </c>
      <c r="M245" s="426"/>
      <c r="N245" s="1858"/>
    </row>
    <row r="246" spans="1:16" ht="15.75" customHeight="1">
      <c r="A246" s="955">
        <f>+A245+1</f>
        <v>149</v>
      </c>
      <c r="B246" s="26"/>
      <c r="C246" s="26" t="s">
        <v>834</v>
      </c>
      <c r="D246" s="26"/>
      <c r="E246" s="61"/>
      <c r="F246" s="1036" t="str">
        <f>"(Line "&amp;A100&amp;")"</f>
        <v>(Line 58)</v>
      </c>
      <c r="G246" s="790"/>
      <c r="H246" s="516">
        <f>+H100</f>
        <v>-208306690.46626294</v>
      </c>
      <c r="I246" s="962"/>
      <c r="J246" s="516">
        <f>+J100</f>
        <v>-208306690.46626294</v>
      </c>
      <c r="K246" s="516">
        <f>+K100</f>
        <v>0</v>
      </c>
      <c r="L246" s="1008">
        <f>+L100</f>
        <v>0</v>
      </c>
      <c r="M246" s="426"/>
      <c r="N246" s="1796"/>
    </row>
    <row r="247" spans="1:16" ht="15.75" customHeight="1">
      <c r="A247" s="955">
        <f>+A246+1</f>
        <v>150</v>
      </c>
      <c r="B247" s="23"/>
      <c r="C247" s="6" t="s">
        <v>838</v>
      </c>
      <c r="D247" s="50"/>
      <c r="E247" s="70"/>
      <c r="F247" s="1023" t="str">
        <f>"(Line "&amp;A102&amp;")"</f>
        <v>(Line 59)</v>
      </c>
      <c r="G247" s="97"/>
      <c r="H247" s="517">
        <f>+H102</f>
        <v>950571485.74064052</v>
      </c>
      <c r="I247" s="941"/>
      <c r="J247" s="517">
        <f>+J102</f>
        <v>880814870.3560251</v>
      </c>
      <c r="K247" s="517">
        <f>+K102</f>
        <v>24292615.384615377</v>
      </c>
      <c r="L247" s="1009">
        <f>+L102</f>
        <v>45463999.999999993</v>
      </c>
      <c r="M247" s="426"/>
      <c r="P247" s="56"/>
    </row>
    <row r="248" spans="1:16" ht="15.75" customHeight="1">
      <c r="A248" s="955"/>
      <c r="B248" s="23"/>
      <c r="C248" s="393"/>
      <c r="D248" s="25"/>
      <c r="E248" s="382"/>
      <c r="F248" s="1026"/>
      <c r="G248" s="97"/>
      <c r="H248" s="516"/>
      <c r="I248" s="426"/>
      <c r="J248" s="503"/>
      <c r="K248" s="503"/>
      <c r="L248" s="954"/>
      <c r="M248" s="426"/>
    </row>
    <row r="249" spans="1:16" ht="15.75" customHeight="1">
      <c r="A249" s="955">
        <f>+A247+1</f>
        <v>151</v>
      </c>
      <c r="B249" s="21"/>
      <c r="C249" s="393" t="s">
        <v>896</v>
      </c>
      <c r="D249" s="21"/>
      <c r="E249" s="61"/>
      <c r="F249" s="1023" t="str">
        <f>"(Line "&amp;A135&amp;")"</f>
        <v>(Line 82)</v>
      </c>
      <c r="G249" s="97"/>
      <c r="H249" s="516">
        <f>+H135</f>
        <v>47746437.049825557</v>
      </c>
      <c r="I249" s="962"/>
      <c r="J249" s="516">
        <f>+J135</f>
        <v>44617744.529818967</v>
      </c>
      <c r="K249" s="516">
        <f>+K135</f>
        <v>1472370.6487732586</v>
      </c>
      <c r="L249" s="1008">
        <f>+L135</f>
        <v>1656321.8712333278</v>
      </c>
      <c r="M249" s="404"/>
    </row>
    <row r="250" spans="1:16" ht="15.75" customHeight="1">
      <c r="A250" s="955">
        <f>+A249+1</f>
        <v>152</v>
      </c>
      <c r="B250" s="21"/>
      <c r="C250" s="24" t="s">
        <v>819</v>
      </c>
      <c r="D250" s="21"/>
      <c r="E250" s="61"/>
      <c r="F250" s="1023" t="str">
        <f>"(Line "&amp;A152&amp;")"</f>
        <v>(Line 92)</v>
      </c>
      <c r="G250" s="97"/>
      <c r="H250" s="516">
        <f>+H152</f>
        <v>54458816.066689178</v>
      </c>
      <c r="I250" s="962"/>
      <c r="J250" s="516">
        <f>+J152</f>
        <v>51249065.566689178</v>
      </c>
      <c r="K250" s="516">
        <f>+K152</f>
        <v>1570804.89</v>
      </c>
      <c r="L250" s="1008">
        <f>+L152</f>
        <v>1638945.66</v>
      </c>
      <c r="M250" s="404"/>
    </row>
    <row r="251" spans="1:16" ht="15.75" customHeight="1">
      <c r="A251" s="955">
        <f>+A250+1</f>
        <v>153</v>
      </c>
      <c r="B251" s="23"/>
      <c r="C251" s="393" t="s">
        <v>739</v>
      </c>
      <c r="D251" s="25"/>
      <c r="E251" s="382"/>
      <c r="F251" s="1023" t="str">
        <f>"(Line "&amp;A158&amp;")"</f>
        <v>(Line 94)</v>
      </c>
      <c r="G251" s="97"/>
      <c r="H251" s="516">
        <f>+H158</f>
        <v>11087654.663443785</v>
      </c>
      <c r="I251" s="962"/>
      <c r="J251" s="516">
        <f>+J158</f>
        <v>9219367.4034437854</v>
      </c>
      <c r="K251" s="516">
        <f>+K158</f>
        <v>1309271</v>
      </c>
      <c r="L251" s="1008">
        <f>+L158</f>
        <v>559016.26</v>
      </c>
      <c r="M251" s="404"/>
    </row>
    <row r="252" spans="1:16" ht="15.75" customHeight="1">
      <c r="A252" s="955">
        <f>+A251+1</f>
        <v>154</v>
      </c>
      <c r="B252" s="23"/>
      <c r="C252" s="394" t="s">
        <v>860</v>
      </c>
      <c r="D252" s="25"/>
      <c r="E252" s="382"/>
      <c r="F252" s="1023" t="str">
        <f>"(Line "&amp;A217&amp;")"</f>
        <v>(Line 136)</v>
      </c>
      <c r="G252" s="97"/>
      <c r="H252" s="516">
        <f>+H217</f>
        <v>70565356.02399008</v>
      </c>
      <c r="I252" s="962"/>
      <c r="J252" s="516">
        <f>+J217</f>
        <v>65386997.033126153</v>
      </c>
      <c r="K252" s="516">
        <f>+K217</f>
        <v>1803354.1707109017</v>
      </c>
      <c r="L252" s="1008">
        <f>+L217</f>
        <v>3375004.820153025</v>
      </c>
      <c r="M252" s="404"/>
    </row>
    <row r="253" spans="1:16" ht="15.75" customHeight="1">
      <c r="A253" s="955">
        <f>+A252+1</f>
        <v>155</v>
      </c>
      <c r="B253" s="23"/>
      <c r="C253" s="394" t="s">
        <v>861</v>
      </c>
      <c r="D253" s="25"/>
      <c r="E253" s="382"/>
      <c r="F253" s="1023" t="str">
        <f>"(Line "&amp;A240&amp;")"</f>
        <v>(Line 147)</v>
      </c>
      <c r="G253" s="97"/>
      <c r="H253" s="516">
        <f>+H240</f>
        <v>8143550.917362418</v>
      </c>
      <c r="I253" s="962"/>
      <c r="J253" s="516">
        <f>+J240</f>
        <v>7545945.6265148064</v>
      </c>
      <c r="K253" s="516">
        <f>+K240</f>
        <v>208114.96375401854</v>
      </c>
      <c r="L253" s="1008">
        <f>+L240</f>
        <v>389490.32709359314</v>
      </c>
      <c r="M253" s="404"/>
    </row>
    <row r="254" spans="1:16" ht="16.5" customHeight="1" thickBot="1">
      <c r="A254" s="955"/>
      <c r="B254" s="23"/>
      <c r="C254" s="394"/>
      <c r="D254" s="25"/>
      <c r="E254" s="382"/>
      <c r="F254" s="1026"/>
      <c r="G254" s="97"/>
      <c r="H254" s="516"/>
      <c r="I254" s="962"/>
      <c r="J254" s="516"/>
      <c r="K254" s="516"/>
      <c r="L254" s="1008"/>
      <c r="M254" s="426"/>
    </row>
    <row r="255" spans="1:16" ht="18.75" customHeight="1" thickBot="1">
      <c r="A255" s="55">
        <f>+A253+1</f>
        <v>156</v>
      </c>
      <c r="B255" s="54"/>
      <c r="C255" s="395" t="s">
        <v>884</v>
      </c>
      <c r="D255" s="396"/>
      <c r="E255" s="397"/>
      <c r="F255" s="518" t="str">
        <f>"(Sum Lines "&amp;A249&amp;" to "&amp;A253&amp;")"</f>
        <v>(Sum Lines 151 to 155)</v>
      </c>
      <c r="G255" s="1070"/>
      <c r="H255" s="518">
        <f>SUM(H253,H252,H251,H250,H249)</f>
        <v>192001814.72131103</v>
      </c>
      <c r="I255" s="942"/>
      <c r="J255" s="518">
        <f>SUM(J253,J252,J251,J250,J249)</f>
        <v>178019120.15959287</v>
      </c>
      <c r="K255" s="518">
        <f>SUM(K253,K252,K251,K250,K249)</f>
        <v>6363915.6732381787</v>
      </c>
      <c r="L255" s="1010">
        <f>SUM(L253,L252,L251,L250,L249)</f>
        <v>7618778.9384799469</v>
      </c>
      <c r="M255" s="426"/>
      <c r="N255" s="1795"/>
      <c r="O255" s="1796"/>
    </row>
    <row r="256" spans="1:16" ht="18" customHeight="1">
      <c r="A256" s="1011"/>
      <c r="B256" s="75"/>
      <c r="C256" s="398"/>
      <c r="D256" s="399"/>
      <c r="E256" s="400"/>
      <c r="F256" s="1049"/>
      <c r="G256" s="97"/>
      <c r="H256" s="938"/>
      <c r="I256" s="426"/>
      <c r="J256" s="503"/>
      <c r="K256" s="503"/>
      <c r="L256" s="954"/>
      <c r="M256" s="426"/>
    </row>
    <row r="257" spans="1:16" ht="18" customHeight="1">
      <c r="A257" s="1011"/>
      <c r="B257" s="59" t="s">
        <v>787</v>
      </c>
      <c r="C257" s="398"/>
      <c r="D257" s="399"/>
      <c r="E257" s="400"/>
      <c r="F257" s="1049"/>
      <c r="G257" s="97"/>
      <c r="H257" s="938"/>
      <c r="I257" s="426"/>
      <c r="J257" s="503"/>
      <c r="K257" s="503"/>
      <c r="L257" s="954"/>
      <c r="M257" s="426"/>
      <c r="N257" s="1797"/>
    </row>
    <row r="258" spans="1:16" ht="18" customHeight="1">
      <c r="A258" s="639">
        <f>+A255+1</f>
        <v>157</v>
      </c>
      <c r="B258" s="69"/>
      <c r="C258" s="393" t="str">
        <f>+C31</f>
        <v>Transmission Plant In Service</v>
      </c>
      <c r="D258" s="399"/>
      <c r="E258" s="400"/>
      <c r="F258" s="1029" t="str">
        <f>"(Line "&amp;A33&amp;")"</f>
        <v>(Line 17)</v>
      </c>
      <c r="G258" s="97"/>
      <c r="H258" s="505">
        <f>+H33</f>
        <v>1682711076.9230769</v>
      </c>
      <c r="I258" s="401"/>
      <c r="J258" s="505">
        <f>+J33</f>
        <v>1487776384.6153846</v>
      </c>
      <c r="K258" s="505">
        <f>+K33</f>
        <v>100122769.23076923</v>
      </c>
      <c r="L258" s="964">
        <f>+L33</f>
        <v>94811923.076923072</v>
      </c>
      <c r="M258" s="426"/>
      <c r="N258" s="1797"/>
    </row>
    <row r="259" spans="1:16" ht="18" customHeight="1">
      <c r="A259" s="639">
        <f>+A258+1</f>
        <v>158</v>
      </c>
      <c r="B259" s="69"/>
      <c r="C259" s="402" t="s">
        <v>788</v>
      </c>
      <c r="D259" s="403"/>
      <c r="E259" s="73" t="str">
        <f>"(Note "&amp;B$309&amp;")"</f>
        <v>(Note M)</v>
      </c>
      <c r="F259" s="1031" t="s">
        <v>668</v>
      </c>
      <c r="G259" s="790"/>
      <c r="H259" s="519">
        <f>+J259+K259+L259</f>
        <v>180795000</v>
      </c>
      <c r="I259" s="943"/>
      <c r="J259" s="519">
        <f>'5 - Cost Support'!H121</f>
        <v>176922000</v>
      </c>
      <c r="K259" s="519">
        <f>'5 - Cost Support'!H120</f>
        <v>3873000</v>
      </c>
      <c r="L259" s="1012">
        <f>'5 - Cost Support'!H122</f>
        <v>0</v>
      </c>
      <c r="M259" s="426"/>
    </row>
    <row r="260" spans="1:16" ht="18" customHeight="1">
      <c r="A260" s="639">
        <f>+A259+1</f>
        <v>159</v>
      </c>
      <c r="B260" s="69"/>
      <c r="C260" s="393" t="s">
        <v>789</v>
      </c>
      <c r="D260" s="399"/>
      <c r="E260" s="1555"/>
      <c r="F260" s="1029" t="str">
        <f>"(Line "&amp;A258&amp;" - "&amp;A259&amp;")"</f>
        <v>(Line 157 - 158)</v>
      </c>
      <c r="G260" s="97"/>
      <c r="H260" s="505">
        <f>+H258-H259</f>
        <v>1501916076.9230769</v>
      </c>
      <c r="I260" s="401"/>
      <c r="J260" s="505">
        <f>+J258-J259</f>
        <v>1310854384.6153846</v>
      </c>
      <c r="K260" s="505">
        <f>+K258-K259</f>
        <v>96249769.230769232</v>
      </c>
      <c r="L260" s="964">
        <f>+L258-L259</f>
        <v>94811923.076923072</v>
      </c>
      <c r="M260" s="426"/>
      <c r="N260" s="1797"/>
    </row>
    <row r="261" spans="1:16" s="15" customFormat="1" ht="18" customHeight="1">
      <c r="A261" s="639">
        <f>+A260+1</f>
        <v>160</v>
      </c>
      <c r="B261" s="69"/>
      <c r="C261" s="393" t="s">
        <v>790</v>
      </c>
      <c r="D261" s="399"/>
      <c r="E261" s="1555"/>
      <c r="F261" s="1029" t="str">
        <f>"(Line "&amp;A260&amp;" / "&amp;A258&amp;")"</f>
        <v>(Line 159 / 157)</v>
      </c>
      <c r="G261" s="104"/>
      <c r="H261" s="1138">
        <f>+H260/H258</f>
        <v>0.892557312732146</v>
      </c>
      <c r="I261" s="404"/>
      <c r="J261" s="1138">
        <f>+J260/J258</f>
        <v>0.88108293569551632</v>
      </c>
      <c r="K261" s="1138">
        <f>+K260/K258</f>
        <v>0.96131749021969948</v>
      </c>
      <c r="L261" s="1139">
        <f>+L260/L258</f>
        <v>1</v>
      </c>
      <c r="M261" s="404"/>
      <c r="N261" s="1798"/>
    </row>
    <row r="262" spans="1:16" ht="18" customHeight="1">
      <c r="A262" s="639">
        <f>+A261+1</f>
        <v>161</v>
      </c>
      <c r="B262" s="69"/>
      <c r="C262" s="402" t="s">
        <v>884</v>
      </c>
      <c r="D262" s="403"/>
      <c r="E262" s="1556"/>
      <c r="F262" s="1031" t="str">
        <f>"(Line "&amp;A255&amp;")"</f>
        <v>(Line 156)</v>
      </c>
      <c r="G262" s="790"/>
      <c r="H262" s="519">
        <f>+H255</f>
        <v>192001814.72131103</v>
      </c>
      <c r="I262" s="943"/>
      <c r="J262" s="519">
        <f>+J255</f>
        <v>178019120.15959287</v>
      </c>
      <c r="K262" s="519">
        <f>+K255</f>
        <v>6363915.6732381787</v>
      </c>
      <c r="L262" s="1012">
        <f>+L255</f>
        <v>7618778.9384799469</v>
      </c>
      <c r="M262" s="426"/>
      <c r="N262" s="1857"/>
    </row>
    <row r="263" spans="1:16" ht="18" customHeight="1">
      <c r="A263" s="639">
        <f>+A262+1</f>
        <v>162</v>
      </c>
      <c r="B263" s="69"/>
      <c r="C263" s="11" t="s">
        <v>791</v>
      </c>
      <c r="D263" s="399"/>
      <c r="E263" s="1557"/>
      <c r="F263" s="1029" t="str">
        <f>"(Line "&amp;A261&amp;" * "&amp;A262&amp;")"</f>
        <v>(Line 160 * 161)</v>
      </c>
      <c r="G263" s="97"/>
      <c r="H263" s="520">
        <f>+H262*H261</f>
        <v>171372623.78734878</v>
      </c>
      <c r="I263" s="78"/>
      <c r="J263" s="520">
        <f>+J262*J261</f>
        <v>156849609.00014696</v>
      </c>
      <c r="K263" s="520">
        <f>+K262*K261</f>
        <v>6117743.4429671355</v>
      </c>
      <c r="L263" s="989">
        <f>+L262*L261</f>
        <v>7618778.9384799469</v>
      </c>
      <c r="M263" s="426"/>
      <c r="N263" s="56"/>
    </row>
    <row r="264" spans="1:16" ht="15.75" customHeight="1">
      <c r="A264" s="980"/>
      <c r="B264" s="23"/>
      <c r="C264" s="393"/>
      <c r="D264" s="25"/>
      <c r="E264" s="1558"/>
      <c r="F264" s="1026"/>
      <c r="G264" s="97"/>
      <c r="H264" s="522"/>
      <c r="I264" s="426"/>
      <c r="J264" s="503"/>
      <c r="K264" s="503"/>
      <c r="L264" s="954"/>
      <c r="M264" s="426"/>
    </row>
    <row r="265" spans="1:16" ht="15.75" customHeight="1">
      <c r="A265" s="980"/>
      <c r="B265" s="59" t="s">
        <v>155</v>
      </c>
      <c r="C265" s="393"/>
      <c r="D265" s="25"/>
      <c r="E265" s="1558"/>
      <c r="F265" s="1026"/>
      <c r="G265" s="97"/>
      <c r="H265" s="522"/>
      <c r="I265" s="426"/>
      <c r="J265" s="503"/>
      <c r="K265" s="503"/>
      <c r="L265" s="954"/>
      <c r="M265" s="426"/>
    </row>
    <row r="266" spans="1:16" ht="15.75" customHeight="1">
      <c r="A266" s="639">
        <f>+A263+1</f>
        <v>163</v>
      </c>
      <c r="B266" s="26"/>
      <c r="C266" s="102" t="s">
        <v>742</v>
      </c>
      <c r="D266" s="25"/>
      <c r="E266" s="1559"/>
      <c r="F266" s="1026" t="s">
        <v>669</v>
      </c>
      <c r="G266" s="97"/>
      <c r="H266" s="939">
        <f>+'3 - Revenue Credits'!D22</f>
        <v>56917889.225023448</v>
      </c>
      <c r="I266" s="426"/>
      <c r="J266" s="502">
        <f>+'3 - Revenue Credits'!F22</f>
        <v>55527410.559113115</v>
      </c>
      <c r="K266" s="502">
        <f>+'3 - Revenue Credits'!G22</f>
        <v>294425.23554991744</v>
      </c>
      <c r="L266" s="963">
        <f>+'3 - Revenue Credits'!H22</f>
        <v>1096053.4303604097</v>
      </c>
      <c r="M266" s="426"/>
    </row>
    <row r="267" spans="1:16" ht="15.75" customHeight="1">
      <c r="A267" s="639">
        <f>+A266+1</f>
        <v>164</v>
      </c>
      <c r="B267" s="26"/>
      <c r="C267" s="59" t="s">
        <v>154</v>
      </c>
      <c r="D267" s="25"/>
      <c r="E267" s="71" t="str">
        <f>"(Note "&amp;B$310&amp;")"</f>
        <v>(Note N)</v>
      </c>
      <c r="F267" s="1026" t="s">
        <v>668</v>
      </c>
      <c r="G267" s="97"/>
      <c r="H267" s="939">
        <f>J267+K267+L267</f>
        <v>0</v>
      </c>
      <c r="I267" s="426"/>
      <c r="J267" s="503">
        <f>'5 - Cost Support'!H234</f>
        <v>0</v>
      </c>
      <c r="K267" s="503">
        <v>0</v>
      </c>
      <c r="L267" s="954">
        <v>0</v>
      </c>
      <c r="M267" s="426"/>
    </row>
    <row r="268" spans="1:16" ht="16.5" customHeight="1" thickBot="1">
      <c r="A268" s="955"/>
      <c r="B268" s="23"/>
      <c r="C268" s="36"/>
      <c r="D268" s="36"/>
      <c r="E268" s="1560"/>
      <c r="F268" s="1026"/>
      <c r="G268" s="97"/>
      <c r="H268" s="522"/>
      <c r="I268" s="426"/>
      <c r="J268" s="503"/>
      <c r="K268" s="503"/>
      <c r="L268" s="954"/>
      <c r="M268" s="426"/>
    </row>
    <row r="269" spans="1:16" s="1" customFormat="1" ht="18.75" customHeight="1" thickBot="1">
      <c r="A269" s="55">
        <f>+A267+1</f>
        <v>165</v>
      </c>
      <c r="B269" s="1071"/>
      <c r="C269" s="1072" t="s">
        <v>895</v>
      </c>
      <c r="D269" s="1073"/>
      <c r="E269" s="1074"/>
      <c r="F269" s="1052" t="str">
        <f>"(Line "&amp;A263&amp;" - "&amp;A266&amp;" + "&amp;A267&amp;")"</f>
        <v>(Line 162 - 163 + 164)</v>
      </c>
      <c r="G269" s="1070"/>
      <c r="H269" s="518">
        <f>+H263-H266+H267</f>
        <v>114454734.56232533</v>
      </c>
      <c r="I269" s="942"/>
      <c r="J269" s="518">
        <f>+J263-J266+J267</f>
        <v>101322198.44103384</v>
      </c>
      <c r="K269" s="518">
        <f>+K263-K266+K267</f>
        <v>5823318.207417218</v>
      </c>
      <c r="L269" s="1010">
        <f>+L263-L266+L267</f>
        <v>6522725.5081195375</v>
      </c>
      <c r="M269" s="973"/>
      <c r="N269" s="1845"/>
      <c r="P269" s="573"/>
    </row>
    <row r="270" spans="1:16" ht="15.75" customHeight="1">
      <c r="A270" s="980"/>
      <c r="B270" s="23"/>
      <c r="C270" s="36"/>
      <c r="D270" s="36"/>
      <c r="E270" s="61"/>
      <c r="F270" s="1026"/>
      <c r="G270" s="97"/>
      <c r="H270" s="522"/>
      <c r="I270" s="426"/>
      <c r="J270" s="503"/>
      <c r="K270" s="503"/>
      <c r="L270" s="954"/>
      <c r="M270" s="426"/>
      <c r="N270" s="1845"/>
    </row>
    <row r="271" spans="1:16" ht="15.75" customHeight="1">
      <c r="A271" s="639"/>
      <c r="B271" s="77" t="s">
        <v>936</v>
      </c>
      <c r="C271" s="36"/>
      <c r="D271" s="36"/>
      <c r="E271" s="61"/>
      <c r="F271" s="1026"/>
      <c r="G271" s="97"/>
      <c r="H271" s="522"/>
      <c r="I271" s="426"/>
      <c r="J271" s="503"/>
      <c r="K271" s="503"/>
      <c r="L271" s="954"/>
      <c r="M271" s="426"/>
    </row>
    <row r="272" spans="1:16" ht="15.75" customHeight="1">
      <c r="A272" s="639">
        <f>+A269+1</f>
        <v>166</v>
      </c>
      <c r="B272" s="69"/>
      <c r="C272" s="36" t="str">
        <f>+C255</f>
        <v>Gross Revenue Requirement</v>
      </c>
      <c r="D272" s="36"/>
      <c r="E272" s="74"/>
      <c r="F272" s="1045" t="str">
        <f>"(Line "&amp;A255&amp;")"</f>
        <v>(Line 156)</v>
      </c>
      <c r="G272" s="104"/>
      <c r="H272" s="523">
        <f>+H263</f>
        <v>171372623.78734878</v>
      </c>
      <c r="I272" s="641"/>
      <c r="J272" s="521">
        <f>+J263</f>
        <v>156849609.00014696</v>
      </c>
      <c r="K272" s="521">
        <f>+K263</f>
        <v>6117743.4429671355</v>
      </c>
      <c r="L272" s="1013">
        <f>+L263</f>
        <v>7618778.9384799469</v>
      </c>
      <c r="M272" s="426"/>
      <c r="N272" s="1795"/>
    </row>
    <row r="273" spans="1:13" ht="15.75" customHeight="1">
      <c r="A273" s="639">
        <f>+A272+1</f>
        <v>167</v>
      </c>
      <c r="B273" s="69"/>
      <c r="C273" s="36" t="s">
        <v>138</v>
      </c>
      <c r="D273" s="36"/>
      <c r="E273" s="74"/>
      <c r="F273" s="1045" t="str">
        <f>"(Line "&amp;A31&amp;" - "&amp;A47&amp;")"</f>
        <v>(Line 15 - 26)</v>
      </c>
      <c r="G273" s="104"/>
      <c r="H273" s="523">
        <f>+H31-H47</f>
        <v>1067217001.6555943</v>
      </c>
      <c r="I273" s="641"/>
      <c r="J273" s="521">
        <f>+J31-J47</f>
        <v>997460386.27097893</v>
      </c>
      <c r="K273" s="521">
        <f>+K31-K47</f>
        <v>24292615.384615377</v>
      </c>
      <c r="L273" s="1013">
        <f>+L31-L47</f>
        <v>45463999.999999993</v>
      </c>
      <c r="M273" s="426"/>
    </row>
    <row r="274" spans="1:13" ht="15.75" customHeight="1">
      <c r="A274" s="639">
        <f>+A273+1</f>
        <v>168</v>
      </c>
      <c r="B274" s="69"/>
      <c r="C274" s="36" t="s">
        <v>940</v>
      </c>
      <c r="D274" s="36"/>
      <c r="E274" s="74"/>
      <c r="F274" s="1045" t="str">
        <f>"(Line "&amp;A255&amp;" / "&amp;A273&amp;")"</f>
        <v>(Line 156 / 167)</v>
      </c>
      <c r="G274" s="104"/>
      <c r="H274" s="906">
        <f>+H255/H273</f>
        <v>0.1799088792845831</v>
      </c>
      <c r="I274" s="640"/>
      <c r="J274" s="522">
        <f>+J272/J273</f>
        <v>0.15724896061941029</v>
      </c>
      <c r="K274" s="522">
        <f>+K272/K273</f>
        <v>0.25183552063486464</v>
      </c>
      <c r="L274" s="1014">
        <f>+L272/L273</f>
        <v>0.1675782803642431</v>
      </c>
      <c r="M274" s="426"/>
    </row>
    <row r="275" spans="1:13" ht="15.75" customHeight="1">
      <c r="A275" s="639">
        <f>+A274+1</f>
        <v>169</v>
      </c>
      <c r="B275" s="69"/>
      <c r="C275" s="36" t="s">
        <v>941</v>
      </c>
      <c r="D275" s="36"/>
      <c r="E275" s="74"/>
      <c r="F275" s="1045" t="str">
        <f>"(Line "&amp;A255&amp;" - "&amp;A140&amp;") / "&amp;A273</f>
        <v>(Line 156 - 83) / 167</v>
      </c>
      <c r="G275" s="104"/>
      <c r="H275" s="906">
        <f>(H255-H140)/H273</f>
        <v>0.14439932317630277</v>
      </c>
      <c r="I275" s="640"/>
      <c r="J275" s="522">
        <f>(J272-J140)/J273</f>
        <v>0.12247399413710559</v>
      </c>
      <c r="K275" s="522">
        <f>(K272-K140)/K273</f>
        <v>0.18717369377390022</v>
      </c>
      <c r="L275" s="1014">
        <f>(L272-L140)/L273</f>
        <v>0.13152897409994607</v>
      </c>
      <c r="M275" s="426"/>
    </row>
    <row r="276" spans="1:13" ht="15.75" customHeight="1">
      <c r="A276" s="639">
        <f>+A275+1</f>
        <v>170</v>
      </c>
      <c r="B276" s="69"/>
      <c r="C276" s="36" t="s">
        <v>942</v>
      </c>
      <c r="D276" s="36"/>
      <c r="E276" s="74"/>
      <c r="F276" s="1045" t="str">
        <f>"(Line "&amp;A255&amp;" - "&amp;A140&amp;" - "&amp;A217&amp;" - "&amp;A240&amp;") / "&amp;A273</f>
        <v>(Line 156 - 83 - 136 - 147) / 167</v>
      </c>
      <c r="G276" s="104"/>
      <c r="H276" s="906">
        <f>(H255-H140-H217-H240)/H273</f>
        <v>7.0647774223044121E-2</v>
      </c>
      <c r="I276" s="640"/>
      <c r="J276" s="522">
        <f>(J272-J140-J217-J240)/J273</f>
        <v>4.9355358386264508E-2</v>
      </c>
      <c r="K276" s="522">
        <f>(K272-K140-K217-K240)/K273</f>
        <v>0.10437202328193693</v>
      </c>
      <c r="L276" s="1014">
        <f>(L272-L140-L217-L240)/L273</f>
        <v>4.8727303607982775E-2</v>
      </c>
      <c r="M276" s="426"/>
    </row>
    <row r="277" spans="1:13" ht="15.75" customHeight="1">
      <c r="A277" s="639"/>
      <c r="B277" s="69"/>
      <c r="C277" s="36"/>
      <c r="D277" s="36"/>
      <c r="E277" s="74"/>
      <c r="F277" s="1045"/>
      <c r="G277" s="104"/>
      <c r="H277" s="906"/>
      <c r="I277" s="426"/>
      <c r="J277" s="503"/>
      <c r="K277" s="503"/>
      <c r="L277" s="954"/>
      <c r="M277" s="426"/>
    </row>
    <row r="278" spans="1:13" ht="15.75" customHeight="1">
      <c r="A278" s="639"/>
      <c r="B278" s="77" t="s">
        <v>937</v>
      </c>
      <c r="C278" s="36"/>
      <c r="D278" s="36"/>
      <c r="E278" s="74"/>
      <c r="F278" s="1045"/>
      <c r="G278" s="104"/>
      <c r="H278" s="906"/>
      <c r="I278" s="426"/>
      <c r="J278" s="502"/>
      <c r="K278" s="502"/>
      <c r="L278" s="963"/>
      <c r="M278" s="426"/>
    </row>
    <row r="279" spans="1:13" ht="15.75" customHeight="1">
      <c r="A279" s="639">
        <f>+A276+1</f>
        <v>171</v>
      </c>
      <c r="B279" s="69"/>
      <c r="C279" s="36" t="s">
        <v>443</v>
      </c>
      <c r="D279" s="36"/>
      <c r="E279" s="74"/>
      <c r="F279" s="1045" t="str">
        <f>"(Line "&amp;A255&amp;" - "&amp;A252&amp;" - "&amp;A253&amp;")"</f>
        <v>(Line 156 - 154 - 155)</v>
      </c>
      <c r="G279" s="104"/>
      <c r="H279" s="523">
        <f>+H255-H252-H253</f>
        <v>113292907.77995853</v>
      </c>
      <c r="I279" s="641"/>
      <c r="J279" s="521">
        <f>+J263-J252-J253</f>
        <v>83916666.340506002</v>
      </c>
      <c r="K279" s="521">
        <f>+K263-K252-K253</f>
        <v>4106274.308502215</v>
      </c>
      <c r="L279" s="1013">
        <f>+L263-L252-L253</f>
        <v>3854283.7912333286</v>
      </c>
      <c r="M279" s="426"/>
    </row>
    <row r="280" spans="1:13" ht="16.5" customHeight="1">
      <c r="A280" s="639">
        <f>+A279+1</f>
        <v>172</v>
      </c>
      <c r="B280" s="69"/>
      <c r="C280" s="36" t="s">
        <v>368</v>
      </c>
      <c r="D280" s="36"/>
      <c r="E280" s="61"/>
      <c r="F280" s="1045" t="s">
        <v>999</v>
      </c>
      <c r="G280" s="104"/>
      <c r="H280" s="523">
        <f>+'4 - 100 Basis Pt ROE'!G9</f>
        <v>84592519.94515793</v>
      </c>
      <c r="I280" s="426"/>
      <c r="J280" s="523">
        <f>+$H280*J103</f>
        <v>78384793.36515002</v>
      </c>
      <c r="K280" s="523">
        <f>+$H280*K103</f>
        <v>2161829.5754390191</v>
      </c>
      <c r="L280" s="1013">
        <f>+$H280*L103</f>
        <v>4045897.0045688925</v>
      </c>
      <c r="M280" s="426"/>
    </row>
    <row r="281" spans="1:13" ht="16.5" customHeight="1">
      <c r="A281" s="639">
        <f>+A280+1</f>
        <v>173</v>
      </c>
      <c r="B281" s="69"/>
      <c r="C281" s="36" t="s">
        <v>444</v>
      </c>
      <c r="D281" s="36"/>
      <c r="E281" s="61"/>
      <c r="F281" s="1045" t="str">
        <f>"(Line "&amp;A279&amp;" + "&amp;A280&amp;")"</f>
        <v>(Line 171 + 172)</v>
      </c>
      <c r="G281" s="97"/>
      <c r="H281" s="521">
        <f>+H280+H279</f>
        <v>197885427.72511646</v>
      </c>
      <c r="I281" s="641"/>
      <c r="J281" s="521">
        <f>+J280+J279</f>
        <v>162301459.70565602</v>
      </c>
      <c r="K281" s="521">
        <f>+K280+K279</f>
        <v>6268103.8839412341</v>
      </c>
      <c r="L281" s="1013">
        <f>+L280+L279</f>
        <v>7900180.7958022207</v>
      </c>
      <c r="M281" s="426"/>
    </row>
    <row r="282" spans="1:13" ht="15.75" customHeight="1">
      <c r="A282" s="639">
        <f>+A281+1</f>
        <v>174</v>
      </c>
      <c r="B282" s="69"/>
      <c r="C282" s="36" t="str">
        <f>+C273</f>
        <v>Net Transmission Plant</v>
      </c>
      <c r="D282" s="36"/>
      <c r="E282" s="61"/>
      <c r="F282" s="1026" t="str">
        <f>"(Line "&amp;A31&amp;" - "&amp;A47&amp;")"</f>
        <v>(Line 15 - 26)</v>
      </c>
      <c r="G282" s="97"/>
      <c r="H282" s="521">
        <f>+H273</f>
        <v>1067217001.6555943</v>
      </c>
      <c r="I282" s="641"/>
      <c r="J282" s="521">
        <f>+J273</f>
        <v>997460386.27097893</v>
      </c>
      <c r="K282" s="521">
        <f>+K273</f>
        <v>24292615.384615377</v>
      </c>
      <c r="L282" s="1013">
        <f>+L273</f>
        <v>45463999.999999993</v>
      </c>
      <c r="M282" s="426"/>
    </row>
    <row r="283" spans="1:13" ht="15.75" customHeight="1">
      <c r="A283" s="639">
        <f>+A282+1</f>
        <v>175</v>
      </c>
      <c r="B283" s="69"/>
      <c r="C283" s="36" t="s">
        <v>938</v>
      </c>
      <c r="D283" s="36"/>
      <c r="E283" s="61"/>
      <c r="F283" s="1026" t="str">
        <f>"(Line "&amp;A281&amp;" / "&amp;A282&amp;")"</f>
        <v>(Line 173 / 174)</v>
      </c>
      <c r="G283" s="97"/>
      <c r="H283" s="522">
        <f>+H281/H282</f>
        <v>0.18542192208157571</v>
      </c>
      <c r="I283" s="640"/>
      <c r="J283" s="522">
        <f>+J281/J282</f>
        <v>0.16271469217180898</v>
      </c>
      <c r="K283" s="522">
        <f>+K281/K282</f>
        <v>0.2580250740688404</v>
      </c>
      <c r="L283" s="1014">
        <f>+L281/L282</f>
        <v>0.17376783379821886</v>
      </c>
      <c r="M283" s="426"/>
    </row>
    <row r="284" spans="1:13" ht="15.75" customHeight="1">
      <c r="A284" s="639">
        <f>+A283+1</f>
        <v>176</v>
      </c>
      <c r="B284" s="69"/>
      <c r="C284" s="36" t="s">
        <v>939</v>
      </c>
      <c r="D284" s="36"/>
      <c r="E284" s="61"/>
      <c r="F284" s="1026" t="str">
        <f>"(Line "&amp;A281&amp;" - "&amp;A140&amp;") / "&amp;A282</f>
        <v>(Line 173 - 83) / 174</v>
      </c>
      <c r="G284" s="97"/>
      <c r="H284" s="522">
        <f>(H281-H140)/H282</f>
        <v>0.14991236597329541</v>
      </c>
      <c r="I284" s="640"/>
      <c r="J284" s="522">
        <f>(J281-J140)/J282</f>
        <v>0.12793972568950426</v>
      </c>
      <c r="K284" s="522">
        <f>(K281-K140)/K282</f>
        <v>0.19336324720787598</v>
      </c>
      <c r="L284" s="1014">
        <f>(L281-L140)/L282</f>
        <v>0.13771852753392183</v>
      </c>
      <c r="M284" s="426"/>
    </row>
    <row r="285" spans="1:13" ht="15.75" customHeight="1">
      <c r="A285" s="639"/>
      <c r="B285" s="69"/>
      <c r="C285" s="36"/>
      <c r="D285" s="36"/>
      <c r="E285" s="61"/>
      <c r="F285" s="1026"/>
      <c r="G285" s="97"/>
      <c r="H285" s="522"/>
      <c r="I285" s="426"/>
      <c r="J285" s="503"/>
      <c r="K285" s="503"/>
      <c r="L285" s="954"/>
      <c r="M285" s="426"/>
    </row>
    <row r="286" spans="1:13" ht="15.75" customHeight="1">
      <c r="A286" s="639">
        <f>+A284+1</f>
        <v>177</v>
      </c>
      <c r="B286" s="69"/>
      <c r="C286" s="77" t="s">
        <v>895</v>
      </c>
      <c r="D286" s="36"/>
      <c r="E286" s="74"/>
      <c r="F286" s="1026" t="str">
        <f>"(Line "&amp;A269&amp;")"</f>
        <v>(Line 165)</v>
      </c>
      <c r="G286" s="97"/>
      <c r="H286" s="521">
        <f>+H269</f>
        <v>114454734.56232533</v>
      </c>
      <c r="I286" s="641"/>
      <c r="J286" s="521">
        <f>+J269</f>
        <v>101322198.44103384</v>
      </c>
      <c r="K286" s="521">
        <f>+K269</f>
        <v>5823318.207417218</v>
      </c>
      <c r="L286" s="1013">
        <f>+L269</f>
        <v>6522725.5081195375</v>
      </c>
      <c r="M286" s="426"/>
    </row>
    <row r="287" spans="1:13" ht="15.75" customHeight="1">
      <c r="A287" s="639">
        <f>+A286+1</f>
        <v>178</v>
      </c>
      <c r="B287" s="69"/>
      <c r="C287" s="36" t="s">
        <v>369</v>
      </c>
      <c r="D287" s="36"/>
      <c r="E287" s="382"/>
      <c r="F287" s="1034" t="s">
        <v>666</v>
      </c>
      <c r="G287" s="97"/>
      <c r="H287" s="523"/>
      <c r="I287" s="327"/>
      <c r="J287" s="1728"/>
      <c r="K287" s="523"/>
      <c r="L287" s="1015"/>
      <c r="M287" s="426"/>
    </row>
    <row r="288" spans="1:13" ht="15.75" customHeight="1">
      <c r="A288" s="639">
        <f>+A287+1</f>
        <v>179</v>
      </c>
      <c r="B288" s="69"/>
      <c r="C288" s="154" t="s">
        <v>612</v>
      </c>
      <c r="D288" s="36"/>
      <c r="E288" s="382"/>
      <c r="F288" s="1034" t="s">
        <v>365</v>
      </c>
      <c r="G288" s="97"/>
      <c r="H288" s="523">
        <f>+'7 - Cap Add WS'!M32</f>
        <v>0</v>
      </c>
      <c r="I288" s="327"/>
      <c r="J288" s="523">
        <f>+H288</f>
        <v>0</v>
      </c>
      <c r="K288" s="523">
        <v>0</v>
      </c>
      <c r="L288" s="1015">
        <v>0</v>
      </c>
      <c r="M288" s="426"/>
    </row>
    <row r="289" spans="1:164" ht="15.75" customHeight="1">
      <c r="A289" s="639">
        <f>+A288+1</f>
        <v>180</v>
      </c>
      <c r="B289" s="69"/>
      <c r="C289" s="25" t="s">
        <v>114</v>
      </c>
      <c r="D289" s="150"/>
      <c r="E289" s="71"/>
      <c r="F289" s="1045" t="s">
        <v>720</v>
      </c>
      <c r="G289" s="97"/>
      <c r="H289" s="523">
        <v>0</v>
      </c>
      <c r="I289" s="327"/>
      <c r="J289" s="523">
        <v>0</v>
      </c>
      <c r="K289" s="523">
        <v>0</v>
      </c>
      <c r="L289" s="1015">
        <v>0</v>
      </c>
      <c r="M289" s="426"/>
      <c r="FH289" s="12">
        <f>SUM(A289:FG289)</f>
        <v>180</v>
      </c>
    </row>
    <row r="290" spans="1:164" ht="15.75" customHeight="1">
      <c r="A290" s="639">
        <f>+A289+1</f>
        <v>181</v>
      </c>
      <c r="B290" s="69"/>
      <c r="C290" s="77" t="s">
        <v>616</v>
      </c>
      <c r="D290" s="36"/>
      <c r="E290" s="74"/>
      <c r="F290" s="1026" t="str">
        <f>"(Line "&amp;A286&amp;" - "&amp;A287&amp;" + "&amp;A288&amp;" + "&amp;A289&amp;")"</f>
        <v>(Line 177 - 178 + 179 + 180)</v>
      </c>
      <c r="G290" s="97"/>
      <c r="H290" s="523">
        <f>SUM(H286:H289)</f>
        <v>114454734.56232533</v>
      </c>
      <c r="I290" s="641"/>
      <c r="J290" s="521">
        <f>SUM(J286:J289)</f>
        <v>101322198.44103384</v>
      </c>
      <c r="K290" s="521">
        <f>SUM(K286:K289)</f>
        <v>5823318.207417218</v>
      </c>
      <c r="L290" s="1013">
        <f>SUM(L286:L289)</f>
        <v>6522725.5081195375</v>
      </c>
      <c r="M290" s="426"/>
    </row>
    <row r="291" spans="1:164" ht="15.75" customHeight="1">
      <c r="A291" s="639"/>
      <c r="B291" s="23"/>
      <c r="C291" s="36"/>
      <c r="D291" s="36"/>
      <c r="E291" s="61"/>
      <c r="F291" s="1026"/>
      <c r="G291" s="97"/>
      <c r="H291" s="906"/>
      <c r="I291" s="425"/>
      <c r="J291" s="503"/>
      <c r="K291" s="503"/>
      <c r="L291" s="954"/>
      <c r="M291" s="426"/>
    </row>
    <row r="292" spans="1:164" ht="15.75" customHeight="1">
      <c r="A292" s="639"/>
      <c r="B292" s="102" t="s">
        <v>1085</v>
      </c>
      <c r="C292" s="36"/>
      <c r="D292" s="36"/>
      <c r="E292" s="61"/>
      <c r="F292" s="1026"/>
      <c r="G292" s="97"/>
      <c r="H292" s="906"/>
      <c r="I292" s="425"/>
      <c r="J292" s="503"/>
      <c r="K292" s="503"/>
      <c r="L292" s="954"/>
      <c r="M292" s="426"/>
    </row>
    <row r="293" spans="1:164" ht="15.75" customHeight="1">
      <c r="A293" s="639">
        <f>+A290+1</f>
        <v>182</v>
      </c>
      <c r="B293" s="69"/>
      <c r="C293" s="24" t="s">
        <v>433</v>
      </c>
      <c r="D293" s="642" t="s">
        <v>760</v>
      </c>
      <c r="E293" s="71" t="s">
        <v>755</v>
      </c>
      <c r="F293" s="1024" t="s">
        <v>102</v>
      </c>
      <c r="G293" s="97"/>
      <c r="H293" s="1859">
        <f>+'WKSHT4 - Monthly Tx System Peak'!C26</f>
        <v>4512858.8696851674</v>
      </c>
      <c r="I293" s="36"/>
      <c r="J293" s="915">
        <f>H293</f>
        <v>4512858.8696851674</v>
      </c>
      <c r="K293" s="1860">
        <f>+'WKSHT4 - Monthly Tx System Peak'!C74</f>
        <v>410500</v>
      </c>
      <c r="L293" s="1013">
        <f>+'WKSHT4 - Monthly Tx System Peak'!C51</f>
        <v>700000</v>
      </c>
      <c r="M293" s="426"/>
    </row>
    <row r="294" spans="1:164" ht="15.75" customHeight="1">
      <c r="A294" s="972">
        <f>+A293+1</f>
        <v>183</v>
      </c>
      <c r="B294" s="25"/>
      <c r="C294" s="24" t="s">
        <v>1085</v>
      </c>
      <c r="D294" s="1075"/>
      <c r="E294" s="405"/>
      <c r="F294" s="1023" t="str">
        <f>"(Line "&amp;A290&amp;" / "&amp;A293&amp;")"</f>
        <v>(Line 181 / 182)</v>
      </c>
      <c r="G294" s="97"/>
      <c r="H294" s="1137"/>
      <c r="I294" s="1861"/>
      <c r="J294" s="1137">
        <f>+J290/J293</f>
        <v>22.451887233092762</v>
      </c>
      <c r="K294" s="1862">
        <f>+K290/K293</f>
        <v>14.185915243403699</v>
      </c>
      <c r="L294" s="1863">
        <f>+L290/L293</f>
        <v>9.318179297313625</v>
      </c>
      <c r="M294" s="426"/>
    </row>
    <row r="295" spans="1:164" ht="15.75" customHeight="1" thickBot="1">
      <c r="A295" s="1076">
        <f>+A294+1</f>
        <v>184</v>
      </c>
      <c r="B295" s="1077"/>
      <c r="C295" s="1078" t="s">
        <v>417</v>
      </c>
      <c r="D295" s="1079"/>
      <c r="E295" s="1080"/>
      <c r="F295" s="1081" t="str">
        <f>"(Line "&amp;A293&amp;" / 12)"</f>
        <v>(Line 182 / 12)</v>
      </c>
      <c r="G295" s="1082"/>
      <c r="H295" s="1083"/>
      <c r="I295" s="1084"/>
      <c r="J295" s="1749">
        <f>J294/12</f>
        <v>1.8709906027577301</v>
      </c>
      <c r="K295" s="1854">
        <f>K294/12</f>
        <v>1.1821596036169748</v>
      </c>
      <c r="L295" s="1864">
        <f>L294/12</f>
        <v>0.77651494144280209</v>
      </c>
      <c r="M295" s="426"/>
    </row>
    <row r="296" spans="1:164" s="26" customFormat="1" ht="15.75" customHeight="1">
      <c r="A296" s="58"/>
      <c r="B296" s="59" t="s">
        <v>890</v>
      </c>
      <c r="C296" s="21"/>
      <c r="D296" s="21"/>
      <c r="E296" s="407"/>
      <c r="F296" s="406"/>
      <c r="H296" s="188"/>
      <c r="I296" s="425"/>
      <c r="J296" s="822"/>
      <c r="K296" s="822"/>
      <c r="L296" s="822"/>
      <c r="M296" s="426"/>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2"/>
      <c r="CX296" s="12"/>
      <c r="CY296" s="12"/>
      <c r="CZ296" s="12"/>
      <c r="DA296" s="12"/>
      <c r="DB296" s="12"/>
      <c r="DC296" s="12"/>
      <c r="DD296" s="12"/>
      <c r="DE296" s="12"/>
      <c r="DF296" s="12"/>
      <c r="DG296" s="12"/>
      <c r="DH296" s="12"/>
      <c r="DI296" s="12"/>
      <c r="DJ296" s="12"/>
      <c r="DK296" s="12"/>
      <c r="DL296" s="12"/>
      <c r="DM296" s="12"/>
      <c r="DN296" s="12"/>
      <c r="DO296" s="12"/>
      <c r="DP296" s="12"/>
      <c r="DQ296" s="12"/>
      <c r="DR296" s="12"/>
      <c r="DS296" s="12"/>
      <c r="DT296" s="12"/>
      <c r="DU296" s="12"/>
      <c r="DV296" s="12"/>
      <c r="DW296" s="12"/>
      <c r="DX296" s="12"/>
      <c r="DY296" s="12"/>
      <c r="DZ296" s="12"/>
      <c r="EA296" s="12"/>
      <c r="EB296" s="12"/>
      <c r="EC296" s="12"/>
      <c r="ED296" s="12"/>
      <c r="EE296" s="12"/>
      <c r="EF296" s="12"/>
      <c r="EG296" s="12"/>
      <c r="EH296" s="12"/>
      <c r="EI296" s="12"/>
      <c r="EJ296" s="12"/>
      <c r="EK296" s="12"/>
      <c r="EL296" s="12"/>
      <c r="EM296" s="12"/>
      <c r="EN296" s="12"/>
      <c r="EO296" s="12"/>
      <c r="EP296" s="12"/>
      <c r="EQ296" s="12"/>
      <c r="ER296" s="12"/>
      <c r="ES296" s="12"/>
      <c r="ET296" s="12"/>
      <c r="EU296" s="12"/>
      <c r="EV296" s="12"/>
      <c r="EW296" s="12"/>
      <c r="EX296" s="12"/>
      <c r="EY296" s="12"/>
      <c r="EZ296" s="12"/>
      <c r="FA296" s="12"/>
      <c r="FB296" s="12"/>
      <c r="FC296" s="12"/>
      <c r="FD296" s="12"/>
      <c r="FE296" s="12"/>
      <c r="FF296" s="12"/>
      <c r="FG296" s="12"/>
      <c r="FH296" s="12"/>
    </row>
    <row r="297" spans="1:164" ht="15.75" customHeight="1">
      <c r="A297" s="408"/>
      <c r="B297" s="69" t="s">
        <v>762</v>
      </c>
      <c r="C297" s="753" t="s">
        <v>900</v>
      </c>
      <c r="D297" s="754"/>
      <c r="E297" s="755"/>
      <c r="F297" s="756"/>
      <c r="G297" s="757"/>
      <c r="H297" s="758"/>
      <c r="I297" s="425"/>
      <c r="J297" s="425"/>
      <c r="K297" s="425"/>
      <c r="L297" s="425"/>
      <c r="M297" s="1567"/>
    </row>
    <row r="298" spans="1:164" ht="59.25" customHeight="1">
      <c r="A298" s="377"/>
      <c r="B298" s="1337" t="s">
        <v>852</v>
      </c>
      <c r="C298" s="1966" t="s">
        <v>515</v>
      </c>
      <c r="D298" s="1966"/>
      <c r="E298" s="1966"/>
      <c r="F298" s="1966"/>
      <c r="G298" s="1966"/>
      <c r="H298" s="1966"/>
      <c r="I298" s="1966"/>
      <c r="J298" s="1966"/>
      <c r="K298" s="1966"/>
      <c r="L298" s="1966"/>
      <c r="M298" s="426"/>
    </row>
    <row r="299" spans="1:164" ht="15.75" customHeight="1">
      <c r="A299" s="377"/>
      <c r="B299" s="69" t="s">
        <v>743</v>
      </c>
      <c r="C299" s="759" t="s">
        <v>901</v>
      </c>
      <c r="D299" s="753"/>
      <c r="E299" s="760"/>
      <c r="F299" s="761"/>
      <c r="G299" s="1133"/>
      <c r="H299" s="1134"/>
      <c r="I299" s="426"/>
      <c r="J299" s="426"/>
      <c r="K299" s="425"/>
      <c r="L299" s="425"/>
      <c r="M299" s="426"/>
    </row>
    <row r="300" spans="1:164" ht="15.75" customHeight="1">
      <c r="A300" s="377"/>
      <c r="B300" s="69" t="s">
        <v>763</v>
      </c>
      <c r="C300" s="751" t="s">
        <v>439</v>
      </c>
      <c r="D300" s="753"/>
      <c r="E300" s="760"/>
      <c r="F300" s="761"/>
      <c r="G300" s="1133"/>
      <c r="H300" s="1134"/>
      <c r="I300" s="426"/>
      <c r="J300" s="426"/>
      <c r="K300" s="425"/>
      <c r="L300" s="425"/>
      <c r="M300" s="426"/>
    </row>
    <row r="301" spans="1:164" ht="15.75" customHeight="1">
      <c r="A301" s="377"/>
      <c r="B301" s="69" t="s">
        <v>761</v>
      </c>
      <c r="C301" s="752" t="s">
        <v>441</v>
      </c>
      <c r="D301" s="753"/>
      <c r="E301" s="760"/>
      <c r="F301" s="761"/>
      <c r="G301" s="1133"/>
      <c r="H301" s="1134"/>
      <c r="I301" s="426"/>
      <c r="J301" s="426"/>
      <c r="K301" s="425"/>
      <c r="L301" s="425"/>
      <c r="M301" s="426"/>
    </row>
    <row r="302" spans="1:164" ht="15.75" customHeight="1">
      <c r="A302" s="377"/>
      <c r="B302" s="69" t="s">
        <v>175</v>
      </c>
      <c r="C302" s="753" t="s">
        <v>440</v>
      </c>
      <c r="D302" s="753"/>
      <c r="E302" s="760"/>
      <c r="F302" s="761"/>
      <c r="G302" s="1133"/>
      <c r="H302" s="1134"/>
      <c r="I302" s="426"/>
      <c r="J302" s="426"/>
      <c r="K302" s="425"/>
      <c r="L302" s="425"/>
      <c r="M302" s="426"/>
    </row>
    <row r="303" spans="1:164" ht="18">
      <c r="A303" s="377"/>
      <c r="B303" s="1337" t="s">
        <v>764</v>
      </c>
      <c r="C303" s="1968" t="s">
        <v>425</v>
      </c>
      <c r="D303" s="1968"/>
      <c r="E303" s="1968"/>
      <c r="F303" s="1968"/>
      <c r="G303" s="1968"/>
      <c r="H303" s="1968"/>
      <c r="I303" s="1968"/>
      <c r="J303" s="1968"/>
      <c r="K303" s="1968"/>
      <c r="L303" s="1968"/>
      <c r="M303" s="426"/>
    </row>
    <row r="304" spans="1:164" ht="18">
      <c r="A304" s="377"/>
      <c r="B304" s="69" t="s">
        <v>518</v>
      </c>
      <c r="C304" s="12" t="s">
        <v>110</v>
      </c>
      <c r="D304" s="1327"/>
      <c r="E304" s="1327"/>
      <c r="F304" s="1327"/>
      <c r="G304" s="1327"/>
      <c r="H304" s="1327"/>
      <c r="I304" s="1327"/>
      <c r="J304" s="1327"/>
      <c r="K304" s="1327"/>
      <c r="L304" s="1327"/>
      <c r="M304" s="426"/>
    </row>
    <row r="305" spans="1:13" ht="75.95" customHeight="1">
      <c r="A305" s="377"/>
      <c r="B305" s="1337" t="s">
        <v>748</v>
      </c>
      <c r="C305" s="1968" t="s">
        <v>516</v>
      </c>
      <c r="D305" s="1968"/>
      <c r="E305" s="1968"/>
      <c r="F305" s="1968"/>
      <c r="G305" s="1968"/>
      <c r="H305" s="1968"/>
      <c r="I305" s="1968"/>
      <c r="J305" s="1968"/>
      <c r="K305" s="1968"/>
      <c r="L305" s="1968"/>
      <c r="M305" s="426"/>
    </row>
    <row r="306" spans="1:13" ht="32.25" customHeight="1">
      <c r="A306" s="377"/>
      <c r="B306" s="1337" t="s">
        <v>752</v>
      </c>
      <c r="C306" s="1968" t="s">
        <v>25</v>
      </c>
      <c r="D306" s="1968"/>
      <c r="E306" s="1968"/>
      <c r="F306" s="1968"/>
      <c r="G306" s="1968"/>
      <c r="H306" s="1968"/>
      <c r="I306" s="1968"/>
      <c r="J306" s="1968"/>
      <c r="K306" s="1968"/>
      <c r="L306" s="1968"/>
      <c r="M306" s="426"/>
    </row>
    <row r="307" spans="1:13" ht="18">
      <c r="A307" s="377"/>
      <c r="B307" s="69" t="s">
        <v>766</v>
      </c>
      <c r="C307" s="1967" t="s">
        <v>442</v>
      </c>
      <c r="D307" s="1967"/>
      <c r="E307" s="1967"/>
      <c r="F307" s="1967"/>
      <c r="G307" s="1967"/>
      <c r="H307" s="1967"/>
      <c r="I307" s="1967"/>
      <c r="J307" s="1967"/>
      <c r="K307" s="1967"/>
      <c r="L307" s="1967"/>
      <c r="M307" s="426"/>
    </row>
    <row r="308" spans="1:13" ht="15.75" customHeight="1">
      <c r="A308" s="377"/>
      <c r="B308" s="69" t="s">
        <v>823</v>
      </c>
      <c r="C308" s="1969" t="s">
        <v>517</v>
      </c>
      <c r="D308" s="1969"/>
      <c r="E308" s="1969"/>
      <c r="F308" s="1969"/>
      <c r="G308" s="1969"/>
      <c r="H308" s="1969"/>
      <c r="I308" s="1969"/>
      <c r="J308" s="1969"/>
      <c r="K308" s="1969"/>
      <c r="L308" s="1969"/>
      <c r="M308" s="426"/>
    </row>
    <row r="309" spans="1:13" ht="15.75" customHeight="1">
      <c r="A309" s="22"/>
      <c r="B309" s="22" t="s">
        <v>824</v>
      </c>
      <c r="C309" s="752" t="s">
        <v>934</v>
      </c>
      <c r="D309" s="752"/>
      <c r="E309" s="760"/>
      <c r="F309" s="761"/>
      <c r="G309" s="1135"/>
      <c r="H309" s="1134"/>
      <c r="I309" s="153"/>
      <c r="J309" s="426"/>
      <c r="K309" s="425"/>
      <c r="L309" s="425"/>
      <c r="M309" s="426"/>
    </row>
    <row r="310" spans="1:13" ht="35.25" customHeight="1">
      <c r="A310" s="22"/>
      <c r="B310" s="1337" t="s">
        <v>176</v>
      </c>
      <c r="C310" s="1965" t="s">
        <v>997</v>
      </c>
      <c r="D310" s="1965"/>
      <c r="E310" s="1965"/>
      <c r="F310" s="1965"/>
      <c r="G310" s="1965"/>
      <c r="H310" s="1965"/>
      <c r="I310" s="1965"/>
      <c r="J310" s="1965"/>
      <c r="K310" s="1965"/>
      <c r="L310" s="1965"/>
      <c r="M310" s="426"/>
    </row>
    <row r="311" spans="1:13" ht="15.75" customHeight="1">
      <c r="A311" s="69"/>
      <c r="B311" s="69" t="s">
        <v>283</v>
      </c>
      <c r="C311" s="753" t="s">
        <v>303</v>
      </c>
      <c r="D311" s="753"/>
      <c r="E311" s="760"/>
      <c r="F311" s="761"/>
      <c r="G311" s="1135"/>
      <c r="H311" s="1134"/>
      <c r="I311" s="153"/>
      <c r="J311" s="426"/>
      <c r="K311" s="425"/>
      <c r="L311" s="425"/>
      <c r="M311" s="426"/>
    </row>
    <row r="312" spans="1:13" ht="15.75" customHeight="1">
      <c r="A312" s="69"/>
      <c r="B312" s="69" t="s">
        <v>305</v>
      </c>
      <c r="C312" s="753" t="s">
        <v>304</v>
      </c>
      <c r="D312" s="753"/>
      <c r="E312" s="760"/>
      <c r="F312" s="761"/>
      <c r="G312" s="1135"/>
      <c r="H312" s="1134"/>
      <c r="I312" s="153"/>
      <c r="J312" s="426"/>
      <c r="K312" s="425"/>
      <c r="L312" s="425"/>
      <c r="M312" s="426"/>
    </row>
    <row r="313" spans="1:13" ht="17.45" customHeight="1">
      <c r="A313" s="69"/>
      <c r="B313" s="69" t="s">
        <v>337</v>
      </c>
      <c r="C313" s="1965" t="s">
        <v>340</v>
      </c>
      <c r="D313" s="1965"/>
      <c r="E313" s="1965"/>
      <c r="F313" s="1965"/>
      <c r="G313" s="1965"/>
      <c r="H313" s="1965"/>
      <c r="I313" s="153"/>
      <c r="J313" s="426"/>
      <c r="K313" s="425"/>
      <c r="L313" s="425"/>
      <c r="M313" s="426"/>
    </row>
    <row r="314" spans="1:13" ht="18">
      <c r="A314" s="69"/>
      <c r="B314" s="69" t="s">
        <v>339</v>
      </c>
      <c r="C314" s="1965" t="s">
        <v>338</v>
      </c>
      <c r="D314" s="1965"/>
      <c r="E314" s="1965"/>
      <c r="F314" s="1965"/>
      <c r="G314" s="1965"/>
      <c r="H314" s="1965"/>
      <c r="I314" s="153"/>
      <c r="J314" s="426"/>
      <c r="K314" s="425"/>
      <c r="L314" s="425"/>
      <c r="M314" s="426"/>
    </row>
    <row r="315" spans="1:13" ht="15" customHeight="1">
      <c r="A315" s="69"/>
      <c r="B315" s="69" t="s">
        <v>971</v>
      </c>
      <c r="C315" s="25" t="s">
        <v>998</v>
      </c>
      <c r="D315" s="25"/>
      <c r="E315" s="405"/>
      <c r="F315" s="409"/>
      <c r="G315" s="2"/>
      <c r="H315" s="1136"/>
      <c r="I315" s="153"/>
      <c r="J315" s="426"/>
      <c r="K315" s="425"/>
      <c r="L315" s="425"/>
      <c r="M315" s="426"/>
    </row>
    <row r="316" spans="1:13" ht="15.75">
      <c r="A316" s="69"/>
      <c r="B316" s="12"/>
      <c r="C316" s="12"/>
      <c r="D316" s="25"/>
      <c r="E316" s="405"/>
      <c r="F316" s="409"/>
      <c r="H316" s="188"/>
      <c r="I316" s="56"/>
      <c r="J316" s="56"/>
      <c r="K316" s="56"/>
      <c r="L316" s="56"/>
    </row>
    <row r="317" spans="1:13" ht="15.75">
      <c r="A317" s="69"/>
      <c r="B317" s="69"/>
      <c r="C317" s="12"/>
      <c r="D317" s="25"/>
      <c r="E317" s="405"/>
      <c r="F317" s="409"/>
      <c r="H317" s="188"/>
      <c r="I317" s="56"/>
      <c r="J317" s="56"/>
      <c r="K317" s="56"/>
      <c r="L317" s="56"/>
    </row>
    <row r="318" spans="1:13" ht="15.75">
      <c r="A318" s="69"/>
      <c r="B318" s="69"/>
      <c r="C318" s="25"/>
      <c r="D318" s="25"/>
      <c r="E318" s="405"/>
      <c r="F318" s="409"/>
      <c r="H318" s="188"/>
      <c r="I318" s="56"/>
      <c r="J318" s="56"/>
      <c r="K318" s="56"/>
      <c r="L318" s="56"/>
    </row>
    <row r="319" spans="1:13" ht="15.75">
      <c r="A319" s="13"/>
      <c r="B319" s="4"/>
      <c r="C319" s="3"/>
      <c r="D319" s="14"/>
      <c r="E319" s="105"/>
      <c r="F319" s="5"/>
      <c r="H319" s="7"/>
      <c r="I319" s="56"/>
      <c r="J319" s="56"/>
      <c r="K319" s="56"/>
      <c r="L319" s="56"/>
    </row>
    <row r="320" spans="1:13" ht="15.75">
      <c r="A320" s="52" t="s">
        <v>741</v>
      </c>
      <c r="B320" s="51"/>
      <c r="C320" s="45"/>
      <c r="D320" s="44"/>
      <c r="E320" s="410"/>
      <c r="F320" s="44"/>
      <c r="G320" s="442"/>
      <c r="H320" s="45"/>
      <c r="I320" s="435"/>
      <c r="J320" s="435"/>
      <c r="K320" s="435"/>
      <c r="L320" s="435"/>
    </row>
  </sheetData>
  <mergeCells count="9">
    <mergeCell ref="C314:H314"/>
    <mergeCell ref="C298:L298"/>
    <mergeCell ref="C313:H313"/>
    <mergeCell ref="C307:L307"/>
    <mergeCell ref="C306:L306"/>
    <mergeCell ref="C303:L303"/>
    <mergeCell ref="C305:L305"/>
    <mergeCell ref="C310:L310"/>
    <mergeCell ref="C308:L308"/>
  </mergeCells>
  <phoneticPr fontId="64" type="noConversion"/>
  <pageMargins left="0.1" right="0.1" top="0" bottom="0" header="0.5" footer="0.5"/>
  <pageSetup scale="48" fitToHeight="4" orientation="landscape" r:id="rId1"/>
  <headerFooter alignWithMargins="0"/>
  <rowBreaks count="5" manualBreakCount="5">
    <brk id="62" max="11" man="1"/>
    <brk id="136" max="11" man="1"/>
    <brk id="159" max="11" man="1"/>
    <brk id="218" max="11" man="1"/>
    <brk id="29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40"/>
  <sheetViews>
    <sheetView topLeftCell="A76" zoomScale="75" zoomScaleNormal="75" zoomScaleSheetLayoutView="65" workbookViewId="0">
      <selection activeCell="F96" sqref="F96"/>
    </sheetView>
  </sheetViews>
  <sheetFormatPr defaultRowHeight="12.75"/>
  <cols>
    <col min="1" max="1" width="11.42578125" style="110" customWidth="1"/>
    <col min="2" max="2" width="37.42578125" style="110" customWidth="1"/>
    <col min="3" max="3" width="19.85546875" style="110" customWidth="1"/>
    <col min="4" max="4" width="17" customWidth="1"/>
    <col min="5" max="5" width="16.5703125" customWidth="1"/>
    <col min="6" max="7" width="16.85546875" customWidth="1"/>
    <col min="8" max="9" width="16.5703125" customWidth="1"/>
    <col min="10" max="10" width="72" customWidth="1"/>
    <col min="11" max="11" width="15.7109375" bestFit="1" customWidth="1"/>
    <col min="14" max="14" width="14.140625" customWidth="1"/>
    <col min="15" max="15" width="10.28515625" bestFit="1" customWidth="1"/>
  </cols>
  <sheetData>
    <row r="1" spans="1:13" ht="18">
      <c r="A1" s="1976" t="str">
        <f>+'ATT H-1 '!A3</f>
        <v xml:space="preserve">Puget Sound Energy </v>
      </c>
      <c r="B1" s="1976"/>
      <c r="C1" s="1976"/>
      <c r="D1" s="1977"/>
      <c r="E1" s="1977"/>
      <c r="F1" s="1977"/>
      <c r="G1" s="1977"/>
      <c r="H1" s="1977"/>
      <c r="I1" s="1977"/>
      <c r="J1" s="1978"/>
    </row>
    <row r="2" spans="1:13" ht="18">
      <c r="A2" s="106"/>
      <c r="B2" s="106"/>
      <c r="C2" s="106"/>
      <c r="D2" s="168"/>
      <c r="E2" s="168"/>
      <c r="F2" s="168"/>
      <c r="G2" s="168"/>
      <c r="H2" s="168"/>
      <c r="I2" s="168"/>
      <c r="J2" s="85"/>
    </row>
    <row r="3" spans="1:13" ht="15.75">
      <c r="A3" s="1189" t="s">
        <v>664</v>
      </c>
      <c r="B3" s="171"/>
      <c r="C3" s="171"/>
      <c r="D3" s="172"/>
      <c r="E3" s="172"/>
      <c r="F3" s="172"/>
      <c r="G3" s="172"/>
      <c r="H3" s="172"/>
      <c r="I3" s="172"/>
      <c r="J3" s="172"/>
    </row>
    <row r="4" spans="1:13" ht="15">
      <c r="A4" s="167"/>
      <c r="B4" s="167"/>
      <c r="C4" s="167"/>
      <c r="D4" s="149"/>
      <c r="E4" s="149"/>
      <c r="F4" s="149"/>
      <c r="G4" s="149"/>
      <c r="H4" s="149"/>
      <c r="I4" s="149"/>
      <c r="J4" s="149"/>
    </row>
    <row r="5" spans="1:13">
      <c r="A5" s="126"/>
      <c r="B5" s="126"/>
      <c r="C5" s="126"/>
      <c r="D5" s="2"/>
      <c r="E5" s="2"/>
      <c r="F5" s="87" t="s">
        <v>760</v>
      </c>
      <c r="G5" s="87"/>
      <c r="H5" s="2"/>
      <c r="I5" s="87"/>
      <c r="J5" s="2"/>
    </row>
    <row r="6" spans="1:13">
      <c r="A6" s="126"/>
      <c r="B6" s="126"/>
      <c r="C6" s="126"/>
      <c r="D6" s="2"/>
      <c r="E6" s="176"/>
      <c r="F6" s="127" t="s">
        <v>944</v>
      </c>
      <c r="G6" s="127" t="s">
        <v>115</v>
      </c>
      <c r="H6" s="127" t="s">
        <v>117</v>
      </c>
      <c r="I6" s="127" t="s">
        <v>851</v>
      </c>
      <c r="J6" s="2"/>
    </row>
    <row r="7" spans="1:13">
      <c r="A7" s="126"/>
      <c r="B7" s="126"/>
      <c r="C7" s="126"/>
      <c r="D7" s="2"/>
      <c r="E7" s="84"/>
      <c r="F7" s="127" t="s">
        <v>116</v>
      </c>
      <c r="G7" s="127" t="s">
        <v>116</v>
      </c>
      <c r="H7" s="127" t="s">
        <v>116</v>
      </c>
      <c r="I7" s="127" t="s">
        <v>125</v>
      </c>
      <c r="J7" s="2"/>
    </row>
    <row r="8" spans="1:13">
      <c r="A8" s="126"/>
      <c r="B8" s="126"/>
      <c r="C8" s="126"/>
      <c r="D8" s="2"/>
      <c r="E8" s="2"/>
      <c r="F8" s="2"/>
      <c r="G8" s="2"/>
      <c r="H8" s="2"/>
      <c r="I8" s="2"/>
      <c r="J8" s="2"/>
      <c r="L8" s="183"/>
    </row>
    <row r="9" spans="1:13">
      <c r="A9" s="126"/>
      <c r="B9" s="126"/>
      <c r="C9" s="126"/>
      <c r="D9" s="2"/>
      <c r="E9" s="2"/>
      <c r="F9" s="2"/>
      <c r="G9" s="2"/>
      <c r="H9" s="2"/>
      <c r="I9" s="2"/>
      <c r="J9" s="2"/>
    </row>
    <row r="10" spans="1:13">
      <c r="A10" s="126"/>
      <c r="B10" s="126"/>
      <c r="C10" s="126"/>
      <c r="D10" s="180" t="s">
        <v>946</v>
      </c>
      <c r="E10" s="2"/>
      <c r="F10" s="107">
        <f>+G71</f>
        <v>0</v>
      </c>
      <c r="G10" s="107">
        <f>+H71</f>
        <v>-1271834230.5</v>
      </c>
      <c r="H10" s="107">
        <f>+I71</f>
        <v>0</v>
      </c>
      <c r="I10" s="107">
        <f>SUM(F10:H10)</f>
        <v>-1271834230.5</v>
      </c>
      <c r="J10" s="2"/>
    </row>
    <row r="11" spans="1:13">
      <c r="A11" s="126"/>
      <c r="B11" s="126"/>
      <c r="C11" s="126"/>
      <c r="D11" s="180" t="s">
        <v>947</v>
      </c>
      <c r="E11" s="2"/>
      <c r="F11" s="107">
        <f>+G109</f>
        <v>0</v>
      </c>
      <c r="G11" s="107">
        <f>+H109</f>
        <v>-4226273</v>
      </c>
      <c r="H11" s="107">
        <f>+I109</f>
        <v>-46571676</v>
      </c>
      <c r="I11" s="107">
        <f>SUM(F11:H11)</f>
        <v>-50797949</v>
      </c>
      <c r="J11" s="181"/>
    </row>
    <row r="12" spans="1:13">
      <c r="A12" s="126"/>
      <c r="B12" s="126"/>
      <c r="C12" s="126"/>
      <c r="D12" s="180" t="s">
        <v>945</v>
      </c>
      <c r="E12" s="2"/>
      <c r="F12" s="107">
        <f>+G46</f>
        <v>0</v>
      </c>
      <c r="G12" s="107">
        <f>+H46</f>
        <v>24966410</v>
      </c>
      <c r="H12" s="107">
        <f>+I46</f>
        <v>35237633.5</v>
      </c>
      <c r="I12" s="107">
        <f>SUM(F12:H12)</f>
        <v>60204043.5</v>
      </c>
      <c r="J12" s="181"/>
    </row>
    <row r="13" spans="1:13">
      <c r="A13" s="126"/>
      <c r="B13" s="126"/>
      <c r="C13" s="126"/>
      <c r="D13" s="180" t="s">
        <v>899</v>
      </c>
      <c r="E13" s="2"/>
      <c r="F13" s="107">
        <f>SUM(F10:F12)</f>
        <v>0</v>
      </c>
      <c r="G13" s="107">
        <f>SUM(G10:G12)</f>
        <v>-1251094093.5</v>
      </c>
      <c r="H13" s="107">
        <f>SUM(H10:H12)</f>
        <v>-11334042.5</v>
      </c>
      <c r="I13" s="107">
        <f>SUM(F13:H13)</f>
        <v>-1262428136</v>
      </c>
      <c r="J13" s="107"/>
      <c r="K13" s="1750"/>
      <c r="L13" s="1750"/>
    </row>
    <row r="14" spans="1:13">
      <c r="A14" s="126"/>
      <c r="B14" s="126"/>
      <c r="C14" s="126"/>
      <c r="D14" s="180" t="s">
        <v>826</v>
      </c>
      <c r="E14" s="2"/>
      <c r="F14" s="2"/>
      <c r="G14" s="2"/>
      <c r="H14" s="1188">
        <f>+'ATT H-1 '!H13</f>
        <v>0.14184700966165151</v>
      </c>
      <c r="I14" s="2"/>
      <c r="J14" s="2"/>
      <c r="K14" s="97"/>
      <c r="L14" s="97"/>
      <c r="M14" s="97"/>
    </row>
    <row r="15" spans="1:13">
      <c r="A15" s="126"/>
      <c r="B15" s="126"/>
      <c r="C15" s="126"/>
      <c r="D15" s="180" t="s">
        <v>744</v>
      </c>
      <c r="E15" s="2"/>
      <c r="F15" s="2"/>
      <c r="G15" s="1188">
        <f>+'ATT H-1 '!H23</f>
        <v>0.16665248111147754</v>
      </c>
      <c r="H15" s="2"/>
      <c r="I15" s="2"/>
      <c r="J15" s="2"/>
      <c r="K15" s="97"/>
      <c r="L15" s="97"/>
      <c r="M15" s="97"/>
    </row>
    <row r="16" spans="1:13">
      <c r="A16" s="126"/>
      <c r="B16" s="126"/>
      <c r="C16" s="126"/>
      <c r="D16" s="180" t="s">
        <v>125</v>
      </c>
      <c r="E16" s="2"/>
      <c r="F16" s="107">
        <f>+F13</f>
        <v>0</v>
      </c>
      <c r="G16" s="107">
        <f>+G15*G13</f>
        <v>-208497934.78568986</v>
      </c>
      <c r="H16" s="107">
        <f>+H14*H13</f>
        <v>-1607700.0360030688</v>
      </c>
      <c r="I16" s="107">
        <f>SUM(F16:H16)</f>
        <v>-210105634.82169294</v>
      </c>
      <c r="J16" s="2"/>
      <c r="K16" s="798"/>
      <c r="L16" s="798"/>
      <c r="M16" s="798"/>
    </row>
    <row r="17" spans="1:13">
      <c r="A17" s="126"/>
      <c r="B17" s="126"/>
      <c r="C17" s="126"/>
      <c r="D17" s="2"/>
      <c r="E17" s="2"/>
      <c r="F17" s="2"/>
      <c r="G17" s="2"/>
      <c r="H17" s="2"/>
      <c r="I17" s="2"/>
      <c r="J17" s="2"/>
      <c r="K17" s="97"/>
      <c r="L17" s="97"/>
      <c r="M17" s="97"/>
    </row>
    <row r="18" spans="1:13">
      <c r="A18" s="1192"/>
      <c r="B18" s="1192"/>
      <c r="C18" s="1192"/>
      <c r="D18" s="1192"/>
      <c r="E18" s="1192"/>
      <c r="F18" s="1192"/>
      <c r="G18" s="1192"/>
      <c r="H18" s="1192"/>
      <c r="I18" s="1192"/>
      <c r="J18" s="1192"/>
      <c r="K18" s="97"/>
      <c r="L18" s="97"/>
      <c r="M18" s="97"/>
    </row>
    <row r="19" spans="1:13">
      <c r="A19" s="1479"/>
      <c r="B19" s="1479"/>
      <c r="C19" s="1479"/>
      <c r="D19" s="1192"/>
      <c r="E19" s="1192"/>
      <c r="F19" s="1192"/>
      <c r="G19" s="1192"/>
      <c r="H19" s="1192"/>
      <c r="I19" s="1192"/>
      <c r="J19" s="1192"/>
    </row>
    <row r="20" spans="1:13">
      <c r="A20" s="1579" t="s">
        <v>180</v>
      </c>
      <c r="B20" s="1479"/>
      <c r="C20" s="1479"/>
      <c r="D20" s="1192"/>
      <c r="E20" s="1192"/>
      <c r="F20" s="1192"/>
      <c r="G20" s="1192"/>
      <c r="H20" s="1192"/>
      <c r="I20" s="1192"/>
      <c r="J20" s="1192"/>
    </row>
    <row r="21" spans="1:13">
      <c r="A21" s="1579" t="s">
        <v>864</v>
      </c>
      <c r="B21" s="1479"/>
      <c r="C21" s="1479"/>
      <c r="D21" s="1192"/>
      <c r="E21" s="1192"/>
      <c r="F21" s="1192"/>
      <c r="G21" s="1192"/>
      <c r="H21" s="1192"/>
      <c r="I21" s="1192"/>
      <c r="J21" s="1192"/>
    </row>
    <row r="22" spans="1:13" ht="15">
      <c r="A22" s="1479"/>
      <c r="B22" s="1479"/>
      <c r="C22" s="1479"/>
      <c r="D22" s="1480"/>
      <c r="E22" s="1480"/>
      <c r="F22" s="1480"/>
      <c r="G22" s="1480"/>
      <c r="H22" s="1480"/>
      <c r="I22" s="1480"/>
      <c r="J22" s="1481"/>
    </row>
    <row r="23" spans="1:13">
      <c r="A23" s="126"/>
      <c r="B23" s="126"/>
      <c r="C23" s="126"/>
      <c r="D23" s="2"/>
      <c r="E23" s="2"/>
      <c r="F23" s="2"/>
      <c r="G23" s="2"/>
      <c r="H23" s="2"/>
      <c r="I23" s="119"/>
      <c r="J23" s="2"/>
    </row>
    <row r="24" spans="1:13">
      <c r="A24" s="127" t="s">
        <v>762</v>
      </c>
      <c r="B24" s="127"/>
      <c r="C24" s="127"/>
      <c r="D24" s="127"/>
      <c r="E24" s="157" t="s">
        <v>852</v>
      </c>
      <c r="F24" s="157" t="s">
        <v>743</v>
      </c>
      <c r="G24" s="157" t="s">
        <v>763</v>
      </c>
      <c r="H24" s="157" t="s">
        <v>761</v>
      </c>
      <c r="I24" s="157" t="s">
        <v>175</v>
      </c>
      <c r="J24" s="157" t="s">
        <v>764</v>
      </c>
    </row>
    <row r="25" spans="1:13">
      <c r="A25" s="126"/>
      <c r="B25" s="126"/>
      <c r="C25" s="836" t="s">
        <v>851</v>
      </c>
      <c r="D25" s="180" t="s">
        <v>851</v>
      </c>
      <c r="E25" s="127" t="s">
        <v>851</v>
      </c>
      <c r="F25" s="127" t="s">
        <v>118</v>
      </c>
      <c r="G25" s="127" t="s">
        <v>120</v>
      </c>
      <c r="H25" s="87"/>
      <c r="I25" s="87"/>
      <c r="J25" s="2"/>
    </row>
    <row r="26" spans="1:13">
      <c r="A26" s="180" t="s">
        <v>945</v>
      </c>
      <c r="B26" s="180"/>
      <c r="C26" s="180" t="s">
        <v>346</v>
      </c>
      <c r="D26" s="180" t="s">
        <v>235</v>
      </c>
      <c r="E26" s="127" t="s">
        <v>347</v>
      </c>
      <c r="F26" s="127" t="s">
        <v>119</v>
      </c>
      <c r="G26" s="127" t="s">
        <v>944</v>
      </c>
      <c r="H26" s="127" t="s">
        <v>115</v>
      </c>
      <c r="I26" s="127" t="s">
        <v>117</v>
      </c>
      <c r="J26" s="2"/>
    </row>
    <row r="27" spans="1:13">
      <c r="A27" s="126"/>
      <c r="B27" s="126"/>
      <c r="C27" s="126"/>
      <c r="D27" s="2"/>
      <c r="E27" s="87"/>
      <c r="F27" s="127" t="s">
        <v>116</v>
      </c>
      <c r="G27" s="127" t="s">
        <v>116</v>
      </c>
      <c r="H27" s="127" t="s">
        <v>116</v>
      </c>
      <c r="I27" s="127" t="s">
        <v>116</v>
      </c>
      <c r="J27" s="127" t="s">
        <v>735</v>
      </c>
    </row>
    <row r="28" spans="1:13">
      <c r="A28" s="126"/>
      <c r="B28" s="126"/>
      <c r="C28" s="126"/>
      <c r="D28" s="1185"/>
      <c r="E28" s="1185"/>
      <c r="F28" s="2"/>
      <c r="G28" s="2"/>
      <c r="H28" s="2"/>
      <c r="I28" s="2"/>
      <c r="J28" s="2"/>
    </row>
    <row r="29" spans="1:13">
      <c r="A29" s="1585" t="s">
        <v>1273</v>
      </c>
      <c r="B29" s="1580"/>
      <c r="C29" s="1581">
        <v>104622173</v>
      </c>
      <c r="D29" s="1581">
        <v>96005049</v>
      </c>
      <c r="E29" s="1581">
        <f t="shared" ref="E29:E34" si="0">AVERAGE(C29,D29)</f>
        <v>100313611</v>
      </c>
      <c r="F29" s="1581">
        <f>E29</f>
        <v>100313611</v>
      </c>
      <c r="G29" s="1581"/>
      <c r="H29" s="1581"/>
      <c r="I29" s="1581"/>
      <c r="J29" s="1582" t="s">
        <v>462</v>
      </c>
      <c r="K29" s="97"/>
    </row>
    <row r="30" spans="1:13">
      <c r="A30" s="1585" t="s">
        <v>89</v>
      </c>
      <c r="B30" s="1584"/>
      <c r="C30" s="1581">
        <v>35866381</v>
      </c>
      <c r="D30" s="1581">
        <v>33166144</v>
      </c>
      <c r="E30" s="1581">
        <f t="shared" si="0"/>
        <v>34516262.5</v>
      </c>
      <c r="F30" s="1581"/>
      <c r="G30" s="1581"/>
      <c r="H30" s="1581"/>
      <c r="I30" s="1581">
        <f>E30</f>
        <v>34516262.5</v>
      </c>
      <c r="J30" s="1582" t="s">
        <v>112</v>
      </c>
      <c r="K30" s="97"/>
    </row>
    <row r="31" spans="1:13">
      <c r="A31" s="1585" t="s">
        <v>90</v>
      </c>
      <c r="B31" s="1584"/>
      <c r="C31" s="1581">
        <v>0</v>
      </c>
      <c r="D31" s="1581">
        <v>0</v>
      </c>
      <c r="E31" s="1581">
        <f t="shared" si="0"/>
        <v>0</v>
      </c>
      <c r="F31" s="1581">
        <f>E31</f>
        <v>0</v>
      </c>
      <c r="G31" s="1581"/>
      <c r="H31" s="1581"/>
      <c r="I31" s="1581"/>
      <c r="J31" s="1582" t="s">
        <v>615</v>
      </c>
      <c r="K31" s="97"/>
    </row>
    <row r="32" spans="1:13">
      <c r="A32" s="1585" t="s">
        <v>91</v>
      </c>
      <c r="B32" s="1580"/>
      <c r="C32" s="1581">
        <v>0</v>
      </c>
      <c r="D32" s="1581">
        <v>0</v>
      </c>
      <c r="E32" s="1581">
        <f t="shared" si="0"/>
        <v>0</v>
      </c>
      <c r="F32" s="1581">
        <f>E32</f>
        <v>0</v>
      </c>
      <c r="G32" s="1581"/>
      <c r="H32" s="1581"/>
      <c r="I32" s="1581"/>
      <c r="J32" s="1582" t="s">
        <v>615</v>
      </c>
      <c r="K32" s="97"/>
    </row>
    <row r="33" spans="1:11">
      <c r="A33" s="1585" t="s">
        <v>92</v>
      </c>
      <c r="B33" s="1580"/>
      <c r="C33" s="1581">
        <v>58194954</v>
      </c>
      <c r="D33" s="1581">
        <v>63694514</v>
      </c>
      <c r="E33" s="1581">
        <f t="shared" si="0"/>
        <v>60944734</v>
      </c>
      <c r="F33" s="1581">
        <f>E33</f>
        <v>60944734</v>
      </c>
      <c r="G33" s="1581"/>
      <c r="H33" s="1581"/>
      <c r="I33" s="1581"/>
      <c r="J33" s="1582" t="s">
        <v>728</v>
      </c>
      <c r="K33" s="97"/>
    </row>
    <row r="34" spans="1:11">
      <c r="A34" s="1585" t="s">
        <v>726</v>
      </c>
      <c r="B34" s="1586"/>
      <c r="C34" s="1581">
        <v>0</v>
      </c>
      <c r="D34" s="1581">
        <v>0</v>
      </c>
      <c r="E34" s="1581">
        <f t="shared" si="0"/>
        <v>0</v>
      </c>
      <c r="F34" s="1581">
        <f>E34</f>
        <v>0</v>
      </c>
      <c r="G34" s="1581"/>
      <c r="H34" s="1588"/>
      <c r="I34" s="1581"/>
      <c r="J34" s="1582" t="s">
        <v>1311</v>
      </c>
      <c r="K34" s="1735"/>
    </row>
    <row r="35" spans="1:11">
      <c r="A35" s="1585" t="s">
        <v>1348</v>
      </c>
      <c r="B35" s="1580"/>
      <c r="C35" s="1581">
        <v>0</v>
      </c>
      <c r="D35" s="1581">
        <v>64531287</v>
      </c>
      <c r="E35" s="1581">
        <f>AVERAGE(C35,D35)</f>
        <v>32265643.5</v>
      </c>
      <c r="F35" s="1581">
        <v>11044758</v>
      </c>
      <c r="G35" s="1581"/>
      <c r="H35" s="1581"/>
      <c r="I35" s="1581"/>
      <c r="J35" s="1582" t="s">
        <v>1351</v>
      </c>
      <c r="K35" s="1735"/>
    </row>
    <row r="36" spans="1:11">
      <c r="A36" s="1585" t="s">
        <v>1349</v>
      </c>
      <c r="B36" s="1580"/>
      <c r="C36" s="1581">
        <v>42007648</v>
      </c>
      <c r="D36" s="1581">
        <v>35239080</v>
      </c>
      <c r="E36" s="1581">
        <f>AVERAGE(C36,D36)</f>
        <v>38623364</v>
      </c>
      <c r="F36" s="1581">
        <f>E36</f>
        <v>38623364</v>
      </c>
      <c r="G36" s="1581"/>
      <c r="H36" s="1581">
        <v>24966410</v>
      </c>
      <c r="I36" s="1581"/>
      <c r="J36" s="1582" t="s">
        <v>126</v>
      </c>
      <c r="K36" s="97"/>
    </row>
    <row r="37" spans="1:11">
      <c r="A37" s="1585" t="s">
        <v>88</v>
      </c>
      <c r="B37" s="1580"/>
      <c r="C37" s="1581">
        <v>76628940</v>
      </c>
      <c r="D37" s="1581">
        <v>126759287</v>
      </c>
      <c r="E37" s="1581">
        <f>AVERAGE(C37,D37)</f>
        <v>101694113.5</v>
      </c>
      <c r="F37" s="1581">
        <f>E37</f>
        <v>101694113.5</v>
      </c>
      <c r="G37" s="1581"/>
      <c r="H37" s="1581"/>
      <c r="I37" s="1581"/>
      <c r="J37" s="1582" t="s">
        <v>1352</v>
      </c>
      <c r="K37" s="97"/>
    </row>
    <row r="38" spans="1:11">
      <c r="A38" s="1585" t="s">
        <v>1350</v>
      </c>
      <c r="B38" s="1580"/>
      <c r="C38" s="1581">
        <v>1947674</v>
      </c>
      <c r="D38" s="1581">
        <v>10621083</v>
      </c>
      <c r="E38" s="1581">
        <f>AVERAGE(C38,D38)</f>
        <v>6284378.5</v>
      </c>
      <c r="F38" s="1581">
        <f>E38</f>
        <v>6284378.5</v>
      </c>
      <c r="G38" s="1581"/>
      <c r="H38" s="1581"/>
      <c r="I38" s="1581"/>
      <c r="J38" s="1582" t="s">
        <v>1350</v>
      </c>
      <c r="K38" s="97"/>
    </row>
    <row r="39" spans="1:11">
      <c r="A39" s="1585"/>
      <c r="B39" s="1580"/>
      <c r="C39" s="1581"/>
      <c r="D39" s="1589"/>
      <c r="E39" s="1588"/>
      <c r="F39" s="1588"/>
      <c r="G39" s="1588"/>
      <c r="H39" s="1588"/>
      <c r="I39" s="1588"/>
      <c r="J39" s="1582"/>
      <c r="K39" s="97"/>
    </row>
    <row r="40" spans="1:11">
      <c r="A40" s="1585"/>
      <c r="B40" s="1580"/>
      <c r="C40" s="1581"/>
      <c r="D40" s="1590"/>
      <c r="E40" s="1581"/>
      <c r="F40" s="1581"/>
      <c r="G40" s="1581"/>
      <c r="H40" s="1581"/>
      <c r="I40" s="1581"/>
      <c r="J40" s="1582"/>
      <c r="K40" s="97"/>
    </row>
    <row r="41" spans="1:11">
      <c r="A41" s="1585"/>
      <c r="B41" s="1580"/>
      <c r="C41" s="1581"/>
      <c r="D41" s="1590"/>
      <c r="E41" s="1581"/>
      <c r="F41" s="1581"/>
      <c r="G41" s="1581"/>
      <c r="H41" s="1581"/>
      <c r="I41" s="1581"/>
      <c r="J41" s="1582"/>
      <c r="K41" s="97"/>
    </row>
    <row r="42" spans="1:11">
      <c r="A42" s="1585"/>
      <c r="B42" s="1580"/>
      <c r="C42" s="1581"/>
      <c r="D42" s="1590"/>
      <c r="E42" s="1588"/>
      <c r="F42" s="1588"/>
      <c r="G42" s="1588"/>
      <c r="H42" s="1588"/>
      <c r="I42" s="1588"/>
      <c r="J42" s="1582"/>
      <c r="K42" s="97"/>
    </row>
    <row r="43" spans="1:11">
      <c r="A43" s="1591" t="s">
        <v>124</v>
      </c>
      <c r="B43" s="1482"/>
      <c r="C43" s="1482"/>
      <c r="D43" s="1483"/>
      <c r="E43" s="1484">
        <f>SUM(E29:E42)</f>
        <v>374642107</v>
      </c>
      <c r="F43" s="1484">
        <f>SUM(F29:F42)</f>
        <v>318904959</v>
      </c>
      <c r="G43" s="130">
        <f>SUM(G29:G42)</f>
        <v>0</v>
      </c>
      <c r="H43" s="130">
        <f>SUM(H29:H42)</f>
        <v>24966410</v>
      </c>
      <c r="I43" s="130">
        <f>SUM(I29:I42)</f>
        <v>34516262.5</v>
      </c>
      <c r="J43" s="160"/>
      <c r="K43" s="97"/>
    </row>
    <row r="44" spans="1:11">
      <c r="A44" s="1592" t="s">
        <v>671</v>
      </c>
      <c r="B44" s="1485"/>
      <c r="C44" s="1485"/>
      <c r="D44" s="1486"/>
      <c r="E44" s="1484">
        <v>0</v>
      </c>
      <c r="F44" s="1484">
        <v>0</v>
      </c>
      <c r="G44" s="130">
        <v>0</v>
      </c>
      <c r="H44" s="1187">
        <v>0</v>
      </c>
      <c r="I44" s="130">
        <f>E44</f>
        <v>0</v>
      </c>
      <c r="J44" s="162"/>
      <c r="K44" s="97"/>
    </row>
    <row r="45" spans="1:11">
      <c r="A45" s="1593" t="s">
        <v>672</v>
      </c>
      <c r="B45" s="1487"/>
      <c r="C45" s="1487"/>
      <c r="D45" s="1488"/>
      <c r="E45" s="1484">
        <v>-721371</v>
      </c>
      <c r="F45" s="1484">
        <v>0</v>
      </c>
      <c r="G45" s="130">
        <v>0</v>
      </c>
      <c r="H45" s="130">
        <v>0</v>
      </c>
      <c r="I45" s="130">
        <f>E45</f>
        <v>-721371</v>
      </c>
      <c r="J45" s="162"/>
      <c r="K45" s="97"/>
    </row>
    <row r="46" spans="1:11">
      <c r="A46" s="1591" t="s">
        <v>851</v>
      </c>
      <c r="B46" s="1482"/>
      <c r="C46" s="1532">
        <f>SUM(C29:C45)</f>
        <v>319267770</v>
      </c>
      <c r="D46" s="1532">
        <f>SUM(D29:D45)</f>
        <v>430016444</v>
      </c>
      <c r="E46" s="1484">
        <f>+E43-E44-E45</f>
        <v>375363478</v>
      </c>
      <c r="F46" s="1484">
        <f>+F43-F44-F45</f>
        <v>318904959</v>
      </c>
      <c r="G46" s="130">
        <f>+G43-G44-G45</f>
        <v>0</v>
      </c>
      <c r="H46" s="130">
        <f>+H43-H44-H45</f>
        <v>24966410</v>
      </c>
      <c r="I46" s="130">
        <f>+I43-I44-I45</f>
        <v>35237633.5</v>
      </c>
      <c r="J46" s="160"/>
      <c r="K46" s="97"/>
    </row>
    <row r="47" spans="1:11">
      <c r="A47" s="1594"/>
      <c r="B47" s="1489"/>
      <c r="C47" s="1489"/>
      <c r="D47" s="1490"/>
      <c r="E47" s="1491"/>
      <c r="F47" s="1492"/>
      <c r="G47" s="104"/>
      <c r="H47" s="148"/>
      <c r="I47" s="103"/>
      <c r="J47" s="138"/>
      <c r="K47" s="97"/>
    </row>
    <row r="48" spans="1:11">
      <c r="A48" s="1595" t="s">
        <v>121</v>
      </c>
      <c r="B48" s="1596"/>
      <c r="C48" s="1597"/>
      <c r="D48" s="1598"/>
      <c r="E48" s="1599"/>
      <c r="F48" s="1600"/>
      <c r="G48" s="97"/>
      <c r="H48" s="97"/>
      <c r="I48" s="138"/>
      <c r="J48" s="97"/>
    </row>
    <row r="49" spans="1:11" ht="25.5" customHeight="1">
      <c r="A49" s="1970" t="s">
        <v>573</v>
      </c>
      <c r="B49" s="1971"/>
      <c r="C49" s="1971"/>
      <c r="D49" s="1971"/>
      <c r="E49" s="1971"/>
      <c r="F49" s="1972"/>
      <c r="G49" s="97"/>
      <c r="H49" s="97"/>
      <c r="I49" s="169"/>
      <c r="J49" s="97"/>
    </row>
    <row r="50" spans="1:11">
      <c r="A50" s="1601" t="s">
        <v>574</v>
      </c>
      <c r="B50" s="1602"/>
      <c r="C50" s="1603"/>
      <c r="D50" s="1603"/>
      <c r="E50" s="1604"/>
      <c r="F50" s="1605"/>
      <c r="G50" s="97"/>
      <c r="H50" s="97"/>
      <c r="I50" s="138"/>
      <c r="J50" s="97"/>
    </row>
    <row r="51" spans="1:11">
      <c r="A51" s="1601" t="s">
        <v>921</v>
      </c>
      <c r="B51" s="1602"/>
      <c r="C51" s="1603"/>
      <c r="D51" s="1603"/>
      <c r="E51" s="1604"/>
      <c r="F51" s="1605"/>
      <c r="G51" s="97"/>
      <c r="H51" s="97"/>
      <c r="I51" s="169"/>
      <c r="J51" s="97"/>
    </row>
    <row r="52" spans="1:11">
      <c r="A52" s="1601" t="s">
        <v>922</v>
      </c>
      <c r="B52" s="1602"/>
      <c r="C52" s="1603"/>
      <c r="D52" s="1603"/>
      <c r="E52" s="1604"/>
      <c r="F52" s="1605"/>
      <c r="G52" s="97"/>
      <c r="H52" s="97"/>
      <c r="I52" s="138"/>
      <c r="J52" s="97"/>
    </row>
    <row r="53" spans="1:11" ht="42" customHeight="1">
      <c r="A53" s="1973" t="s">
        <v>581</v>
      </c>
      <c r="B53" s="1974"/>
      <c r="C53" s="1974"/>
      <c r="D53" s="1974"/>
      <c r="E53" s="1974"/>
      <c r="F53" s="1975"/>
      <c r="G53" s="97"/>
      <c r="H53" s="97"/>
      <c r="I53" s="97"/>
      <c r="J53" s="142"/>
    </row>
    <row r="54" spans="1:11">
      <c r="A54" s="1606" t="s">
        <v>714</v>
      </c>
      <c r="B54" s="1607"/>
      <c r="C54" s="1607"/>
      <c r="D54" s="1607"/>
      <c r="E54" s="1607"/>
      <c r="F54" s="1608"/>
      <c r="G54" s="97"/>
      <c r="H54" s="97"/>
      <c r="I54" s="138"/>
      <c r="J54" s="97"/>
    </row>
    <row r="55" spans="1:11">
      <c r="A55" s="136"/>
      <c r="B55" s="136"/>
      <c r="C55" s="97"/>
      <c r="D55" s="104"/>
      <c r="E55" s="104"/>
      <c r="F55" s="103"/>
      <c r="G55" s="103"/>
      <c r="H55" s="97"/>
      <c r="J55" s="138"/>
      <c r="K55" s="97"/>
    </row>
    <row r="56" spans="1:11" ht="15">
      <c r="A56" s="136"/>
      <c r="B56" s="136"/>
      <c r="C56" s="136"/>
      <c r="D56" s="134"/>
      <c r="E56" s="134"/>
      <c r="F56" s="134"/>
      <c r="G56" s="134"/>
      <c r="H56" s="134"/>
      <c r="I56" s="134"/>
      <c r="J56" s="138"/>
      <c r="K56" s="97"/>
    </row>
    <row r="57" spans="1:11">
      <c r="A57" s="132"/>
      <c r="B57" s="132"/>
      <c r="C57" s="132"/>
      <c r="D57" s="133"/>
      <c r="E57" s="97"/>
      <c r="F57" s="97"/>
      <c r="G57" s="97"/>
      <c r="H57" s="97"/>
      <c r="I57" s="97"/>
      <c r="J57" s="104"/>
      <c r="K57" s="97"/>
    </row>
    <row r="58" spans="1:11" ht="15.75">
      <c r="A58" s="387" t="s">
        <v>664</v>
      </c>
      <c r="B58" s="186"/>
      <c r="C58" s="186"/>
      <c r="D58" s="135"/>
      <c r="E58" s="135"/>
      <c r="F58" s="135"/>
      <c r="G58" s="135"/>
      <c r="H58" s="135"/>
      <c r="I58" s="135"/>
      <c r="J58" s="135"/>
      <c r="K58" s="97"/>
    </row>
    <row r="59" spans="1:11" ht="15">
      <c r="A59" s="134"/>
      <c r="B59" s="134"/>
      <c r="C59" s="134"/>
      <c r="D59" s="135"/>
      <c r="E59" s="135"/>
      <c r="F59" s="135"/>
      <c r="G59" s="135"/>
      <c r="H59" s="135"/>
      <c r="I59" s="135"/>
      <c r="J59" s="135"/>
      <c r="K59" s="97"/>
    </row>
    <row r="60" spans="1:11">
      <c r="A60" s="157" t="s">
        <v>762</v>
      </c>
      <c r="B60" s="136"/>
      <c r="C60" s="136"/>
      <c r="E60" s="157" t="s">
        <v>852</v>
      </c>
      <c r="F60" s="157" t="s">
        <v>743</v>
      </c>
      <c r="G60" s="157" t="s">
        <v>763</v>
      </c>
      <c r="H60" s="157" t="s">
        <v>761</v>
      </c>
      <c r="I60" s="157" t="s">
        <v>175</v>
      </c>
      <c r="J60" s="157" t="s">
        <v>764</v>
      </c>
      <c r="K60" s="97"/>
    </row>
    <row r="61" spans="1:11">
      <c r="A61" s="2"/>
      <c r="B61" s="1190"/>
      <c r="C61" s="836" t="s">
        <v>851</v>
      </c>
      <c r="D61" s="180" t="s">
        <v>851</v>
      </c>
      <c r="E61" s="127" t="s">
        <v>851</v>
      </c>
      <c r="F61" s="127" t="s">
        <v>118</v>
      </c>
      <c r="G61" s="127" t="s">
        <v>120</v>
      </c>
      <c r="H61" s="87"/>
      <c r="I61" s="87"/>
      <c r="J61" s="2"/>
      <c r="K61" s="97"/>
    </row>
    <row r="62" spans="1:11">
      <c r="A62" s="632" t="s">
        <v>946</v>
      </c>
      <c r="B62" s="1191"/>
      <c r="C62" s="180" t="s">
        <v>346</v>
      </c>
      <c r="D62" s="180" t="s">
        <v>235</v>
      </c>
      <c r="E62" s="127" t="s">
        <v>347</v>
      </c>
      <c r="F62" s="127" t="s">
        <v>119</v>
      </c>
      <c r="G62" s="127" t="s">
        <v>944</v>
      </c>
      <c r="H62" s="127" t="s">
        <v>115</v>
      </c>
      <c r="I62" s="127" t="s">
        <v>117</v>
      </c>
      <c r="J62" s="1192"/>
      <c r="K62" s="97"/>
    </row>
    <row r="63" spans="1:11">
      <c r="A63" s="1191"/>
      <c r="B63" s="1191"/>
      <c r="C63" s="1191"/>
      <c r="D63" s="1193"/>
      <c r="E63" s="127"/>
      <c r="F63" s="127" t="s">
        <v>116</v>
      </c>
      <c r="G63" s="127" t="s">
        <v>116</v>
      </c>
      <c r="H63" s="127" t="s">
        <v>116</v>
      </c>
      <c r="I63" s="127" t="s">
        <v>116</v>
      </c>
      <c r="J63" s="127" t="s">
        <v>735</v>
      </c>
      <c r="K63" s="97"/>
    </row>
    <row r="64" spans="1:11">
      <c r="A64" s="1609" t="s">
        <v>950</v>
      </c>
      <c r="B64" s="1610"/>
      <c r="C64" s="1581">
        <v>-602278391</v>
      </c>
      <c r="D64" s="1581">
        <v>-599370776</v>
      </c>
      <c r="E64" s="1581">
        <f>AVERAGE(C64,D64)</f>
        <v>-600824583.5</v>
      </c>
      <c r="F64" s="1581">
        <f>E64</f>
        <v>-600824583.5</v>
      </c>
      <c r="G64" s="1581"/>
      <c r="H64" s="1581"/>
      <c r="I64" s="1581"/>
      <c r="J64" s="1587" t="s">
        <v>111</v>
      </c>
      <c r="K64" s="97"/>
    </row>
    <row r="65" spans="1:15">
      <c r="A65" s="1609" t="s">
        <v>951</v>
      </c>
      <c r="B65" s="1610"/>
      <c r="C65" s="1581">
        <v>-1290998120</v>
      </c>
      <c r="D65" s="1581">
        <v>-1255961008</v>
      </c>
      <c r="E65" s="1581">
        <f>AVERAGE(C65,D65)</f>
        <v>-1273479564</v>
      </c>
      <c r="F65" s="1581"/>
      <c r="G65" s="1581"/>
      <c r="H65" s="1581">
        <f>E65</f>
        <v>-1273479564</v>
      </c>
      <c r="I65" s="1581"/>
      <c r="J65" s="1587" t="s">
        <v>461</v>
      </c>
      <c r="K65" s="97"/>
    </row>
    <row r="66" spans="1:15">
      <c r="A66" s="1609" t="s">
        <v>1353</v>
      </c>
      <c r="B66" s="1610"/>
      <c r="C66" s="1581">
        <v>602776</v>
      </c>
      <c r="D66" s="1957">
        <v>2687891</v>
      </c>
      <c r="E66" s="1581">
        <f>AVERAGE(C66,D66)</f>
        <v>1645333.5</v>
      </c>
      <c r="F66" s="1581"/>
      <c r="G66" s="1581"/>
      <c r="H66" s="1581">
        <f>E66</f>
        <v>1645333.5</v>
      </c>
      <c r="I66" s="1581"/>
      <c r="J66" s="1587" t="s">
        <v>1354</v>
      </c>
      <c r="K66" s="97"/>
    </row>
    <row r="67" spans="1:15">
      <c r="A67" s="1494"/>
      <c r="B67" s="1495"/>
      <c r="C67" s="1495"/>
      <c r="D67" s="161"/>
      <c r="E67" s="130"/>
      <c r="F67" s="130"/>
      <c r="G67" s="130"/>
      <c r="H67" s="130"/>
      <c r="I67" s="130"/>
      <c r="J67" s="160"/>
      <c r="K67" s="97"/>
      <c r="O67" s="1533"/>
    </row>
    <row r="68" spans="1:15">
      <c r="A68" s="1611" t="s">
        <v>715</v>
      </c>
      <c r="B68" s="1496"/>
      <c r="C68" s="1496"/>
      <c r="D68" s="161"/>
      <c r="E68" s="1484">
        <f>SUM(E64:E67)</f>
        <v>-1872658814</v>
      </c>
      <c r="F68" s="1484">
        <f>SUM(F64:F67)</f>
        <v>-600824583.5</v>
      </c>
      <c r="G68" s="130">
        <f>SUM(G64:G67)</f>
        <v>0</v>
      </c>
      <c r="H68" s="130">
        <f>SUM(H64:H67)</f>
        <v>-1271834230.5</v>
      </c>
      <c r="I68" s="130">
        <f>SUM(I64:I67)</f>
        <v>0</v>
      </c>
      <c r="J68" s="160"/>
      <c r="K68" s="97"/>
    </row>
    <row r="69" spans="1:15">
      <c r="A69" s="1612" t="s">
        <v>671</v>
      </c>
      <c r="B69" s="1497"/>
      <c r="C69" s="1898">
        <v>702760965</v>
      </c>
      <c r="D69" s="1898">
        <v>675615181</v>
      </c>
      <c r="E69" s="130">
        <f>AVERAGE(C69,D69)</f>
        <v>689188073</v>
      </c>
      <c r="F69" s="1484">
        <f>E69</f>
        <v>689188073</v>
      </c>
      <c r="G69" s="130"/>
      <c r="H69" s="130">
        <v>0</v>
      </c>
      <c r="I69" s="130"/>
      <c r="J69" s="162"/>
      <c r="K69" s="97"/>
      <c r="O69" s="1534"/>
    </row>
    <row r="70" spans="1:15">
      <c r="A70" s="1613" t="s">
        <v>672</v>
      </c>
      <c r="B70" s="1498"/>
      <c r="C70" s="1830"/>
      <c r="D70" s="1830"/>
      <c r="E70" s="1484">
        <f>SUM(F70:I70)</f>
        <v>0</v>
      </c>
      <c r="F70" s="1484"/>
      <c r="G70" s="130"/>
      <c r="H70" s="130"/>
      <c r="I70" s="130"/>
      <c r="J70" s="162"/>
      <c r="K70" s="97"/>
    </row>
    <row r="71" spans="1:15">
      <c r="A71" s="1614" t="s">
        <v>851</v>
      </c>
      <c r="B71" s="1335"/>
      <c r="C71" s="1831">
        <f>SUM(C64:C70)</f>
        <v>-1189912770</v>
      </c>
      <c r="D71" s="1831">
        <f>SUM(D64:D70)</f>
        <v>-1177028712</v>
      </c>
      <c r="E71" s="1484">
        <f>+E68-E69-E70</f>
        <v>-2561846887</v>
      </c>
      <c r="F71" s="1484">
        <f>+F68-F69-F70</f>
        <v>-1290012656.5</v>
      </c>
      <c r="G71" s="130">
        <f>+G68-G69-G70</f>
        <v>0</v>
      </c>
      <c r="H71" s="130">
        <f>+H68-H69-H70</f>
        <v>-1271834230.5</v>
      </c>
      <c r="I71" s="130">
        <f>+I68-I69-I70</f>
        <v>0</v>
      </c>
      <c r="J71" s="160"/>
      <c r="K71" s="97"/>
    </row>
    <row r="72" spans="1:15">
      <c r="A72" s="1191"/>
      <c r="B72" s="1191"/>
      <c r="C72" s="1191"/>
      <c r="D72" s="1499"/>
      <c r="E72" s="1493"/>
      <c r="F72" s="1493"/>
      <c r="G72" s="146"/>
      <c r="H72" s="103"/>
      <c r="I72" s="103"/>
      <c r="J72" s="138"/>
      <c r="K72" s="97"/>
    </row>
    <row r="73" spans="1:15">
      <c r="A73" s="1595" t="s">
        <v>123</v>
      </c>
      <c r="B73" s="1597"/>
      <c r="C73" s="1597"/>
      <c r="D73" s="1597"/>
      <c r="E73" s="1615"/>
      <c r="F73" s="1600"/>
      <c r="G73" s="138"/>
      <c r="H73" s="104"/>
      <c r="I73" s="2"/>
      <c r="J73" s="2"/>
    </row>
    <row r="74" spans="1:15">
      <c r="A74" s="1970" t="s">
        <v>573</v>
      </c>
      <c r="B74" s="1971"/>
      <c r="C74" s="1971"/>
      <c r="D74" s="1971"/>
      <c r="E74" s="1971"/>
      <c r="F74" s="1972"/>
      <c r="G74" s="138"/>
      <c r="H74" s="1818"/>
      <c r="I74" s="104"/>
      <c r="J74" s="2"/>
    </row>
    <row r="75" spans="1:15">
      <c r="A75" s="1601" t="s">
        <v>574</v>
      </c>
      <c r="B75" s="1603"/>
      <c r="C75" s="1603"/>
      <c r="D75" s="1603"/>
      <c r="E75" s="1604"/>
      <c r="F75" s="1605"/>
      <c r="G75" s="138"/>
      <c r="H75" s="1818"/>
      <c r="I75" s="104"/>
      <c r="J75" s="2"/>
      <c r="O75" s="1534"/>
    </row>
    <row r="76" spans="1:15">
      <c r="A76" s="1601" t="s">
        <v>921</v>
      </c>
      <c r="B76" s="1603"/>
      <c r="C76" s="1603"/>
      <c r="D76" s="1603"/>
      <c r="E76" s="1604"/>
      <c r="F76" s="1605"/>
      <c r="G76" s="138"/>
      <c r="H76" s="1818"/>
      <c r="I76" s="104"/>
      <c r="J76" s="2"/>
    </row>
    <row r="77" spans="1:15">
      <c r="A77" s="1601" t="s">
        <v>922</v>
      </c>
      <c r="B77" s="1603"/>
      <c r="C77" s="1603"/>
      <c r="D77" s="1603"/>
      <c r="E77" s="1604"/>
      <c r="F77" s="1605"/>
      <c r="G77" s="138"/>
      <c r="H77" s="104"/>
      <c r="I77" s="2"/>
      <c r="J77" s="2"/>
    </row>
    <row r="78" spans="1:15" ht="39" customHeight="1">
      <c r="A78" s="1970" t="s">
        <v>581</v>
      </c>
      <c r="B78" s="1971"/>
      <c r="C78" s="1971"/>
      <c r="D78" s="1971"/>
      <c r="E78" s="1971"/>
      <c r="F78" s="1972"/>
      <c r="G78" s="104"/>
      <c r="H78" s="142"/>
      <c r="I78" s="2"/>
      <c r="J78" s="2"/>
    </row>
    <row r="79" spans="1:15">
      <c r="A79" s="1606" t="s">
        <v>714</v>
      </c>
      <c r="B79" s="1616"/>
      <c r="C79" s="1616"/>
      <c r="D79" s="1616"/>
      <c r="E79" s="1617"/>
      <c r="F79" s="1618"/>
      <c r="G79" s="138"/>
      <c r="H79" s="104"/>
      <c r="I79" s="2"/>
      <c r="J79" s="2"/>
    </row>
    <row r="80" spans="1:15">
      <c r="A80" s="1190"/>
      <c r="B80" s="1190"/>
      <c r="C80" s="1190"/>
      <c r="D80" s="143"/>
      <c r="E80" s="104"/>
      <c r="F80" s="104"/>
      <c r="G80" s="104"/>
      <c r="H80" s="103"/>
      <c r="I80" s="103"/>
      <c r="J80" s="138"/>
      <c r="K80" s="97"/>
    </row>
    <row r="81" spans="1:11" ht="18">
      <c r="A81" s="1194"/>
      <c r="B81" s="1194"/>
      <c r="C81" s="1194"/>
      <c r="D81" s="1195"/>
      <c r="E81" s="1195"/>
      <c r="F81" s="1195"/>
      <c r="G81" s="1195"/>
      <c r="H81" s="1195"/>
      <c r="I81" s="1195"/>
      <c r="J81" s="1196"/>
      <c r="K81" s="97"/>
    </row>
    <row r="82" spans="1:11" ht="18">
      <c r="A82" s="1197"/>
      <c r="B82" s="1197"/>
      <c r="C82" s="1197"/>
      <c r="D82" s="1198"/>
      <c r="E82" s="165"/>
      <c r="F82" s="165"/>
      <c r="G82" s="165"/>
      <c r="H82" s="165"/>
      <c r="I82" s="165"/>
      <c r="J82" s="165"/>
      <c r="K82" s="97"/>
    </row>
    <row r="83" spans="1:11" ht="15.75">
      <c r="A83" s="1428" t="s">
        <v>664</v>
      </c>
      <c r="B83" s="1199"/>
      <c r="C83" s="1199"/>
      <c r="D83" s="1196"/>
      <c r="E83" s="1196"/>
      <c r="F83" s="1196"/>
      <c r="G83" s="1196"/>
      <c r="H83" s="1196"/>
      <c r="I83" s="1196"/>
      <c r="J83" s="1196"/>
      <c r="K83" s="97"/>
    </row>
    <row r="84" spans="1:11">
      <c r="A84" s="1190"/>
      <c r="B84" s="1190"/>
      <c r="C84" s="1190"/>
      <c r="D84" s="104"/>
      <c r="E84" s="104"/>
      <c r="F84" s="104"/>
      <c r="G84" s="104"/>
      <c r="H84" s="104"/>
      <c r="I84" s="1200"/>
      <c r="J84" s="138"/>
      <c r="K84" s="97"/>
    </row>
    <row r="85" spans="1:11">
      <c r="A85" s="127" t="s">
        <v>762</v>
      </c>
      <c r="B85" s="1190"/>
      <c r="C85" s="1190"/>
      <c r="D85" s="2"/>
      <c r="E85" s="127" t="s">
        <v>852</v>
      </c>
      <c r="F85" s="127" t="s">
        <v>743</v>
      </c>
      <c r="G85" s="127" t="s">
        <v>763</v>
      </c>
      <c r="H85" s="127" t="s">
        <v>761</v>
      </c>
      <c r="I85" s="127" t="s">
        <v>175</v>
      </c>
      <c r="J85" s="127" t="s">
        <v>764</v>
      </c>
      <c r="K85" s="97"/>
    </row>
    <row r="86" spans="1:11">
      <c r="A86" s="185"/>
      <c r="B86" s="1201"/>
      <c r="C86" s="836" t="s">
        <v>851</v>
      </c>
      <c r="D86" s="180" t="s">
        <v>851</v>
      </c>
      <c r="E86" s="127" t="s">
        <v>851</v>
      </c>
      <c r="F86" s="127" t="s">
        <v>118</v>
      </c>
      <c r="G86" s="127" t="s">
        <v>120</v>
      </c>
      <c r="H86" s="127"/>
      <c r="I86" s="127"/>
      <c r="J86" s="84"/>
      <c r="K86" s="97"/>
    </row>
    <row r="87" spans="1:11">
      <c r="A87" s="632" t="s">
        <v>947</v>
      </c>
      <c r="B87" s="1202"/>
      <c r="C87" s="180" t="s">
        <v>346</v>
      </c>
      <c r="D87" s="180" t="s">
        <v>235</v>
      </c>
      <c r="E87" s="127" t="s">
        <v>347</v>
      </c>
      <c r="F87" s="127" t="s">
        <v>119</v>
      </c>
      <c r="G87" s="127" t="s">
        <v>944</v>
      </c>
      <c r="H87" s="127" t="s">
        <v>115</v>
      </c>
      <c r="I87" s="127" t="s">
        <v>117</v>
      </c>
      <c r="J87" s="84"/>
      <c r="K87" s="97"/>
    </row>
    <row r="88" spans="1:11">
      <c r="A88" s="1202"/>
      <c r="B88" s="1202"/>
      <c r="C88" s="1202"/>
      <c r="D88" s="1159"/>
      <c r="E88" s="127"/>
      <c r="F88" s="127" t="s">
        <v>116</v>
      </c>
      <c r="G88" s="127" t="s">
        <v>116</v>
      </c>
      <c r="H88" s="127" t="s">
        <v>116</v>
      </c>
      <c r="I88" s="127" t="s">
        <v>116</v>
      </c>
      <c r="J88" s="127" t="s">
        <v>735</v>
      </c>
      <c r="K88" s="97"/>
    </row>
    <row r="89" spans="1:11">
      <c r="A89" s="1609" t="s">
        <v>956</v>
      </c>
      <c r="B89" s="1610"/>
      <c r="C89" s="1581">
        <v>0</v>
      </c>
      <c r="D89" s="1581">
        <v>0</v>
      </c>
      <c r="E89" s="1581">
        <f t="shared" ref="E89:E98" si="1">AVERAGE(C89,D89)</f>
        <v>0</v>
      </c>
      <c r="F89" s="1581">
        <f>E89</f>
        <v>0</v>
      </c>
      <c r="G89" s="1581"/>
      <c r="H89" s="1588"/>
      <c r="I89" s="1581"/>
      <c r="J89" s="1587" t="s">
        <v>462</v>
      </c>
      <c r="K89" s="97"/>
    </row>
    <row r="90" spans="1:11">
      <c r="A90" s="1609" t="s">
        <v>952</v>
      </c>
      <c r="B90" s="1610"/>
      <c r="C90" s="1581">
        <v>-46016126</v>
      </c>
      <c r="D90" s="1581">
        <v>-47127226</v>
      </c>
      <c r="E90" s="1581">
        <f t="shared" si="1"/>
        <v>-46571676</v>
      </c>
      <c r="F90" s="1581"/>
      <c r="G90" s="1581"/>
      <c r="H90" s="1619"/>
      <c r="I90" s="1581">
        <f>E90</f>
        <v>-46571676</v>
      </c>
      <c r="J90" s="1587" t="s">
        <v>112</v>
      </c>
      <c r="K90" s="97"/>
    </row>
    <row r="91" spans="1:11">
      <c r="A91" s="1609" t="s">
        <v>957</v>
      </c>
      <c r="B91" s="1610"/>
      <c r="C91" s="1581">
        <v>-26835718</v>
      </c>
      <c r="D91" s="1581">
        <v>-26780077</v>
      </c>
      <c r="E91" s="1581">
        <f t="shared" si="1"/>
        <v>-26807897.5</v>
      </c>
      <c r="F91" s="1581">
        <f>E91</f>
        <v>-26807897.5</v>
      </c>
      <c r="G91" s="1581"/>
      <c r="H91" s="1581"/>
      <c r="I91" s="1581"/>
      <c r="J91" s="1582" t="s">
        <v>728</v>
      </c>
      <c r="K91" s="97"/>
    </row>
    <row r="92" spans="1:11">
      <c r="A92" s="1609" t="s">
        <v>958</v>
      </c>
      <c r="B92" s="1610"/>
      <c r="C92" s="1581">
        <v>-73966599</v>
      </c>
      <c r="D92" s="1581">
        <v>-72123585</v>
      </c>
      <c r="E92" s="1581">
        <f t="shared" si="1"/>
        <v>-73045092</v>
      </c>
      <c r="F92" s="1581">
        <f>E92</f>
        <v>-73045092</v>
      </c>
      <c r="G92" s="1581"/>
      <c r="H92" s="1581"/>
      <c r="I92" s="1581"/>
      <c r="J92" s="1582" t="s">
        <v>728</v>
      </c>
      <c r="K92" s="1816"/>
    </row>
    <row r="93" spans="1:11">
      <c r="A93" s="1609" t="s">
        <v>959</v>
      </c>
      <c r="B93" s="1620"/>
      <c r="C93" s="1581">
        <v>0</v>
      </c>
      <c r="D93" s="1581">
        <v>0</v>
      </c>
      <c r="E93" s="1581">
        <f t="shared" si="1"/>
        <v>0</v>
      </c>
      <c r="F93" s="1581">
        <f>E93</f>
        <v>0</v>
      </c>
      <c r="G93" s="1581"/>
      <c r="H93" s="1581"/>
      <c r="I93" s="1581"/>
      <c r="J93" s="1582" t="s">
        <v>615</v>
      </c>
      <c r="K93" s="1816"/>
    </row>
    <row r="94" spans="1:11">
      <c r="A94" s="1609" t="s">
        <v>87</v>
      </c>
      <c r="B94" s="1620"/>
      <c r="C94" s="1581">
        <v>0</v>
      </c>
      <c r="D94" s="1581">
        <v>0</v>
      </c>
      <c r="E94" s="1581">
        <f t="shared" si="1"/>
        <v>0</v>
      </c>
      <c r="F94" s="1581">
        <f>E94</f>
        <v>0</v>
      </c>
      <c r="G94" s="1581"/>
      <c r="H94" s="1581"/>
      <c r="I94" s="1581"/>
      <c r="J94" s="1582" t="s">
        <v>728</v>
      </c>
      <c r="K94" s="1816"/>
    </row>
    <row r="95" spans="1:11">
      <c r="A95" s="1609" t="s">
        <v>1348</v>
      </c>
      <c r="B95" s="1620"/>
      <c r="C95" s="1581">
        <v>51176</v>
      </c>
      <c r="D95" s="1581">
        <v>-64627705</v>
      </c>
      <c r="E95" s="1581">
        <f t="shared" si="1"/>
        <v>-32288264.5</v>
      </c>
      <c r="F95" s="1581">
        <f>E95</f>
        <v>-32288264.5</v>
      </c>
      <c r="G95" s="1581"/>
      <c r="H95" s="1581"/>
      <c r="I95" s="1581"/>
      <c r="J95" s="1587" t="s">
        <v>1351</v>
      </c>
      <c r="K95" s="1839"/>
    </row>
    <row r="96" spans="1:11">
      <c r="A96" s="1609" t="s">
        <v>169</v>
      </c>
      <c r="B96" s="1620"/>
      <c r="C96" s="1581">
        <v>-3594188</v>
      </c>
      <c r="D96" s="1581">
        <v>-4858358</v>
      </c>
      <c r="E96" s="1581">
        <f t="shared" si="1"/>
        <v>-4226273</v>
      </c>
      <c r="F96" s="1581"/>
      <c r="G96" s="1581"/>
      <c r="H96" s="1581">
        <f>E96</f>
        <v>-4226273</v>
      </c>
      <c r="I96" s="1581"/>
      <c r="J96" s="1582" t="s">
        <v>461</v>
      </c>
      <c r="K96" s="1818"/>
    </row>
    <row r="97" spans="1:11">
      <c r="A97" s="1609" t="s">
        <v>88</v>
      </c>
      <c r="B97" s="1620"/>
      <c r="C97" s="1581">
        <v>-34890493</v>
      </c>
      <c r="D97" s="1581">
        <v>-94146211</v>
      </c>
      <c r="E97" s="1581">
        <f t="shared" si="1"/>
        <v>-64518352</v>
      </c>
      <c r="F97" s="1581">
        <f t="shared" ref="F97:F98" si="2">E97</f>
        <v>-64518352</v>
      </c>
      <c r="G97" s="1581"/>
      <c r="H97" s="1581"/>
      <c r="I97" s="1581"/>
      <c r="J97" s="1587" t="s">
        <v>1274</v>
      </c>
      <c r="K97" s="1816"/>
    </row>
    <row r="98" spans="1:11">
      <c r="A98" s="1621" t="s">
        <v>1350</v>
      </c>
      <c r="B98" s="1622"/>
      <c r="C98" s="1581">
        <v>-30359296</v>
      </c>
      <c r="D98" s="1581">
        <v>-84909583</v>
      </c>
      <c r="E98" s="1581">
        <f t="shared" si="1"/>
        <v>-57634439.5</v>
      </c>
      <c r="F98" s="1581">
        <f t="shared" si="2"/>
        <v>-57634439.5</v>
      </c>
      <c r="G98" s="1588"/>
      <c r="H98" s="1588"/>
      <c r="I98" s="1588"/>
      <c r="J98" s="1582"/>
      <c r="K98" s="97"/>
    </row>
    <row r="99" spans="1:11">
      <c r="A99" s="1609"/>
      <c r="B99" s="1620"/>
      <c r="C99" s="1620"/>
      <c r="D99" s="1623"/>
      <c r="E99" s="1581"/>
      <c r="F99" s="1581"/>
      <c r="G99" s="1581"/>
      <c r="H99" s="1588"/>
      <c r="I99" s="1581"/>
      <c r="J99" s="1587"/>
      <c r="K99" s="97"/>
    </row>
    <row r="100" spans="1:11">
      <c r="A100" s="1609"/>
      <c r="B100" s="1610"/>
      <c r="C100" s="1610"/>
      <c r="D100" s="1624"/>
      <c r="E100" s="1581"/>
      <c r="F100" s="1581"/>
      <c r="G100" s="1581"/>
      <c r="H100" s="1581"/>
      <c r="I100" s="1581"/>
      <c r="J100" s="1582"/>
      <c r="K100" s="97"/>
    </row>
    <row r="101" spans="1:11">
      <c r="A101" s="1621"/>
      <c r="B101" s="1622"/>
      <c r="C101" s="1622"/>
      <c r="D101" s="1624"/>
      <c r="E101" s="1581"/>
      <c r="F101" s="1581"/>
      <c r="G101" s="1588"/>
      <c r="H101" s="1581"/>
      <c r="I101" s="1581"/>
      <c r="J101" s="1582"/>
      <c r="K101" s="97"/>
    </row>
    <row r="102" spans="1:11">
      <c r="A102" s="1583"/>
      <c r="B102" s="1622"/>
      <c r="C102" s="1622"/>
      <c r="D102" s="1623"/>
      <c r="E102" s="1581"/>
      <c r="F102" s="1581"/>
      <c r="G102" s="1581"/>
      <c r="H102" s="1581"/>
      <c r="I102" s="1581"/>
      <c r="J102" s="1582"/>
      <c r="K102" s="97"/>
    </row>
    <row r="103" spans="1:11">
      <c r="A103" s="1583"/>
      <c r="B103" s="1584"/>
      <c r="C103" s="1584"/>
      <c r="D103" s="1623"/>
      <c r="E103" s="1581"/>
      <c r="F103" s="1581"/>
      <c r="G103" s="1581"/>
      <c r="H103" s="1581"/>
      <c r="I103" s="1581"/>
      <c r="J103" s="1582"/>
      <c r="K103" s="97"/>
    </row>
    <row r="104" spans="1:11">
      <c r="A104" s="1625"/>
      <c r="B104" s="1626"/>
      <c r="C104" s="1626"/>
      <c r="D104" s="1623"/>
      <c r="E104" s="1581"/>
      <c r="F104" s="1581"/>
      <c r="G104" s="1581"/>
      <c r="H104" s="1581"/>
      <c r="I104" s="1581"/>
      <c r="J104" s="1582"/>
      <c r="K104" s="97"/>
    </row>
    <row r="105" spans="1:11">
      <c r="A105" s="1627"/>
      <c r="B105" s="1628"/>
      <c r="C105" s="1628"/>
      <c r="D105" s="1623"/>
      <c r="E105" s="1581"/>
      <c r="F105" s="1588"/>
      <c r="G105" s="1588"/>
      <c r="H105" s="1588"/>
      <c r="I105" s="1588"/>
      <c r="J105" s="1582"/>
      <c r="K105" s="97"/>
    </row>
    <row r="106" spans="1:11">
      <c r="A106" s="1629" t="s">
        <v>716</v>
      </c>
      <c r="B106" s="1500"/>
      <c r="C106" s="1500"/>
      <c r="D106" s="161"/>
      <c r="E106" s="1484">
        <f>SUM(E89:E105)</f>
        <v>-305091994.5</v>
      </c>
      <c r="F106" s="1484">
        <f>SUM(F89:F105)</f>
        <v>-254294045.5</v>
      </c>
      <c r="G106" s="130">
        <f>SUM(G89:G105)</f>
        <v>0</v>
      </c>
      <c r="H106" s="130">
        <f>SUM(H89:H105)</f>
        <v>-4226273</v>
      </c>
      <c r="I106" s="130">
        <f>SUM(I89:I105)</f>
        <v>-46571676</v>
      </c>
      <c r="J106" s="162"/>
      <c r="K106" s="97"/>
    </row>
    <row r="107" spans="1:11">
      <c r="A107" s="1614" t="s">
        <v>671</v>
      </c>
      <c r="B107" s="1335"/>
      <c r="C107" s="1335"/>
      <c r="D107" s="161"/>
      <c r="E107" s="1501">
        <v>0</v>
      </c>
      <c r="F107" s="1501">
        <f>+E107</f>
        <v>0</v>
      </c>
      <c r="G107" s="131">
        <v>0</v>
      </c>
      <c r="H107" s="131">
        <v>0</v>
      </c>
      <c r="I107" s="131">
        <v>0</v>
      </c>
      <c r="J107" s="162"/>
      <c r="K107" s="97"/>
    </row>
    <row r="108" spans="1:11">
      <c r="A108" s="1614" t="s">
        <v>672</v>
      </c>
      <c r="B108" s="1335"/>
      <c r="C108" s="1335"/>
      <c r="D108" s="161"/>
      <c r="E108" s="1501">
        <v>0</v>
      </c>
      <c r="F108" s="1501">
        <v>0</v>
      </c>
      <c r="G108" s="131">
        <v>0</v>
      </c>
      <c r="H108" s="131">
        <v>0</v>
      </c>
      <c r="I108" s="131">
        <f>+E108</f>
        <v>0</v>
      </c>
      <c r="J108" s="160"/>
      <c r="K108" s="97"/>
    </row>
    <row r="109" spans="1:11">
      <c r="A109" s="1630" t="s">
        <v>851</v>
      </c>
      <c r="B109" s="1502"/>
      <c r="C109" s="1832">
        <f>SUM(C89:C108)</f>
        <v>-215611244</v>
      </c>
      <c r="D109" s="1832">
        <f>SUM(D89:D108)</f>
        <v>-394572745</v>
      </c>
      <c r="E109" s="1501">
        <f>+E106-E107-E108</f>
        <v>-305091994.5</v>
      </c>
      <c r="F109" s="1501">
        <f>+F106-F107-F108</f>
        <v>-254294045.5</v>
      </c>
      <c r="G109" s="131">
        <f>+G106-G107-G108</f>
        <v>0</v>
      </c>
      <c r="H109" s="131">
        <f>+H106-H107-H108</f>
        <v>-4226273</v>
      </c>
      <c r="I109" s="131">
        <f>+I106-I107-I108</f>
        <v>-46571676</v>
      </c>
      <c r="J109" s="160"/>
      <c r="K109" s="97"/>
    </row>
    <row r="110" spans="1:11">
      <c r="A110" s="1191"/>
      <c r="B110" s="1191"/>
      <c r="C110" s="1191"/>
      <c r="D110" s="1838"/>
      <c r="E110" s="1493"/>
      <c r="F110" s="1503"/>
      <c r="G110" s="146"/>
      <c r="H110" s="146"/>
      <c r="I110" s="146"/>
      <c r="J110" s="138"/>
      <c r="K110" s="97"/>
    </row>
    <row r="111" spans="1:11">
      <c r="A111" s="1595" t="s">
        <v>122</v>
      </c>
      <c r="B111" s="1596"/>
      <c r="C111" s="1597"/>
      <c r="D111" s="1597"/>
      <c r="E111" s="1615"/>
      <c r="F111" s="1600"/>
      <c r="G111" s="170"/>
      <c r="H111" s="323"/>
    </row>
    <row r="112" spans="1:11">
      <c r="A112" s="1970" t="s">
        <v>573</v>
      </c>
      <c r="B112" s="1971"/>
      <c r="C112" s="1971"/>
      <c r="D112" s="1971"/>
      <c r="E112" s="1971"/>
      <c r="F112" s="1972"/>
      <c r="G112" s="138"/>
      <c r="H112" s="324"/>
    </row>
    <row r="113" spans="1:11">
      <c r="A113" s="1601" t="s">
        <v>574</v>
      </c>
      <c r="B113" s="1602"/>
      <c r="C113" s="1603"/>
      <c r="D113" s="1603"/>
      <c r="E113" s="1604"/>
      <c r="F113" s="1605"/>
      <c r="G113" s="170"/>
      <c r="H113" s="97"/>
    </row>
    <row r="114" spans="1:11">
      <c r="A114" s="1601" t="s">
        <v>921</v>
      </c>
      <c r="B114" s="1602"/>
      <c r="C114" s="1603"/>
      <c r="D114" s="1603"/>
      <c r="E114" s="1604"/>
      <c r="F114" s="1605"/>
      <c r="G114" s="138"/>
      <c r="H114" s="325"/>
    </row>
    <row r="115" spans="1:11">
      <c r="A115" s="1601" t="s">
        <v>922</v>
      </c>
      <c r="B115" s="1602"/>
      <c r="C115" s="1602"/>
      <c r="D115" s="1602"/>
      <c r="E115" s="1602"/>
      <c r="F115" s="1631"/>
      <c r="G115" s="142"/>
      <c r="H115" s="97"/>
    </row>
    <row r="116" spans="1:11" ht="38.25" customHeight="1">
      <c r="A116" s="1973" t="str">
        <f>+A78</f>
        <v>5. Deferred income taxes arise when items are included in taxable income in different periods than they are included in rates, therefore if the item giving rise to the ADIT is not included in the formula, the associated ADIT amount shall be excluded</v>
      </c>
      <c r="B116" s="1974"/>
      <c r="C116" s="1974"/>
      <c r="D116" s="1974"/>
      <c r="E116" s="1974"/>
      <c r="F116" s="1975"/>
      <c r="G116" s="138"/>
      <c r="H116" s="97"/>
    </row>
    <row r="117" spans="1:11">
      <c r="A117" s="1606" t="s">
        <v>714</v>
      </c>
      <c r="B117" s="1632"/>
      <c r="C117" s="1632"/>
      <c r="D117" s="1632"/>
      <c r="E117" s="1632"/>
      <c r="F117" s="1633"/>
      <c r="G117" s="138"/>
      <c r="H117" s="97"/>
      <c r="J117" s="428"/>
    </row>
    <row r="118" spans="1:11">
      <c r="A118" s="136"/>
      <c r="B118" s="136"/>
      <c r="C118" s="136"/>
      <c r="D118" s="97"/>
      <c r="E118" s="97"/>
      <c r="F118" s="97"/>
      <c r="G118" s="97"/>
      <c r="H118" s="97"/>
      <c r="I118" s="97"/>
      <c r="J118" s="1816"/>
      <c r="K118" s="97"/>
    </row>
    <row r="119" spans="1:11" ht="18">
      <c r="A119" s="163"/>
      <c r="B119" s="163"/>
      <c r="C119" s="163"/>
      <c r="D119" s="164"/>
      <c r="E119" s="164"/>
      <c r="F119" s="164"/>
      <c r="G119" s="164"/>
      <c r="H119" s="164"/>
      <c r="I119" s="164"/>
      <c r="J119" s="1833"/>
      <c r="K119" s="97"/>
    </row>
    <row r="120" spans="1:11">
      <c r="A120" s="187" t="s">
        <v>865</v>
      </c>
      <c r="B120" s="187"/>
      <c r="C120" s="187"/>
      <c r="D120" s="135"/>
      <c r="E120" s="135"/>
      <c r="F120" s="135"/>
      <c r="G120" s="135"/>
      <c r="H120" s="135"/>
      <c r="I120" s="135"/>
      <c r="J120" s="135"/>
      <c r="K120" s="135"/>
    </row>
    <row r="121" spans="1:11">
      <c r="A121" s="97"/>
      <c r="B121" s="97"/>
      <c r="C121" s="97"/>
      <c r="D121" s="97"/>
      <c r="E121" s="97"/>
      <c r="F121" s="97"/>
      <c r="G121" s="97"/>
      <c r="H121" s="97"/>
      <c r="I121" s="97"/>
      <c r="J121" s="1816"/>
      <c r="K121" s="97"/>
    </row>
    <row r="122" spans="1:11">
      <c r="A122" s="97"/>
      <c r="B122" s="97"/>
      <c r="C122" s="97"/>
      <c r="D122" s="97"/>
      <c r="E122" s="97"/>
      <c r="F122" s="97"/>
      <c r="G122" s="97"/>
      <c r="H122" s="97"/>
      <c r="I122" s="97"/>
      <c r="J122" s="1816"/>
      <c r="K122" s="97"/>
    </row>
    <row r="123" spans="1:11">
      <c r="A123" s="97"/>
      <c r="B123" s="97"/>
      <c r="C123" s="97"/>
      <c r="D123" s="97"/>
      <c r="E123" s="97"/>
      <c r="F123" s="97"/>
      <c r="G123" s="97"/>
      <c r="H123" s="97"/>
      <c r="I123" s="97"/>
      <c r="J123" s="1816"/>
      <c r="K123" s="97"/>
    </row>
    <row r="124" spans="1:11" ht="15">
      <c r="A124" s="139" t="s">
        <v>866</v>
      </c>
      <c r="B124" s="139"/>
      <c r="C124" s="139"/>
      <c r="D124" s="97"/>
      <c r="E124" s="97"/>
      <c r="F124" s="140"/>
      <c r="G124" s="140"/>
      <c r="H124" s="140"/>
      <c r="I124" s="140"/>
      <c r="J124" s="1834"/>
      <c r="K124" s="140"/>
    </row>
    <row r="125" spans="1:11" ht="15">
      <c r="A125" s="139"/>
      <c r="B125" s="139"/>
      <c r="C125" s="139"/>
      <c r="D125" s="659"/>
      <c r="E125" s="97"/>
      <c r="F125" s="141"/>
      <c r="G125" s="141"/>
      <c r="H125" s="140"/>
      <c r="I125" s="140"/>
      <c r="J125" s="1834"/>
      <c r="K125" s="140"/>
    </row>
    <row r="126" spans="1:11">
      <c r="A126" s="128"/>
      <c r="B126" s="1203"/>
      <c r="C126" s="1204" t="s">
        <v>445</v>
      </c>
      <c r="D126" s="1204" t="s">
        <v>445</v>
      </c>
      <c r="E126" s="1204" t="s">
        <v>445</v>
      </c>
      <c r="F126" s="2"/>
      <c r="G126" s="1204" t="s">
        <v>446</v>
      </c>
      <c r="H126" s="1204" t="s">
        <v>446</v>
      </c>
      <c r="I126" s="1204" t="s">
        <v>446</v>
      </c>
      <c r="J126" s="104"/>
      <c r="K126" s="97"/>
    </row>
    <row r="127" spans="1:11">
      <c r="A127" s="128"/>
      <c r="B127" s="1203"/>
      <c r="F127" s="2"/>
      <c r="J127" s="104"/>
      <c r="K127" s="97"/>
    </row>
    <row r="128" spans="1:11">
      <c r="A128" s="128">
        <v>1</v>
      </c>
      <c r="B128" s="1186" t="s">
        <v>868</v>
      </c>
      <c r="C128" s="1203" t="s">
        <v>348</v>
      </c>
      <c r="D128" s="1203" t="s">
        <v>349</v>
      </c>
      <c r="E128" s="1205" t="s">
        <v>350</v>
      </c>
      <c r="F128" s="2"/>
      <c r="G128" s="1203" t="s">
        <v>348</v>
      </c>
      <c r="H128" s="1203" t="s">
        <v>349</v>
      </c>
      <c r="I128" s="1205" t="s">
        <v>350</v>
      </c>
      <c r="J128" s="104"/>
      <c r="K128" s="97"/>
    </row>
    <row r="129" spans="1:11">
      <c r="A129" s="128">
        <v>2</v>
      </c>
      <c r="B129" s="1204" t="s">
        <v>1112</v>
      </c>
      <c r="C129" s="1634">
        <v>0</v>
      </c>
      <c r="D129" s="1634">
        <v>0</v>
      </c>
      <c r="E129" s="1206">
        <f>+C129/2+D129/2</f>
        <v>0</v>
      </c>
      <c r="F129" s="2"/>
      <c r="G129" s="1635"/>
      <c r="H129" s="1635"/>
      <c r="I129" s="1206">
        <f>+G129+H129</f>
        <v>0</v>
      </c>
      <c r="J129" s="104"/>
      <c r="K129" s="97"/>
    </row>
    <row r="130" spans="1:11">
      <c r="A130" s="128"/>
      <c r="B130" s="1186"/>
      <c r="C130" s="1205"/>
      <c r="D130" s="1206"/>
      <c r="E130" s="1206"/>
      <c r="F130" s="2"/>
      <c r="G130" s="1206"/>
      <c r="H130" s="1206"/>
      <c r="I130" s="1206"/>
      <c r="J130" s="104"/>
      <c r="K130" s="97"/>
    </row>
    <row r="131" spans="1:11">
      <c r="A131" s="128">
        <v>3</v>
      </c>
      <c r="B131" s="1186" t="s">
        <v>867</v>
      </c>
      <c r="C131" s="1205"/>
      <c r="D131" s="1206" t="s">
        <v>867</v>
      </c>
      <c r="E131" s="1206"/>
      <c r="F131" s="2"/>
      <c r="G131" s="1206"/>
      <c r="H131" s="1206" t="str">
        <f>+D131</f>
        <v>Amortization</v>
      </c>
      <c r="I131" s="1206"/>
      <c r="J131" s="104"/>
      <c r="K131" s="97"/>
    </row>
    <row r="132" spans="1:11">
      <c r="A132" s="128">
        <v>4</v>
      </c>
      <c r="B132" s="1204" t="s">
        <v>1113</v>
      </c>
      <c r="C132" s="1635"/>
      <c r="D132" s="1634"/>
      <c r="E132" s="130"/>
      <c r="F132" s="2"/>
      <c r="G132" s="1635">
        <v>0</v>
      </c>
      <c r="H132" s="1635">
        <v>0</v>
      </c>
      <c r="I132" s="1343">
        <f>AVERAGE(G132,H132)</f>
        <v>0</v>
      </c>
      <c r="J132" s="104"/>
      <c r="K132" s="97"/>
    </row>
    <row r="133" spans="1:11">
      <c r="A133" s="128"/>
      <c r="B133" s="1186"/>
      <c r="C133" s="1205"/>
      <c r="D133" s="1206"/>
      <c r="E133" s="1206"/>
      <c r="F133" s="2"/>
      <c r="G133" s="1206"/>
      <c r="H133" s="1206"/>
      <c r="I133" s="1206"/>
      <c r="J133" s="104"/>
      <c r="K133" s="97"/>
    </row>
    <row r="134" spans="1:11">
      <c r="A134" s="128">
        <v>5</v>
      </c>
      <c r="B134" s="1186" t="s">
        <v>851</v>
      </c>
      <c r="C134" s="1205"/>
      <c r="D134" s="1206">
        <f>+D132+D129</f>
        <v>0</v>
      </c>
      <c r="E134" s="1206"/>
      <c r="F134" s="2"/>
      <c r="G134" s="1206">
        <f>+G132+G129</f>
        <v>0</v>
      </c>
      <c r="H134" s="1206">
        <f>+H132+H129</f>
        <v>0</v>
      </c>
      <c r="I134" s="1206">
        <f>+I132+I129</f>
        <v>0</v>
      </c>
      <c r="J134" s="104"/>
      <c r="K134" s="97"/>
    </row>
    <row r="135" spans="1:11">
      <c r="A135" s="128"/>
      <c r="B135" s="1186"/>
      <c r="C135" s="1205"/>
      <c r="D135" s="1206"/>
      <c r="E135" s="1206"/>
      <c r="F135" s="2"/>
      <c r="G135" s="1206"/>
      <c r="H135" s="1206"/>
      <c r="I135" s="1206"/>
      <c r="J135" s="104"/>
      <c r="K135" s="97"/>
    </row>
    <row r="136" spans="1:11">
      <c r="A136" s="128">
        <v>6</v>
      </c>
      <c r="B136" s="1186" t="s">
        <v>935</v>
      </c>
      <c r="C136" s="1205"/>
      <c r="D136" s="1206">
        <f>D134</f>
        <v>0</v>
      </c>
      <c r="E136" s="1206"/>
      <c r="F136" s="2"/>
      <c r="G136" s="1206">
        <f>G134</f>
        <v>0</v>
      </c>
      <c r="H136" s="1206">
        <f>H134</f>
        <v>0</v>
      </c>
      <c r="I136" s="1206">
        <f>I134</f>
        <v>0</v>
      </c>
      <c r="J136" s="104"/>
      <c r="K136" s="97"/>
    </row>
    <row r="137" spans="1:11">
      <c r="A137" s="129"/>
      <c r="B137" s="1186"/>
      <c r="C137" s="1186"/>
      <c r="D137" s="1186"/>
      <c r="E137" s="1206"/>
      <c r="F137" s="2"/>
      <c r="G137" s="1206"/>
      <c r="H137" s="1206"/>
      <c r="I137" s="1206"/>
      <c r="J137" s="104"/>
      <c r="K137" s="97"/>
    </row>
    <row r="138" spans="1:11">
      <c r="A138" s="128">
        <v>7</v>
      </c>
      <c r="B138" s="129" t="s">
        <v>869</v>
      </c>
      <c r="C138" s="128"/>
      <c r="D138" s="1186"/>
      <c r="E138" s="159">
        <f>+E134-E136</f>
        <v>0</v>
      </c>
      <c r="G138" s="159">
        <f>+G134-G136</f>
        <v>0</v>
      </c>
      <c r="H138" s="159">
        <f>+H134-H136</f>
        <v>0</v>
      </c>
      <c r="I138" s="159">
        <f>+I134-I136</f>
        <v>0</v>
      </c>
      <c r="J138" s="97"/>
      <c r="K138" s="97"/>
    </row>
    <row r="139" spans="1:11">
      <c r="A139" s="97"/>
      <c r="B139" s="97"/>
      <c r="C139" s="97"/>
      <c r="D139" s="97"/>
      <c r="E139" s="97"/>
      <c r="F139" s="156"/>
      <c r="G139" s="156"/>
      <c r="I139" s="97"/>
      <c r="J139" s="97"/>
      <c r="K139" s="97"/>
    </row>
    <row r="140" spans="1:11">
      <c r="A140" s="136"/>
      <c r="B140" s="136"/>
      <c r="C140" s="136"/>
      <c r="D140" s="97" t="s">
        <v>870</v>
      </c>
      <c r="E140" s="97"/>
      <c r="F140" s="97"/>
      <c r="G140" s="97"/>
      <c r="I140" s="97"/>
      <c r="J140" s="97"/>
      <c r="K140" s="97"/>
    </row>
  </sheetData>
  <customSheetViews>
    <customSheetView guid="{16940A0E-2B20-4241-BF05-A4686E5A0274}" scale="75" fitToPage="1" hiddenColumns="1" showRuler="0">
      <selection activeCell="B41" sqref="B41"/>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1"/>
      <headerFooter alignWithMargins="0">
        <oddHeader>&amp;R&amp;12Page &amp;P of &amp;N</oddHeader>
      </headerFooter>
    </customSheetView>
    <customSheetView guid="{44504B44-F20F-4B6F-B585-74D55BA74563}" scale="75" showPageBreaks="1" fitToPage="1" printArea="1" hiddenColumns="1" showRuler="0">
      <selection activeCell="B19" sqref="B19"/>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2"/>
      <headerFooter alignWithMargins="0">
        <oddHeader>&amp;R&amp;12Page &amp;P of &amp;N</oddHeader>
      </headerFooter>
    </customSheetView>
    <customSheetView guid="{FAAD9AAC-1337-43AB-BF1F-CCF9DFCF5B78}" scale="75" showPageBreaks="1" fitToPage="1" printArea="1" hiddenColumns="1" showRuler="0" topLeftCell="A4">
      <selection activeCell="A20" sqref="A20"/>
      <rowBreaks count="7" manualBreakCount="7">
        <brk id="61" max="8" man="1"/>
        <brk id="63" max="8" man="1"/>
        <brk id="87" max="7" man="1"/>
        <brk id="146" max="7" man="1"/>
        <brk id="211" max="8" man="1"/>
        <brk id="214" max="8" man="1"/>
        <brk id="231" max="8" man="1"/>
      </rowBreaks>
      <pageMargins left="0.5" right="0.5" top="1" bottom="0.5" header="0.5" footer="0.5"/>
      <printOptions horizontalCentered="1"/>
      <pageSetup scale="43" fitToHeight="0" orientation="portrait" r:id="rId3"/>
      <headerFooter alignWithMargins="0">
        <oddHeader>&amp;R&amp;12Page &amp;P of &amp;N</oddHeader>
      </headerFooter>
    </customSheetView>
    <customSheetView guid="{71B42B22-A376-44B5-B0C1-23FC1AA3DBA2}" scale="75" showPageBreaks="1" fitToPage="1" printArea="1" hiddenColumns="1" showRuler="0">
      <selection activeCell="B42" sqref="B42"/>
      <rowBreaks count="3" manualBreakCount="3">
        <brk id="61" max="8" man="1"/>
        <brk id="87" max="7" man="1"/>
        <brk id="146" max="7" man="1"/>
      </rowBreaks>
      <pageMargins left="0.5" right="0.5" top="1" bottom="0.5" header="0.5" footer="0.5"/>
      <printOptions horizontalCentered="1"/>
      <pageSetup scale="45" fitToHeight="0" orientation="portrait" r:id="rId4"/>
      <headerFooter alignWithMargins="0">
        <oddHeader>&amp;R&amp;14Page &amp;P of &amp;N</oddHeader>
      </headerFooter>
    </customSheetView>
    <customSheetView guid="{28948E05-8F34-4F1E-96FB-A80A6A844600}" scale="75" showPageBreaks="1" fitToPage="1" printArea="1" hiddenColumns="1" showRuler="0">
      <selection sqref="A1:I1"/>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5"/>
      <headerFooter alignWithMargins="0">
        <oddHeader>&amp;R&amp;12Page &amp;P of &amp;N</oddHeader>
      </headerFooter>
    </customSheetView>
    <customSheetView guid="{B647CB7F-C846-4278-B6B1-1EF7F3C004F5}" scale="75" showPageBreaks="1" fitToPage="1" printArea="1" hiddenColumns="1" showRuler="0" topLeftCell="A71">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5" fitToHeight="0" orientation="portrait" r:id="rId6"/>
      <headerFooter alignWithMargins="0">
        <oddHeader>&amp;R&amp;12Page &amp;P of &amp;N</oddHeader>
      </headerFooter>
    </customSheetView>
    <customSheetView guid="{63011E91-4609-4523-98FE-FD252E915668}" scale="60" showPageBreaks="1" fitToPage="1" printArea="1" hiddenColumns="1" view="pageBreakPreview" showRuler="0" topLeftCell="A223">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7"/>
      <headerFooter alignWithMargins="0">
        <oddHeader>&amp;R&amp;12Page &amp;P of &amp;N</oddHeader>
      </headerFooter>
    </customSheetView>
    <customSheetView guid="{DC91DEF3-837B-4BB9-A81E-3B78C5914E6C}" scale="75" showPageBreaks="1" fitToPage="1" printArea="1" hiddenColumns="1" showRuler="0" topLeftCell="A55">
      <selection activeCell="I58" sqref="I58"/>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8"/>
      <headerFooter alignWithMargins="0">
        <oddHeader>&amp;R&amp;12Page &amp;P of &amp;N</oddHeader>
      </headerFooter>
    </customSheetView>
    <customSheetView guid="{1155D18F-BFDD-426B-8E78-817CEB25FB23}" scale="75" showPageBreaks="1" fitToPage="1" printArea="1" hiddenColumns="1" showRuler="0" topLeftCell="A206">
      <selection activeCell="E221" sqref="E221"/>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9"/>
      <headerFooter alignWithMargins="0">
        <oddHeader>&amp;R&amp;12Page &amp;P of &amp;N</oddHeader>
      </headerFooter>
    </customSheetView>
  </customSheetViews>
  <mergeCells count="7">
    <mergeCell ref="A112:F112"/>
    <mergeCell ref="A116:F116"/>
    <mergeCell ref="A53:F53"/>
    <mergeCell ref="A1:J1"/>
    <mergeCell ref="A74:F74"/>
    <mergeCell ref="A49:F49"/>
    <mergeCell ref="A78:F78"/>
  </mergeCells>
  <phoneticPr fontId="0" type="noConversion"/>
  <printOptions horizontalCentered="1"/>
  <pageMargins left="0.5" right="0.5" top="1" bottom="0.5" header="0.5" footer="0.5"/>
  <pageSetup scale="54" fitToHeight="5" orientation="landscape" r:id="rId10"/>
  <headerFooter alignWithMargins="0"/>
  <rowBreaks count="4" manualBreakCount="4">
    <brk id="55" max="8" man="1"/>
    <brk id="117" max="8" man="1"/>
    <brk id="146" max="16383" man="1"/>
    <brk id="2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16"/>
  <sheetViews>
    <sheetView topLeftCell="A13" zoomScale="75" zoomScaleNormal="75" workbookViewId="0">
      <selection activeCell="E15" sqref="E15"/>
    </sheetView>
  </sheetViews>
  <sheetFormatPr defaultRowHeight="12.75"/>
  <cols>
    <col min="1" max="2" width="4.7109375" customWidth="1"/>
    <col min="3" max="3" width="63" customWidth="1"/>
    <col min="4" max="4" width="3.140625" customWidth="1"/>
    <col min="5" max="5" width="14.42578125" style="90" customWidth="1"/>
    <col min="6" max="6" width="15.28515625" customWidth="1"/>
    <col min="7" max="7" width="17.42578125" customWidth="1"/>
    <col min="8" max="8" width="10.85546875" customWidth="1"/>
    <col min="9" max="9" width="4" customWidth="1"/>
    <col min="12" max="12" width="15.28515625" customWidth="1"/>
    <col min="14" max="14" width="14.42578125" customWidth="1"/>
  </cols>
  <sheetData>
    <row r="1" spans="1:8" ht="18">
      <c r="A1" s="1976" t="str">
        <f>+'ATT H-1 '!A3</f>
        <v xml:space="preserve">Puget Sound Energy </v>
      </c>
      <c r="B1" s="1976"/>
      <c r="C1" s="1976"/>
      <c r="D1" s="1976"/>
      <c r="E1" s="1976"/>
      <c r="F1" s="1976"/>
      <c r="G1" s="1976"/>
      <c r="H1" s="1978"/>
    </row>
    <row r="2" spans="1:8">
      <c r="A2" s="92"/>
    </row>
    <row r="3" spans="1:8" ht="15.75">
      <c r="A3" s="1980" t="s">
        <v>665</v>
      </c>
      <c r="B3" s="1981"/>
      <c r="C3" s="1981"/>
      <c r="D3" s="1981"/>
      <c r="E3" s="1981"/>
      <c r="F3" s="1982"/>
      <c r="G3" s="1982"/>
      <c r="H3" s="1982"/>
    </row>
    <row r="5" spans="1:8">
      <c r="D5" s="93"/>
    </row>
    <row r="7" spans="1:8">
      <c r="D7" s="87"/>
      <c r="E7" s="127" t="s">
        <v>127</v>
      </c>
      <c r="F7" s="127"/>
      <c r="G7" s="127" t="s">
        <v>135</v>
      </c>
      <c r="H7" s="87"/>
    </row>
    <row r="8" spans="1:8">
      <c r="A8" s="775" t="s">
        <v>767</v>
      </c>
      <c r="B8" s="80"/>
      <c r="D8" s="87"/>
      <c r="E8" s="127" t="s">
        <v>128</v>
      </c>
      <c r="F8" s="127" t="s">
        <v>891</v>
      </c>
      <c r="G8" s="127" t="s">
        <v>136</v>
      </c>
      <c r="H8" s="87"/>
    </row>
    <row r="9" spans="1:8">
      <c r="A9" s="80"/>
      <c r="B9" s="80"/>
      <c r="D9" s="87"/>
      <c r="E9" s="98"/>
      <c r="F9" s="87"/>
      <c r="G9" s="87"/>
      <c r="H9" s="87"/>
    </row>
    <row r="10" spans="1:8">
      <c r="A10" s="119"/>
      <c r="B10" s="119"/>
      <c r="C10" s="2"/>
      <c r="D10" s="87"/>
      <c r="E10" s="98"/>
      <c r="F10" s="87"/>
      <c r="G10" s="87"/>
      <c r="H10" s="87"/>
    </row>
    <row r="11" spans="1:8">
      <c r="A11" s="2"/>
      <c r="B11" s="176"/>
      <c r="C11" s="2"/>
      <c r="D11" s="87"/>
      <c r="E11" s="98"/>
      <c r="F11" s="2"/>
      <c r="G11" s="87"/>
      <c r="H11" s="89"/>
    </row>
    <row r="12" spans="1:8">
      <c r="A12" s="2"/>
      <c r="B12" s="180" t="s">
        <v>126</v>
      </c>
      <c r="C12" s="2"/>
      <c r="D12" s="87"/>
      <c r="E12" s="91"/>
      <c r="F12" s="1429" t="s">
        <v>744</v>
      </c>
      <c r="G12" s="87"/>
      <c r="H12" s="89"/>
    </row>
    <row r="13" spans="1:8">
      <c r="A13" s="2"/>
      <c r="B13" s="84"/>
      <c r="C13" s="2"/>
      <c r="D13" s="87"/>
      <c r="E13" s="91"/>
      <c r="F13" s="87"/>
      <c r="G13" s="87"/>
      <c r="H13" s="89"/>
    </row>
    <row r="14" spans="1:8" s="341" customFormat="1" ht="12.75" customHeight="1">
      <c r="A14" s="1207"/>
      <c r="B14" s="1346">
        <v>1</v>
      </c>
      <c r="C14" s="1447" t="s">
        <v>1084</v>
      </c>
      <c r="D14" s="715"/>
      <c r="E14" s="1445">
        <v>46303806</v>
      </c>
      <c r="F14" s="799">
        <f>+'ATT H-1 '!$H$23</f>
        <v>0.16665248111147754</v>
      </c>
      <c r="G14" s="1208">
        <f t="shared" ref="G14:G19" si="0">+F14*E14</f>
        <v>7716644.1548045203</v>
      </c>
      <c r="H14" s="1983"/>
    </row>
    <row r="15" spans="1:8" ht="12.75" customHeight="1">
      <c r="A15" s="2"/>
      <c r="B15" s="1347">
        <v>2</v>
      </c>
      <c r="C15" s="1443"/>
      <c r="D15" s="179"/>
      <c r="E15" s="1445"/>
      <c r="F15" s="799">
        <f>+F16</f>
        <v>0.16665248111147754</v>
      </c>
      <c r="G15" s="1209">
        <f t="shared" si="0"/>
        <v>0</v>
      </c>
      <c r="H15" s="1983"/>
    </row>
    <row r="16" spans="1:8" ht="12.75" customHeight="1">
      <c r="A16" s="2"/>
      <c r="B16" s="1347">
        <v>3</v>
      </c>
      <c r="C16" s="1443"/>
      <c r="D16" s="179"/>
      <c r="E16" s="1445"/>
      <c r="F16" s="799">
        <f>+F17</f>
        <v>0.16665248111147754</v>
      </c>
      <c r="G16" s="1209">
        <f t="shared" si="0"/>
        <v>0</v>
      </c>
      <c r="H16" s="82"/>
    </row>
    <row r="17" spans="1:8" ht="12.75" customHeight="1">
      <c r="A17" s="2"/>
      <c r="B17" s="1347">
        <v>4</v>
      </c>
      <c r="C17" s="1443"/>
      <c r="D17" s="179"/>
      <c r="E17" s="1445"/>
      <c r="F17" s="799">
        <f>+F18</f>
        <v>0.16665248111147754</v>
      </c>
      <c r="G17" s="1209">
        <f t="shared" si="0"/>
        <v>0</v>
      </c>
      <c r="H17" s="82"/>
    </row>
    <row r="18" spans="1:8" ht="12.75" customHeight="1">
      <c r="A18" s="2"/>
      <c r="B18" s="1347">
        <v>5</v>
      </c>
      <c r="C18" s="1443"/>
      <c r="D18" s="179"/>
      <c r="E18" s="1448"/>
      <c r="F18" s="799">
        <f>+F19</f>
        <v>0.16665248111147754</v>
      </c>
      <c r="G18" s="1209">
        <f t="shared" si="0"/>
        <v>0</v>
      </c>
      <c r="H18" s="2" t="s">
        <v>760</v>
      </c>
    </row>
    <row r="19" spans="1:8" ht="12.75" customHeight="1">
      <c r="A19" s="2"/>
      <c r="B19" s="1347"/>
      <c r="C19" s="1444"/>
      <c r="D19" s="179"/>
      <c r="E19" s="1448"/>
      <c r="F19" s="799">
        <f>+'ATT H-1 '!$H$23</f>
        <v>0.16665248111147754</v>
      </c>
      <c r="G19" s="1209">
        <f t="shared" si="0"/>
        <v>0</v>
      </c>
      <c r="H19" s="82"/>
    </row>
    <row r="20" spans="1:8" ht="12.75" customHeight="1">
      <c r="A20" s="2"/>
      <c r="B20" s="180" t="s">
        <v>131</v>
      </c>
      <c r="C20" s="2"/>
      <c r="D20" s="179"/>
      <c r="E20" s="108">
        <f>SUM(E14:E19)</f>
        <v>46303806</v>
      </c>
      <c r="F20" s="2"/>
      <c r="G20" s="108">
        <f>SUM(G14:G19)</f>
        <v>7716644.1548045203</v>
      </c>
      <c r="H20" s="82"/>
    </row>
    <row r="21" spans="1:8" ht="12.75" customHeight="1">
      <c r="A21" s="2"/>
      <c r="B21" s="84"/>
      <c r="C21" s="2"/>
      <c r="D21" s="179"/>
      <c r="E21" s="1210"/>
      <c r="F21" s="179"/>
      <c r="G21" s="179"/>
      <c r="H21" s="82"/>
    </row>
    <row r="22" spans="1:8" ht="12.75" customHeight="1">
      <c r="A22" s="2"/>
      <c r="B22" s="84"/>
      <c r="C22" s="2"/>
      <c r="D22" s="179"/>
      <c r="E22" s="1210"/>
      <c r="F22" s="179"/>
      <c r="G22" s="179"/>
      <c r="H22" s="82"/>
    </row>
    <row r="23" spans="1:8" ht="12.75" customHeight="1">
      <c r="A23" s="2"/>
      <c r="B23" s="180" t="s">
        <v>129</v>
      </c>
      <c r="C23" s="2"/>
      <c r="D23" s="179"/>
      <c r="E23" s="1210"/>
      <c r="F23" s="1430" t="s">
        <v>872</v>
      </c>
      <c r="G23" s="179"/>
      <c r="H23" s="82"/>
    </row>
    <row r="24" spans="1:8" ht="12.75" customHeight="1">
      <c r="A24" s="2"/>
      <c r="B24" s="180"/>
      <c r="C24" s="2"/>
      <c r="D24" s="179"/>
      <c r="E24" s="122"/>
      <c r="F24" s="2"/>
      <c r="G24" s="179"/>
      <c r="H24" s="82"/>
    </row>
    <row r="25" spans="1:8" ht="12.75" customHeight="1">
      <c r="A25" s="2"/>
      <c r="B25" s="84"/>
      <c r="C25" s="2"/>
      <c r="D25" s="179"/>
      <c r="E25" s="1210"/>
      <c r="F25" s="179"/>
      <c r="G25" s="179"/>
      <c r="H25" s="82"/>
    </row>
    <row r="26" spans="1:8" ht="12.75" customHeight="1">
      <c r="A26" s="2"/>
      <c r="B26" s="1344">
        <v>6</v>
      </c>
      <c r="C26" s="1442" t="s">
        <v>953</v>
      </c>
      <c r="D26" s="716"/>
      <c r="E26" s="1445">
        <v>10593972</v>
      </c>
      <c r="F26" s="716"/>
      <c r="G26" s="716"/>
      <c r="H26" s="83"/>
    </row>
    <row r="27" spans="1:8">
      <c r="A27" s="2"/>
      <c r="B27" s="1344"/>
      <c r="C27" s="1443"/>
      <c r="D27" s="2"/>
      <c r="E27" s="1445"/>
      <c r="F27" s="2"/>
      <c r="G27" s="2"/>
    </row>
    <row r="28" spans="1:8">
      <c r="A28" s="2"/>
      <c r="B28" s="1344"/>
      <c r="C28" s="1444"/>
      <c r="D28" s="2"/>
      <c r="E28" s="1446"/>
      <c r="F28" s="2"/>
      <c r="G28" s="2"/>
    </row>
    <row r="29" spans="1:8">
      <c r="A29" s="2"/>
      <c r="B29" s="1344"/>
      <c r="C29" s="1444"/>
      <c r="D29" s="2"/>
      <c r="E29" s="1446"/>
      <c r="F29" s="2"/>
      <c r="G29" s="2"/>
    </row>
    <row r="30" spans="1:8">
      <c r="A30" s="2"/>
      <c r="B30" s="84"/>
      <c r="C30" s="1444"/>
      <c r="D30" s="2"/>
      <c r="E30" s="1446"/>
      <c r="F30" s="2"/>
      <c r="G30" s="2"/>
    </row>
    <row r="31" spans="1:8">
      <c r="A31" s="2"/>
      <c r="B31" s="180" t="s">
        <v>132</v>
      </c>
      <c r="C31" s="2"/>
      <c r="D31" s="2"/>
      <c r="E31" s="108">
        <f>SUM(E26:E30)</f>
        <v>10593972</v>
      </c>
      <c r="F31" s="799">
        <f>+'ATT H-1 '!H13</f>
        <v>0.14184700966165151</v>
      </c>
      <c r="G31" s="108">
        <f>+F31*E31</f>
        <v>1502723.2486392655</v>
      </c>
    </row>
    <row r="32" spans="1:8">
      <c r="A32" s="2"/>
      <c r="B32" s="180"/>
      <c r="C32" s="1210"/>
      <c r="D32" s="2"/>
      <c r="E32" s="122"/>
      <c r="F32" s="2"/>
      <c r="G32" s="2"/>
    </row>
    <row r="33" spans="1:14">
      <c r="A33" s="2"/>
      <c r="B33" s="84"/>
      <c r="C33" s="2"/>
      <c r="D33" s="2"/>
      <c r="E33" s="122"/>
      <c r="F33" s="2"/>
      <c r="G33" s="2"/>
    </row>
    <row r="34" spans="1:14">
      <c r="A34" s="2"/>
      <c r="B34" s="180" t="s">
        <v>130</v>
      </c>
      <c r="C34" s="2"/>
      <c r="D34" s="2"/>
      <c r="E34" s="122"/>
      <c r="F34" s="1429" t="s">
        <v>744</v>
      </c>
      <c r="G34" s="2"/>
    </row>
    <row r="35" spans="1:14">
      <c r="A35" s="2"/>
      <c r="B35" s="84"/>
      <c r="C35" s="2"/>
      <c r="D35" s="2"/>
      <c r="E35" s="122"/>
      <c r="F35" s="2"/>
      <c r="G35" s="2"/>
      <c r="L35" s="428"/>
    </row>
    <row r="36" spans="1:14">
      <c r="A36" s="2"/>
      <c r="B36" s="84">
        <v>7</v>
      </c>
      <c r="C36" s="716" t="s">
        <v>948</v>
      </c>
      <c r="D36" s="2"/>
      <c r="E36" s="122">
        <v>0</v>
      </c>
      <c r="F36" s="2"/>
      <c r="G36" s="2"/>
      <c r="L36" s="428"/>
    </row>
    <row r="37" spans="1:14">
      <c r="A37" s="2"/>
      <c r="B37" s="84"/>
      <c r="C37" s="84"/>
      <c r="D37" s="2"/>
      <c r="E37" s="108"/>
      <c r="F37" s="2"/>
      <c r="G37" s="2"/>
      <c r="L37" s="428"/>
      <c r="N37" s="428"/>
    </row>
    <row r="38" spans="1:14">
      <c r="A38" s="2"/>
      <c r="B38" s="84"/>
      <c r="C38" s="2"/>
      <c r="D38" s="2"/>
      <c r="E38" s="122"/>
      <c r="F38" s="2"/>
      <c r="G38" s="2"/>
      <c r="L38" s="428"/>
      <c r="N38" s="428"/>
    </row>
    <row r="39" spans="1:14">
      <c r="A39" s="2"/>
      <c r="B39" s="84"/>
      <c r="C39" s="2"/>
      <c r="D39" s="2"/>
      <c r="E39" s="122"/>
      <c r="F39" s="2"/>
      <c r="G39" s="2"/>
      <c r="L39" s="428"/>
      <c r="N39" s="445"/>
    </row>
    <row r="40" spans="1:14">
      <c r="A40" s="2"/>
      <c r="B40" s="180" t="s">
        <v>133</v>
      </c>
      <c r="C40" s="2"/>
      <c r="D40" s="2"/>
      <c r="E40" s="108">
        <f>SUM(E36:E39)</f>
        <v>0</v>
      </c>
      <c r="F40" s="799">
        <f>+F19</f>
        <v>0.16665248111147754</v>
      </c>
      <c r="G40" s="108">
        <f>+F40*E40</f>
        <v>0</v>
      </c>
      <c r="L40" s="428"/>
    </row>
    <row r="41" spans="1:14">
      <c r="A41" s="2"/>
      <c r="B41" s="180"/>
      <c r="C41" s="2"/>
      <c r="D41" s="2"/>
      <c r="E41" s="108"/>
      <c r="F41" s="799"/>
      <c r="G41" s="108"/>
      <c r="L41" s="428"/>
    </row>
    <row r="42" spans="1:14">
      <c r="A42" s="2"/>
      <c r="B42" s="180" t="s">
        <v>967</v>
      </c>
      <c r="C42" s="2"/>
      <c r="D42" s="2"/>
      <c r="E42" s="108"/>
      <c r="F42" s="799"/>
      <c r="G42" s="108"/>
      <c r="L42" s="428"/>
    </row>
    <row r="43" spans="1:14">
      <c r="A43" s="2"/>
      <c r="B43" s="1443">
        <v>8</v>
      </c>
      <c r="C43" s="1444" t="s">
        <v>968</v>
      </c>
      <c r="D43" s="1444"/>
      <c r="E43" s="1445"/>
      <c r="F43" s="799"/>
      <c r="G43" s="108"/>
      <c r="L43" s="428"/>
    </row>
    <row r="44" spans="1:14">
      <c r="A44" s="2"/>
      <c r="B44" s="84"/>
      <c r="C44" s="2"/>
      <c r="D44" s="2"/>
      <c r="E44" s="108"/>
      <c r="F44" s="799"/>
      <c r="G44" s="108"/>
      <c r="L44" s="428"/>
    </row>
    <row r="45" spans="1:14">
      <c r="A45" s="2"/>
      <c r="B45" s="180" t="s">
        <v>969</v>
      </c>
      <c r="C45" s="2"/>
      <c r="D45" s="2"/>
      <c r="E45" s="108">
        <f>SUM(E43:E44)</f>
        <v>0</v>
      </c>
      <c r="F45" s="799">
        <v>1</v>
      </c>
      <c r="G45" s="108">
        <f>E45*F45</f>
        <v>0</v>
      </c>
      <c r="L45" s="428"/>
    </row>
    <row r="46" spans="1:14">
      <c r="A46" s="2"/>
      <c r="B46" s="84"/>
      <c r="C46" s="2"/>
      <c r="D46" s="2"/>
      <c r="E46" s="122"/>
      <c r="F46" s="2"/>
      <c r="G46" s="2"/>
      <c r="L46" s="428"/>
    </row>
    <row r="47" spans="1:14">
      <c r="A47" s="2"/>
      <c r="B47" s="180" t="s">
        <v>103</v>
      </c>
      <c r="C47" s="2"/>
      <c r="D47" s="2"/>
      <c r="E47" s="122"/>
      <c r="F47" s="2"/>
      <c r="G47" s="1211">
        <f>+G40+G31+G20+G45</f>
        <v>9219367.4034437854</v>
      </c>
      <c r="L47" s="428"/>
    </row>
    <row r="48" spans="1:14">
      <c r="A48" s="2"/>
      <c r="B48" s="180"/>
      <c r="C48" s="2"/>
      <c r="D48" s="2"/>
      <c r="E48" s="122"/>
      <c r="F48" s="2"/>
      <c r="G48" s="1211"/>
    </row>
    <row r="49" spans="1:9">
      <c r="A49" s="2"/>
      <c r="B49" s="180" t="s">
        <v>104</v>
      </c>
      <c r="C49" s="2"/>
      <c r="D49" s="2"/>
      <c r="E49" s="1550">
        <f>G49</f>
        <v>1309271</v>
      </c>
      <c r="F49" s="2"/>
      <c r="G49" s="1855">
        <v>1309271</v>
      </c>
    </row>
    <row r="50" spans="1:9">
      <c r="A50" s="2"/>
      <c r="B50" s="180" t="s">
        <v>105</v>
      </c>
      <c r="C50" s="99"/>
      <c r="D50" s="2"/>
      <c r="E50" s="1550">
        <f>G50</f>
        <v>559016.26</v>
      </c>
      <c r="F50" s="2"/>
      <c r="G50" s="1462">
        <v>559016.26</v>
      </c>
    </row>
    <row r="51" spans="1:9">
      <c r="A51" s="2"/>
      <c r="B51" s="180"/>
      <c r="C51" s="99"/>
      <c r="D51" s="2"/>
      <c r="E51" s="122"/>
      <c r="F51" s="2"/>
      <c r="G51" s="177"/>
    </row>
    <row r="52" spans="1:9">
      <c r="A52" s="2"/>
      <c r="B52" s="180" t="s">
        <v>106</v>
      </c>
      <c r="C52" s="99"/>
      <c r="D52" s="2"/>
      <c r="E52" s="122"/>
      <c r="F52" s="2"/>
      <c r="G52" s="1760">
        <f>G47</f>
        <v>9219367.4034437854</v>
      </c>
    </row>
    <row r="53" spans="1:9">
      <c r="A53" s="2"/>
      <c r="B53" s="2"/>
      <c r="C53" s="99"/>
      <c r="D53" s="2"/>
      <c r="E53" s="122"/>
      <c r="F53" s="2"/>
      <c r="G53" s="2"/>
    </row>
    <row r="54" spans="1:9">
      <c r="A54" s="2"/>
      <c r="B54" s="2"/>
      <c r="C54" s="119" t="s">
        <v>134</v>
      </c>
      <c r="D54" s="2"/>
      <c r="E54" s="122"/>
      <c r="F54" s="2"/>
      <c r="G54" s="2"/>
    </row>
    <row r="55" spans="1:9">
      <c r="A55" s="2"/>
      <c r="B55" s="2"/>
      <c r="C55" s="2"/>
      <c r="D55" s="2"/>
      <c r="E55" s="122"/>
      <c r="F55" s="2"/>
      <c r="G55" s="119"/>
      <c r="H55" s="2"/>
      <c r="I55" s="2"/>
    </row>
    <row r="56" spans="1:9">
      <c r="A56" s="2"/>
      <c r="B56" s="1345">
        <f>B43+1</f>
        <v>9</v>
      </c>
      <c r="C56" s="1442" t="s">
        <v>1181</v>
      </c>
      <c r="D56" s="2"/>
      <c r="E56" s="1445">
        <v>4385286</v>
      </c>
      <c r="F56" s="109"/>
      <c r="G56" s="2"/>
      <c r="H56" s="99"/>
      <c r="I56" s="2"/>
    </row>
    <row r="57" spans="1:9">
      <c r="A57" s="2"/>
      <c r="B57" s="1345">
        <f t="shared" ref="B57:B64" si="1">+B56+1</f>
        <v>10</v>
      </c>
      <c r="C57" s="1442" t="s">
        <v>1184</v>
      </c>
      <c r="D57" s="2"/>
      <c r="E57" s="1445">
        <v>785285</v>
      </c>
      <c r="F57" s="109"/>
      <c r="G57" s="2"/>
      <c r="H57" s="99"/>
      <c r="I57" s="2"/>
    </row>
    <row r="58" spans="1:9">
      <c r="A58" s="2"/>
      <c r="B58" s="1345">
        <f t="shared" si="1"/>
        <v>11</v>
      </c>
      <c r="C58" s="1442" t="s">
        <v>954</v>
      </c>
      <c r="D58" s="2"/>
      <c r="E58" s="1445">
        <v>98302093</v>
      </c>
      <c r="F58" s="2"/>
      <c r="G58" s="2"/>
      <c r="H58" s="99"/>
      <c r="I58" s="2"/>
    </row>
    <row r="59" spans="1:9">
      <c r="A59" s="2"/>
      <c r="B59" s="1345">
        <f t="shared" si="1"/>
        <v>12</v>
      </c>
      <c r="C59" s="1442" t="s">
        <v>955</v>
      </c>
      <c r="D59" s="2"/>
      <c r="E59" s="1445">
        <v>93960045</v>
      </c>
      <c r="F59" s="2"/>
      <c r="G59" s="2"/>
      <c r="H59" s="99"/>
      <c r="I59" s="2"/>
    </row>
    <row r="60" spans="1:9">
      <c r="A60" s="2"/>
      <c r="B60" s="1345">
        <f>+B59+1</f>
        <v>13</v>
      </c>
      <c r="C60" s="1442" t="s">
        <v>169</v>
      </c>
      <c r="D60" s="2"/>
      <c r="E60" s="1445">
        <v>3161911</v>
      </c>
      <c r="F60" s="2"/>
      <c r="G60" s="2"/>
    </row>
    <row r="61" spans="1:9">
      <c r="A61" s="2"/>
      <c r="B61" s="1345">
        <f t="shared" si="1"/>
        <v>14</v>
      </c>
      <c r="C61" s="1449" t="s">
        <v>1182</v>
      </c>
      <c r="D61" s="2"/>
      <c r="E61" s="1445">
        <v>42353803</v>
      </c>
      <c r="F61" s="2"/>
      <c r="G61" s="2"/>
    </row>
    <row r="62" spans="1:9">
      <c r="A62" s="2"/>
      <c r="B62" s="1345">
        <f t="shared" si="1"/>
        <v>15</v>
      </c>
      <c r="C62" s="1449"/>
      <c r="D62" s="2"/>
      <c r="E62" s="1445"/>
      <c r="F62" s="2"/>
      <c r="G62" s="2"/>
    </row>
    <row r="63" spans="1:9">
      <c r="A63" s="2"/>
      <c r="B63" s="1345">
        <f t="shared" si="1"/>
        <v>16</v>
      </c>
      <c r="C63" s="1449"/>
      <c r="D63" s="2"/>
      <c r="E63" s="1445"/>
      <c r="F63" s="2"/>
      <c r="G63" s="2"/>
    </row>
    <row r="64" spans="1:9">
      <c r="A64" s="2"/>
      <c r="B64" s="1345">
        <f t="shared" si="1"/>
        <v>17</v>
      </c>
      <c r="C64" s="1449"/>
      <c r="D64" s="2"/>
      <c r="E64" s="1445"/>
      <c r="F64" s="2"/>
      <c r="G64" s="2"/>
    </row>
    <row r="65" spans="1:19">
      <c r="A65" s="2"/>
      <c r="B65" s="1345">
        <f>B64+1</f>
        <v>18</v>
      </c>
      <c r="C65" s="1449"/>
      <c r="D65" s="2"/>
      <c r="E65" s="1445"/>
      <c r="F65" s="2"/>
      <c r="G65" s="2"/>
    </row>
    <row r="66" spans="1:19">
      <c r="A66" s="2"/>
      <c r="B66" s="1345">
        <f>B65+1</f>
        <v>19</v>
      </c>
      <c r="C66" s="1449"/>
      <c r="D66" s="2"/>
      <c r="E66" s="1445"/>
      <c r="F66" s="2"/>
      <c r="G66" s="2"/>
    </row>
    <row r="67" spans="1:19">
      <c r="A67" s="2"/>
      <c r="B67" s="1345">
        <f>B66+1</f>
        <v>20</v>
      </c>
      <c r="C67" s="1449"/>
      <c r="D67" s="2"/>
      <c r="E67" s="1445"/>
      <c r="F67" s="2"/>
      <c r="G67" s="104"/>
      <c r="H67" s="97"/>
      <c r="I67" s="97"/>
      <c r="J67" s="1800"/>
    </row>
    <row r="68" spans="1:19">
      <c r="A68" s="2"/>
      <c r="B68" s="1345">
        <f>B67+1</f>
        <v>21</v>
      </c>
      <c r="C68" s="1443"/>
      <c r="D68" s="2"/>
      <c r="E68" s="1445"/>
      <c r="F68" s="2"/>
      <c r="G68" s="146"/>
      <c r="H68" s="97"/>
      <c r="I68" s="97"/>
      <c r="J68" s="1984"/>
      <c r="K68" s="1984"/>
      <c r="L68" s="1984"/>
      <c r="M68" s="1984"/>
      <c r="N68" s="1984"/>
      <c r="O68" s="1984"/>
      <c r="P68" s="1984"/>
      <c r="Q68" s="1984"/>
      <c r="R68" s="1984"/>
      <c r="S68" s="1984"/>
    </row>
    <row r="69" spans="1:19">
      <c r="A69" s="2"/>
      <c r="B69" s="2"/>
      <c r="C69" s="2"/>
      <c r="D69" s="2"/>
      <c r="F69" s="2"/>
      <c r="G69" s="146"/>
      <c r="H69" s="97"/>
      <c r="I69" s="97"/>
      <c r="J69" s="1984"/>
      <c r="K69" s="1984"/>
      <c r="L69" s="1984"/>
      <c r="M69" s="1984"/>
      <c r="N69" s="1984"/>
      <c r="O69" s="1984"/>
      <c r="P69" s="1984"/>
      <c r="Q69" s="1984"/>
      <c r="R69" s="1984"/>
      <c r="S69" s="1984"/>
    </row>
    <row r="70" spans="1:19">
      <c r="A70" s="2"/>
      <c r="B70" s="2">
        <f>B68+1</f>
        <v>22</v>
      </c>
      <c r="C70" s="104" t="s">
        <v>878</v>
      </c>
      <c r="D70" s="2"/>
      <c r="E70" s="1551">
        <f>SUM(E56:E68)+E50+E49+E43+E31+E20</f>
        <v>301714488.25999999</v>
      </c>
      <c r="F70" s="2"/>
      <c r="G70" s="1552"/>
      <c r="H70" s="97"/>
      <c r="I70" s="97"/>
      <c r="J70" s="1979"/>
      <c r="K70" s="1979"/>
      <c r="L70" s="2"/>
    </row>
    <row r="71" spans="1:19">
      <c r="A71" s="2"/>
      <c r="B71" s="2"/>
      <c r="C71" s="1159"/>
      <c r="D71" s="2"/>
      <c r="E71" s="122"/>
      <c r="F71" s="2"/>
      <c r="G71" s="146"/>
      <c r="H71" s="97"/>
      <c r="I71" s="97"/>
      <c r="J71" s="1979"/>
      <c r="K71" s="1979"/>
      <c r="L71" s="2"/>
    </row>
    <row r="72" spans="1:19">
      <c r="A72" s="2"/>
      <c r="B72" s="2">
        <f>+B70+1</f>
        <v>23</v>
      </c>
      <c r="C72" s="1159" t="s">
        <v>883</v>
      </c>
      <c r="D72" s="1212"/>
      <c r="E72" s="1578">
        <v>386340822</v>
      </c>
      <c r="F72" s="1670"/>
      <c r="G72" s="1843"/>
      <c r="H72" s="121"/>
      <c r="I72" s="97"/>
      <c r="J72" s="1979"/>
      <c r="K72" s="1979"/>
      <c r="L72" s="2"/>
    </row>
    <row r="73" spans="1:19">
      <c r="A73" s="2"/>
      <c r="B73" s="2"/>
      <c r="C73" s="107"/>
      <c r="D73" s="107"/>
      <c r="E73" s="124"/>
      <c r="F73" s="120"/>
      <c r="G73" s="120"/>
      <c r="H73" s="121"/>
      <c r="I73" s="97"/>
      <c r="J73" s="97"/>
      <c r="K73" s="2"/>
      <c r="L73" s="2"/>
    </row>
    <row r="74" spans="1:19">
      <c r="B74">
        <f>+B72+1</f>
        <v>24</v>
      </c>
      <c r="C74" s="107" t="s">
        <v>721</v>
      </c>
      <c r="D74" s="151"/>
      <c r="E74" s="123">
        <f>+E70-E72</f>
        <v>-84626333.74000001</v>
      </c>
      <c r="F74" s="120"/>
      <c r="G74" s="120"/>
      <c r="H74" s="121"/>
      <c r="I74" s="97"/>
      <c r="J74" s="97"/>
    </row>
    <row r="75" spans="1:19">
      <c r="C75" s="107"/>
      <c r="D75" s="151"/>
      <c r="E75" s="123"/>
      <c r="F75" s="120"/>
      <c r="G75" s="120"/>
      <c r="H75" s="121"/>
    </row>
    <row r="76" spans="1:19">
      <c r="B76" s="2" t="s">
        <v>871</v>
      </c>
      <c r="C76" s="84"/>
      <c r="D76" s="2"/>
      <c r="E76" s="108"/>
      <c r="F76" s="109"/>
      <c r="G76" s="109"/>
      <c r="H76" s="109"/>
    </row>
    <row r="77" spans="1:19">
      <c r="B77" s="2" t="s">
        <v>762</v>
      </c>
      <c r="C77" s="84" t="s">
        <v>722</v>
      </c>
      <c r="D77" s="2"/>
      <c r="E77" s="108"/>
      <c r="F77" s="109"/>
      <c r="G77" s="109"/>
      <c r="H77" s="109"/>
    </row>
    <row r="78" spans="1:19">
      <c r="B78" s="2"/>
      <c r="C78" s="126" t="s">
        <v>583</v>
      </c>
      <c r="D78" s="2"/>
      <c r="E78" s="108"/>
      <c r="F78" s="2"/>
      <c r="G78" s="109"/>
      <c r="H78" s="109"/>
    </row>
    <row r="79" spans="1:19">
      <c r="B79" s="2" t="s">
        <v>852</v>
      </c>
      <c r="C79" s="84" t="s">
        <v>723</v>
      </c>
      <c r="D79" s="2"/>
      <c r="E79" s="108"/>
      <c r="F79" s="2"/>
      <c r="G79" s="109"/>
      <c r="H79" s="109"/>
    </row>
    <row r="80" spans="1:19">
      <c r="B80" s="2"/>
      <c r="C80" s="126" t="s">
        <v>583</v>
      </c>
      <c r="D80" s="2"/>
      <c r="E80" s="108"/>
      <c r="F80" s="2"/>
      <c r="G80" s="109"/>
      <c r="H80" s="109"/>
    </row>
    <row r="81" spans="2:8">
      <c r="B81" s="2" t="s">
        <v>743</v>
      </c>
      <c r="C81" s="84" t="s">
        <v>582</v>
      </c>
      <c r="D81" s="2"/>
      <c r="E81" s="108"/>
      <c r="F81" s="2"/>
      <c r="G81" s="109"/>
      <c r="H81" s="109"/>
    </row>
    <row r="82" spans="2:8">
      <c r="B82" s="2" t="s">
        <v>763</v>
      </c>
      <c r="C82" s="126" t="s">
        <v>918</v>
      </c>
      <c r="D82" s="2"/>
      <c r="E82" s="108"/>
      <c r="F82" s="2"/>
      <c r="G82" s="109"/>
      <c r="H82" s="109"/>
    </row>
    <row r="83" spans="2:8">
      <c r="B83" s="2"/>
      <c r="C83" s="84" t="s">
        <v>919</v>
      </c>
      <c r="D83" s="2"/>
      <c r="E83" s="108"/>
      <c r="F83" s="2"/>
      <c r="G83" s="2"/>
      <c r="H83" s="2"/>
    </row>
    <row r="84" spans="2:8">
      <c r="B84" s="2"/>
      <c r="C84" s="2" t="s">
        <v>920</v>
      </c>
    </row>
    <row r="85" spans="2:8">
      <c r="B85" s="176" t="s">
        <v>761</v>
      </c>
      <c r="C85" s="176" t="s">
        <v>181</v>
      </c>
      <c r="D85" s="176"/>
      <c r="E85" s="178"/>
      <c r="F85" s="176"/>
    </row>
    <row r="116" spans="2:5">
      <c r="B116" s="90"/>
      <c r="E116"/>
    </row>
  </sheetData>
  <customSheetViews>
    <customSheetView guid="{16940A0E-2B20-4241-BF05-A4686E5A0274}" scale="75" fitToPage="1" showRuler="0" topLeftCell="A16">
      <selection activeCell="E60" sqref="E60"/>
      <pageMargins left="0.75" right="0.75" top="1" bottom="1" header="0.5" footer="0.5"/>
      <pageSetup scale="48" orientation="portrait" r:id="rId1"/>
      <headerFooter alignWithMargins="0">
        <oddHeader>&amp;R&amp;12Page &amp;P of &amp;N</oddHeader>
      </headerFooter>
    </customSheetView>
    <customSheetView guid="{44504B44-F20F-4B6F-B585-74D55BA74563}" scale="75" showPageBreaks="1" fitToPage="1" showRuler="0" topLeftCell="A25">
      <selection activeCell="E60" sqref="E60"/>
      <pageMargins left="0.75" right="0.75" top="1" bottom="1" header="0.5" footer="0.5"/>
      <pageSetup scale="48" orientation="portrait" r:id="rId2"/>
      <headerFooter alignWithMargins="0">
        <oddHeader>&amp;R&amp;12Page &amp;P of &amp;N</oddHeader>
      </headerFooter>
    </customSheetView>
    <customSheetView guid="{FAAD9AAC-1337-43AB-BF1F-CCF9DFCF5B78}" scale="75" fitToPage="1" showRuler="0" topLeftCell="A60">
      <selection activeCell="B97" sqref="B97"/>
      <pageMargins left="0.75" right="0.75" top="1" bottom="1" header="0.5" footer="0.5"/>
      <pageSetup scale="66" orientation="portrait" r:id="rId3"/>
      <headerFooter alignWithMargins="0">
        <oddHeader>&amp;R&amp;12Page &amp;P of &amp;N</oddHeader>
      </headerFooter>
    </customSheetView>
    <customSheetView guid="{71B42B22-A376-44B5-B0C1-23FC1AA3DBA2}" scale="75" fitToPage="1" showRuler="0">
      <selection activeCell="C59" sqref="C59"/>
      <pageMargins left="0.75" right="0.75" top="1" bottom="1" header="0.5" footer="0.5"/>
      <pageSetup scale="72" orientation="portrait" r:id="rId4"/>
      <headerFooter alignWithMargins="0">
        <oddHeader>&amp;R&amp;14Page &amp;P of &amp;N</oddHeader>
      </headerFooter>
    </customSheetView>
    <customSheetView guid="{28948E05-8F34-4F1E-96FB-A80A6A844600}" scale="75" showPageBreaks="1" fitToPage="1" showRuler="0">
      <selection activeCell="C59" sqref="C59"/>
      <pageMargins left="0.75" right="0.75" top="1" bottom="1" header="0.5" footer="0.5"/>
      <pageSetup scale="68" orientation="portrait" r:id="rId5"/>
      <headerFooter alignWithMargins="0">
        <oddHeader>&amp;R&amp;12Page &amp;P of &amp;N</oddHeader>
      </headerFooter>
    </customSheetView>
    <customSheetView guid="{B647CB7F-C846-4278-B6B1-1EF7F3C004F5}" scale="75" fitToPage="1" showRuler="0" topLeftCell="A52">
      <selection activeCell="C62" sqref="C62"/>
      <pageMargins left="0.75" right="0.75" top="1" bottom="1" header="0.5" footer="0.5"/>
      <pageSetup scale="68" orientation="portrait" r:id="rId6"/>
      <headerFooter alignWithMargins="0">
        <oddHeader>&amp;R&amp;12Page &amp;P of &amp;N</oddHeader>
      </headerFooter>
    </customSheetView>
    <customSheetView guid="{63011E91-4609-4523-98FE-FD252E915668}" scale="60" showPageBreaks="1" fitToPage="1" printArea="1" view="pageBreakPreview" showRuler="0" topLeftCell="A40">
      <selection activeCell="J74" sqref="J74"/>
      <pageMargins left="0.75" right="0.75" top="1" bottom="1" header="0.5" footer="0.5"/>
      <pageSetup scale="66" orientation="portrait" r:id="rId7"/>
      <headerFooter alignWithMargins="0">
        <oddHeader>&amp;R&amp;12Page &amp;P of &amp;N</oddHeader>
      </headerFooter>
    </customSheetView>
    <customSheetView guid="{DC91DEF3-837B-4BB9-A81E-3B78C5914E6C}" scale="75" showPageBreaks="1" fitToPage="1" showRuler="0" topLeftCell="A37">
      <selection activeCell="B71" sqref="B71:C74"/>
      <pageMargins left="0.75" right="0.75" top="1" bottom="1" header="0.5" footer="0.5"/>
      <pageSetup scale="66" orientation="portrait" r:id="rId8"/>
      <headerFooter alignWithMargins="0">
        <oddHeader>&amp;R&amp;12Page &amp;P of &amp;N</oddHeader>
      </headerFooter>
    </customSheetView>
    <customSheetView guid="{1155D18F-BFDD-426B-8E78-817CEB25FB23}" scale="75" showPageBreaks="1" fitToPage="1" showRuler="0" topLeftCell="A32">
      <selection activeCell="E62" sqref="E62"/>
      <pageMargins left="0.75" right="0.75" top="1" bottom="1" header="0.5" footer="0.5"/>
      <pageSetup scale="66" orientation="portrait" r:id="rId9"/>
      <headerFooter alignWithMargins="0">
        <oddHeader>&amp;R&amp;12Page &amp;P of &amp;N</oddHeader>
      </headerFooter>
    </customSheetView>
  </customSheetViews>
  <mergeCells count="7">
    <mergeCell ref="J70:K70"/>
    <mergeCell ref="J71:K71"/>
    <mergeCell ref="J72:K72"/>
    <mergeCell ref="A1:H1"/>
    <mergeCell ref="A3:H3"/>
    <mergeCell ref="H14:H15"/>
    <mergeCell ref="J68:S69"/>
  </mergeCells>
  <phoneticPr fontId="0" type="noConversion"/>
  <pageMargins left="0.17" right="0.17" top="1" bottom="1" header="0.5" footer="0.5"/>
  <pageSetup scale="60" orientation="portrait" r:id="rId10"/>
  <headerFooter alignWithMargins="0"/>
  <rowBreaks count="2" manualBreakCount="2">
    <brk id="171" max="16383" man="1"/>
    <brk id="2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6"/>
  <sheetViews>
    <sheetView zoomScale="75" zoomScaleNormal="75" workbookViewId="0">
      <selection activeCell="F18" sqref="F18"/>
    </sheetView>
  </sheetViews>
  <sheetFormatPr defaultRowHeight="12.75"/>
  <cols>
    <col min="1" max="1" width="7.42578125" style="81" customWidth="1"/>
    <col min="2" max="2" width="86.7109375" customWidth="1"/>
    <col min="3" max="3" width="15.7109375" customWidth="1"/>
    <col min="4" max="4" width="15.140625" style="114" customWidth="1"/>
    <col min="5" max="5" width="2.85546875" customWidth="1"/>
    <col min="6" max="6" width="14.5703125" customWidth="1"/>
    <col min="7" max="7" width="13.5703125" customWidth="1"/>
    <col min="8" max="8" width="16.7109375" customWidth="1"/>
    <col min="9" max="9" width="12.28515625" bestFit="1" customWidth="1"/>
  </cols>
  <sheetData>
    <row r="1" spans="1:9" ht="18">
      <c r="A1" s="1976" t="str">
        <f>+'ATT H-1 '!A3</f>
        <v xml:space="preserve">Puget Sound Energy </v>
      </c>
      <c r="B1" s="1976"/>
      <c r="C1" s="1976"/>
      <c r="D1" s="1976"/>
      <c r="E1" s="2"/>
    </row>
    <row r="2" spans="1:9">
      <c r="A2" s="152"/>
      <c r="E2" s="2"/>
    </row>
    <row r="3" spans="1:9" ht="15.75">
      <c r="A3" s="1980" t="s">
        <v>731</v>
      </c>
      <c r="B3" s="1981"/>
      <c r="C3" s="1981"/>
      <c r="D3" s="1981"/>
      <c r="E3" s="2"/>
    </row>
    <row r="4" spans="1:9" ht="25.5">
      <c r="B4" s="53"/>
      <c r="C4" s="81"/>
      <c r="D4" s="542" t="s">
        <v>474</v>
      </c>
      <c r="E4" s="542"/>
      <c r="F4" s="542" t="s">
        <v>979</v>
      </c>
      <c r="G4" s="542" t="s">
        <v>437</v>
      </c>
      <c r="H4" s="542" t="s">
        <v>438</v>
      </c>
    </row>
    <row r="5" spans="1:9">
      <c r="B5" s="1213"/>
      <c r="C5" s="174"/>
      <c r="D5" s="116"/>
      <c r="E5" s="174"/>
      <c r="F5" s="2"/>
      <c r="G5" s="2"/>
      <c r="H5" s="2"/>
      <c r="I5" s="2"/>
    </row>
    <row r="6" spans="1:9">
      <c r="A6"/>
      <c r="B6" s="1214" t="s">
        <v>660</v>
      </c>
      <c r="C6" s="2"/>
      <c r="D6" s="116"/>
      <c r="E6" s="2"/>
      <c r="F6" s="2"/>
      <c r="G6" s="2"/>
      <c r="H6" s="2"/>
      <c r="I6" s="2"/>
    </row>
    <row r="7" spans="1:9">
      <c r="A7" s="97">
        <v>1</v>
      </c>
      <c r="B7" s="538" t="s">
        <v>177</v>
      </c>
      <c r="C7" s="112"/>
      <c r="D7" s="448">
        <f>+F7+G7+H7</f>
        <v>3697918.170598797</v>
      </c>
      <c r="E7" s="182"/>
      <c r="F7" s="1470">
        <f>'WKSHT1 - Rev Credits'!D6</f>
        <v>3697918.170598797</v>
      </c>
      <c r="G7" s="1470">
        <v>0</v>
      </c>
      <c r="H7" s="1470">
        <v>0</v>
      </c>
      <c r="I7" s="2"/>
    </row>
    <row r="8" spans="1:9">
      <c r="A8" s="97">
        <v>2</v>
      </c>
      <c r="B8" s="185" t="s">
        <v>590</v>
      </c>
      <c r="C8" s="112"/>
      <c r="D8" s="125">
        <f>+F8+G8+H8</f>
        <v>51272.688654506899</v>
      </c>
      <c r="E8" s="182"/>
      <c r="F8" s="1471">
        <f>'WKSHT1 - Rev Credits'!D8</f>
        <v>48173.183918775743</v>
      </c>
      <c r="G8" s="1472">
        <f>'WKSHT1 - Rev Credits'!E8</f>
        <v>1079.3969290619714</v>
      </c>
      <c r="H8" s="1472">
        <f>'WKSHT1 - Rev Credits'!F8</f>
        <v>2020.1078066691846</v>
      </c>
      <c r="I8" s="2"/>
    </row>
    <row r="9" spans="1:9">
      <c r="A9" s="97">
        <v>3</v>
      </c>
      <c r="B9" s="185" t="s">
        <v>178</v>
      </c>
      <c r="C9" s="112"/>
      <c r="D9" s="1089">
        <f>+F9+G9+H9</f>
        <v>1422749.3657701411</v>
      </c>
      <c r="E9" s="1088"/>
      <c r="F9" s="1473">
        <f>'WKSHT1 - Rev Credits'!D9</f>
        <v>1336742.2045955453</v>
      </c>
      <c r="G9" s="1472">
        <f>'WKSHT1 - Rev Credits'!E9</f>
        <v>29951.838620855469</v>
      </c>
      <c r="H9" s="1472">
        <f>'WKSHT1 - Rev Credits'!F9</f>
        <v>56055.322553740465</v>
      </c>
      <c r="I9" s="2"/>
    </row>
    <row r="10" spans="1:9" s="111" customFormat="1">
      <c r="A10" s="113">
        <v>4</v>
      </c>
      <c r="B10" s="112" t="s">
        <v>661</v>
      </c>
      <c r="C10" s="84" t="s">
        <v>179</v>
      </c>
      <c r="D10" s="1087">
        <f>SUM(D7:D9)</f>
        <v>5171940.2250234447</v>
      </c>
      <c r="E10" s="173"/>
      <c r="F10" s="1087">
        <f>SUM(F7:F9)</f>
        <v>5082833.5591131179</v>
      </c>
      <c r="G10" s="447">
        <f>SUM(G7:G9)</f>
        <v>31031.235549917441</v>
      </c>
      <c r="H10" s="447">
        <f>SUM(H7:H9)</f>
        <v>58075.430360409649</v>
      </c>
      <c r="I10" s="448"/>
    </row>
    <row r="11" spans="1:9">
      <c r="A11"/>
      <c r="B11" s="149"/>
      <c r="C11" s="149"/>
      <c r="D11" s="115"/>
      <c r="E11" s="2"/>
      <c r="F11" s="2"/>
      <c r="G11" s="2"/>
      <c r="H11" s="2"/>
      <c r="I11" s="2"/>
    </row>
    <row r="12" spans="1:9">
      <c r="A12" s="2"/>
      <c r="B12" s="1214" t="s">
        <v>408</v>
      </c>
      <c r="C12" s="149"/>
      <c r="D12" s="116"/>
      <c r="E12" s="2"/>
      <c r="F12" s="2"/>
      <c r="G12" s="2"/>
      <c r="H12" s="2"/>
      <c r="I12" s="2"/>
    </row>
    <row r="13" spans="1:9">
      <c r="A13" s="2">
        <v>5</v>
      </c>
      <c r="B13" s="126" t="s">
        <v>599</v>
      </c>
      <c r="C13" s="149"/>
      <c r="D13" s="448">
        <f>+F13+G13+H13</f>
        <v>0</v>
      </c>
      <c r="E13" s="2"/>
      <c r="F13" s="1636">
        <f>'WKSHT1 - Rev Credits'!D20</f>
        <v>0</v>
      </c>
      <c r="G13" s="1636">
        <f>'WKSHT1 - Rev Credits'!E20</f>
        <v>0</v>
      </c>
      <c r="H13" s="1636">
        <f>'WKSHT1 - Rev Credits'!F20</f>
        <v>0</v>
      </c>
      <c r="I13" s="448"/>
    </row>
    <row r="14" spans="1:9">
      <c r="A14" s="2">
        <v>6</v>
      </c>
      <c r="B14" s="126" t="s">
        <v>729</v>
      </c>
      <c r="C14" s="179"/>
      <c r="D14" s="449">
        <v>0</v>
      </c>
      <c r="E14" s="84"/>
      <c r="F14" s="1345"/>
      <c r="G14" s="1345"/>
      <c r="H14" s="1345"/>
      <c r="I14" s="2"/>
    </row>
    <row r="15" spans="1:9" ht="25.5">
      <c r="A15" s="166">
        <v>7</v>
      </c>
      <c r="B15" s="179" t="s">
        <v>730</v>
      </c>
      <c r="C15" s="179"/>
      <c r="D15" s="449">
        <v>0</v>
      </c>
      <c r="E15" s="2"/>
      <c r="F15" s="1345"/>
      <c r="G15" s="1345"/>
      <c r="H15" s="1345"/>
      <c r="I15" s="2"/>
    </row>
    <row r="16" spans="1:9" ht="25.5">
      <c r="A16" s="2">
        <v>8</v>
      </c>
      <c r="B16" s="650" t="s">
        <v>733</v>
      </c>
      <c r="C16" s="179"/>
      <c r="D16" s="450">
        <f>F16+G16+H16</f>
        <v>2066085</v>
      </c>
      <c r="E16" s="109"/>
      <c r="F16" s="1471">
        <f>'WKSHT1 - Rev Credits'!K133</f>
        <v>1028107</v>
      </c>
      <c r="G16" s="1510">
        <f>'WKSHT1 - Rev Credits'!K134</f>
        <v>0</v>
      </c>
      <c r="H16" s="1510">
        <f>'WKSHT1 - Rev Credits'!K135</f>
        <v>1037978</v>
      </c>
      <c r="I16" s="2"/>
    </row>
    <row r="17" spans="1:9">
      <c r="A17" s="166">
        <v>9</v>
      </c>
      <c r="B17" s="650" t="s">
        <v>575</v>
      </c>
      <c r="C17" s="179"/>
      <c r="D17" s="450">
        <f>+F17+G17+H17</f>
        <v>49679864</v>
      </c>
      <c r="E17" s="109"/>
      <c r="F17" s="1471">
        <v>49416470</v>
      </c>
      <c r="G17" s="1510">
        <v>263394</v>
      </c>
      <c r="H17" s="1510">
        <v>0</v>
      </c>
      <c r="I17" s="448"/>
    </row>
    <row r="18" spans="1:9">
      <c r="A18" s="2">
        <v>10</v>
      </c>
      <c r="B18" s="650" t="s">
        <v>732</v>
      </c>
      <c r="C18" s="179"/>
      <c r="D18" s="450">
        <f>+F18+G18+H18</f>
        <v>0</v>
      </c>
      <c r="E18" s="109"/>
      <c r="F18" s="2"/>
      <c r="G18" s="2"/>
      <c r="H18" s="2"/>
      <c r="I18" s="2"/>
    </row>
    <row r="19" spans="1:9">
      <c r="A19" s="166">
        <v>11</v>
      </c>
      <c r="B19" s="649" t="s">
        <v>932</v>
      </c>
      <c r="C19" s="179"/>
      <c r="D19" s="450">
        <f>+F19+G19+H19</f>
        <v>0</v>
      </c>
      <c r="E19" s="109"/>
      <c r="F19" s="2"/>
      <c r="G19" s="2"/>
      <c r="H19" s="2"/>
      <c r="I19" s="2"/>
    </row>
    <row r="20" spans="1:9" ht="25.5">
      <c r="B20" s="649" t="s">
        <v>933</v>
      </c>
      <c r="C20" s="84"/>
      <c r="D20" s="450">
        <f>+F20+G20+H20</f>
        <v>0</v>
      </c>
      <c r="E20" s="2"/>
      <c r="F20" s="2"/>
      <c r="G20" s="2"/>
      <c r="H20" s="2"/>
      <c r="I20" s="2"/>
    </row>
    <row r="21" spans="1:9">
      <c r="B21" s="649"/>
      <c r="C21" s="84"/>
      <c r="D21" s="449"/>
      <c r="E21" s="2"/>
      <c r="F21" s="2"/>
      <c r="G21" s="2"/>
      <c r="H21" s="2"/>
      <c r="I21" s="2"/>
    </row>
    <row r="22" spans="1:9" ht="13.5" thickBot="1">
      <c r="A22" s="166">
        <v>12</v>
      </c>
      <c r="B22" s="149" t="s">
        <v>725</v>
      </c>
      <c r="C22" s="84" t="s">
        <v>923</v>
      </c>
      <c r="D22" s="541">
        <f>SUM(D13:D18)+D10</f>
        <v>56917889.225023448</v>
      </c>
      <c r="E22" s="1086"/>
      <c r="F22" s="541">
        <f>SUM(F13:F18)+F10</f>
        <v>55527410.559113115</v>
      </c>
      <c r="G22" s="541">
        <f>SUM(G13:G18)+G10</f>
        <v>294425.23554991744</v>
      </c>
      <c r="H22" s="541">
        <f>SUM(H13:H18)+H10</f>
        <v>1096053.4303604097</v>
      </c>
      <c r="I22" s="448"/>
    </row>
    <row r="23" spans="1:9" ht="13.5" thickTop="1">
      <c r="A23"/>
      <c r="B23" s="149"/>
      <c r="C23" s="2"/>
      <c r="D23" s="116"/>
      <c r="E23" s="2"/>
      <c r="F23" s="2"/>
      <c r="G23" s="2"/>
      <c r="H23" s="2"/>
      <c r="I23" s="2"/>
    </row>
    <row r="24" spans="1:9">
      <c r="A24"/>
      <c r="B24" s="149"/>
      <c r="C24" s="2"/>
      <c r="D24" s="116"/>
      <c r="E24" s="2"/>
      <c r="F24" s="2"/>
      <c r="G24" s="2"/>
      <c r="H24" s="2"/>
      <c r="I24" s="2"/>
    </row>
    <row r="25" spans="1:9">
      <c r="A25"/>
      <c r="B25" s="1215"/>
      <c r="C25" s="2"/>
      <c r="D25" s="117"/>
      <c r="E25" s="2"/>
      <c r="F25" s="2"/>
      <c r="G25" s="2"/>
      <c r="H25" s="2"/>
      <c r="I25" s="2"/>
    </row>
    <row r="26" spans="1:9">
      <c r="A26" s="166"/>
      <c r="B26" s="648"/>
      <c r="C26" s="650"/>
      <c r="D26" s="116"/>
      <c r="E26" s="125"/>
      <c r="F26" s="2"/>
      <c r="G26" s="2"/>
      <c r="H26" s="2"/>
      <c r="I26" s="2"/>
    </row>
    <row r="27" spans="1:9">
      <c r="A27" s="155"/>
      <c r="B27" s="149"/>
      <c r="C27" s="2"/>
      <c r="D27" s="116"/>
      <c r="E27" s="2"/>
      <c r="F27" s="2"/>
      <c r="G27" s="2"/>
      <c r="H27" s="2"/>
      <c r="I27" s="2"/>
    </row>
    <row r="28" spans="1:9" ht="51">
      <c r="A28" s="155">
        <f>+A26+1</f>
        <v>1</v>
      </c>
      <c r="B28" s="649" t="s">
        <v>82</v>
      </c>
      <c r="C28" s="2"/>
      <c r="D28" s="86"/>
      <c r="E28" s="2"/>
    </row>
    <row r="29" spans="1:9">
      <c r="A29" s="155"/>
      <c r="B29" s="149"/>
      <c r="C29" s="2"/>
      <c r="E29" s="2"/>
    </row>
    <row r="30" spans="1:9" ht="38.25">
      <c r="A30" s="155">
        <f>+A28+1</f>
        <v>2</v>
      </c>
      <c r="B30" s="649" t="s">
        <v>83</v>
      </c>
      <c r="C30" s="2"/>
      <c r="D30" s="175"/>
      <c r="E30" s="175"/>
    </row>
    <row r="31" spans="1:9">
      <c r="B31" s="84"/>
      <c r="C31" s="2"/>
      <c r="E31" s="2"/>
    </row>
    <row r="32" spans="1:9">
      <c r="A32" s="122">
        <v>3</v>
      </c>
      <c r="B32" s="176" t="s">
        <v>690</v>
      </c>
      <c r="C32" s="2"/>
      <c r="E32" s="2"/>
    </row>
    <row r="33" spans="1:9">
      <c r="A33" s="174"/>
      <c r="B33" s="176"/>
      <c r="E33" s="2"/>
    </row>
    <row r="34" spans="1:9">
      <c r="A34" s="174"/>
      <c r="E34" s="2"/>
    </row>
    <row r="35" spans="1:9">
      <c r="A35" s="180"/>
      <c r="B35" s="2"/>
      <c r="G35" s="2"/>
    </row>
    <row r="36" spans="1:9">
      <c r="A36" s="180"/>
      <c r="B36" s="2"/>
      <c r="I36" s="445"/>
    </row>
  </sheetData>
  <customSheetViews>
    <customSheetView guid="{16940A0E-2B20-4241-BF05-A4686E5A0274}" scale="75" fitToPage="1" showRuler="0">
      <selection activeCell="D15" sqref="D15"/>
      <pageMargins left="0.5" right="0.5" top="1" bottom="1" header="0.5" footer="0.5"/>
      <printOptions horizontalCentered="1"/>
      <pageSetup scale="66" orientation="portrait" r:id="rId1"/>
      <headerFooter alignWithMargins="0">
        <oddHeader>&amp;R&amp;12Page &amp;P of &amp;N</oddHeader>
      </headerFooter>
    </customSheetView>
    <customSheetView guid="{44504B44-F20F-4B6F-B585-74D55BA74563}" scale="75" showPageBreaks="1" fitToPage="1" printArea="1" showRuler="0">
      <selection activeCell="D15" sqref="D15"/>
      <pageMargins left="0.5" right="0.5" top="1" bottom="1" header="0.5" footer="0.5"/>
      <printOptions horizontalCentered="1"/>
      <pageSetup scale="66" orientation="portrait" r:id="rId2"/>
      <headerFooter alignWithMargins="0">
        <oddHeader>&amp;R&amp;12Page &amp;P of &amp;N</oddHeader>
      </headerFooter>
    </customSheetView>
    <customSheetView guid="{FAAD9AAC-1337-43AB-BF1F-CCF9DFCF5B78}" scale="75" showPageBreaks="1" fitToPage="1" printArea="1" showRuler="0">
      <selection activeCell="B46" sqref="B46"/>
      <pageMargins left="0.5" right="0.5" top="1" bottom="1" header="0.5" footer="0.5"/>
      <printOptions horizontalCentered="1"/>
      <pageSetup scale="64" orientation="portrait" r:id="rId3"/>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5" right="0.5" top="1" bottom="1" header="0.5" footer="0.5"/>
      <printOptions horizontalCentered="1"/>
      <pageSetup scale="66" orientation="portrait" r:id="rId4"/>
      <headerFooter alignWithMargins="0">
        <oddHeader>&amp;R&amp;14Page &amp;P of &amp;N</oddHeader>
      </headerFooter>
    </customSheetView>
    <customSheetView guid="{28948E05-8F34-4F1E-96FB-A80A6A844600}" scale="75" showPageBreaks="1" fitToPage="1" printArea="1" showRuler="0" topLeftCell="A14">
      <selection activeCell="B32" sqref="B32"/>
      <pageMargins left="0.5" right="0.5" top="1" bottom="1" header="0.5" footer="0.5"/>
      <printOptions horizontalCentered="1"/>
      <pageSetup scale="64" orientation="portrait" r:id="rId5"/>
      <headerFooter alignWithMargins="0">
        <oddHeader>&amp;R&amp;12Page &amp;P of &amp;N</oddHeader>
      </headerFooter>
    </customSheetView>
    <customSheetView guid="{B647CB7F-C846-4278-B6B1-1EF7F3C004F5}" scale="75" showPageBreaks="1" fitToPage="1" printArea="1" showRuler="0" topLeftCell="A26">
      <selection activeCell="C29" sqref="C29"/>
      <pageMargins left="0.5" right="0.5" top="1" bottom="1" header="0.5" footer="0.5"/>
      <printOptions horizontalCentered="1"/>
      <pageSetup scale="66" orientation="portrait" r:id="rId6"/>
      <headerFooter alignWithMargins="0">
        <oddHeader>&amp;R&amp;12Page &amp;P of &amp;N</oddHeader>
      </headerFooter>
    </customSheetView>
    <customSheetView guid="{63011E91-4609-4523-98FE-FD252E915668}" scale="60" showPageBreaks="1" fitToPage="1" printArea="1" view="pageBreakPreview" showRuler="0" topLeftCell="A43">
      <selection activeCell="C29" sqref="C29"/>
      <pageMargins left="0.5" right="0.5" top="1" bottom="1" header="0.5" footer="0.5"/>
      <printOptions horizontalCentered="1"/>
      <pageSetup scale="64" orientation="portrait" r:id="rId7"/>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5" right="0.5" top="1" bottom="1" header="0.5" footer="0.5"/>
      <printOptions horizontalCentered="1"/>
      <pageSetup scale="66" orientation="portrait" r:id="rId8"/>
      <headerFooter alignWithMargins="0">
        <oddHeader>&amp;R&amp;12Page &amp;P of &amp;N</oddHeader>
      </headerFooter>
    </customSheetView>
    <customSheetView guid="{1155D18F-BFDD-426B-8E78-817CEB25FB23}" scale="75" showPageBreaks="1" fitToPage="1" printArea="1" showRuler="0" topLeftCell="A28">
      <selection activeCell="D41" sqref="D41"/>
      <pageMargins left="0.5" right="0.5" top="1" bottom="1" header="0.5" footer="0.5"/>
      <printOptions horizontalCentered="1"/>
      <pageSetup scale="66" orientation="portrait" r:id="rId9"/>
      <headerFooter alignWithMargins="0">
        <oddHeader>&amp;R&amp;12Page &amp;P of &amp;N</oddHeader>
      </headerFooter>
    </customSheetView>
  </customSheetViews>
  <mergeCells count="2">
    <mergeCell ref="A3:D3"/>
    <mergeCell ref="A1:D1"/>
  </mergeCells>
  <phoneticPr fontId="0" type="noConversion"/>
  <printOptions horizontalCentered="1"/>
  <pageMargins left="0.5" right="0.5" top="1" bottom="1" header="0.5" footer="0.5"/>
  <pageSetup scale="70" orientation="landscape" r:id="rId10"/>
  <headerFooter alignWithMargins="0"/>
  <rowBreaks count="2" manualBreakCount="2">
    <brk id="95" max="16383" man="1"/>
    <brk id="1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284"/>
  <sheetViews>
    <sheetView view="pageBreakPreview" zoomScale="66" zoomScaleNormal="65" zoomScaleSheetLayoutView="66" workbookViewId="0">
      <selection activeCell="J26" sqref="J26"/>
    </sheetView>
  </sheetViews>
  <sheetFormatPr defaultColWidth="9.140625" defaultRowHeight="12.75"/>
  <cols>
    <col min="1" max="1" width="9.42578125" style="309" bestFit="1" customWidth="1"/>
    <col min="2" max="2" width="3" style="309" customWidth="1"/>
    <col min="3" max="3" width="53.140625" style="309" customWidth="1"/>
    <col min="4" max="4" width="36.5703125" style="309" customWidth="1"/>
    <col min="5" max="5" width="36.140625" style="309" customWidth="1"/>
    <col min="6" max="6" width="3.85546875" style="309" customWidth="1"/>
    <col min="7" max="7" width="20.42578125" style="309" customWidth="1"/>
    <col min="8" max="16384" width="9.140625" style="309"/>
  </cols>
  <sheetData>
    <row r="1" spans="1:7" ht="18">
      <c r="A1" s="1976" t="str">
        <f>+'ATT H-1 '!A3</f>
        <v xml:space="preserve">Puget Sound Energy </v>
      </c>
      <c r="B1" s="1976"/>
      <c r="C1" s="1976"/>
      <c r="D1" s="1976"/>
      <c r="E1" s="1976"/>
      <c r="F1" s="1976"/>
      <c r="G1" s="1976"/>
    </row>
    <row r="2" spans="1:7">
      <c r="A2" s="152"/>
      <c r="B2"/>
      <c r="C2"/>
      <c r="D2" s="114"/>
    </row>
    <row r="3" spans="1:7" ht="15.75">
      <c r="A3" s="1980" t="s">
        <v>351</v>
      </c>
      <c r="B3" s="1980"/>
      <c r="C3" s="1980"/>
      <c r="D3" s="1980"/>
      <c r="E3" s="1980"/>
      <c r="F3" s="1980"/>
      <c r="G3" s="1980"/>
    </row>
    <row r="9" spans="1:7" s="252" customFormat="1" ht="15">
      <c r="A9" s="251" t="s">
        <v>762</v>
      </c>
      <c r="B9" s="251"/>
      <c r="C9" s="252" t="s">
        <v>600</v>
      </c>
      <c r="E9" s="252" t="str">
        <f>"Line "&amp;A29&amp;" + Line "&amp;A51&amp;""</f>
        <v>Line 12 + Line 23</v>
      </c>
      <c r="G9" s="253">
        <f>+G29+G51</f>
        <v>84592519.94515793</v>
      </c>
    </row>
    <row r="10" spans="1:7" s="252" customFormat="1" ht="15">
      <c r="A10" s="251"/>
      <c r="B10" s="251"/>
    </row>
    <row r="11" spans="1:7" s="252" customFormat="1" ht="15">
      <c r="A11" s="251" t="s">
        <v>852</v>
      </c>
      <c r="B11" s="251"/>
      <c r="C11" s="252" t="str">
        <f>G11*10000&amp;" Basis Point increase in ROE"</f>
        <v>100 Basis Point increase in ROE</v>
      </c>
      <c r="G11" s="254">
        <v>0.01</v>
      </c>
    </row>
    <row r="12" spans="1:7" s="252" customFormat="1" ht="15">
      <c r="A12" s="251"/>
      <c r="B12" s="251"/>
      <c r="G12" s="254"/>
    </row>
    <row r="13" spans="1:7" s="252" customFormat="1" ht="15.75">
      <c r="A13" s="332" t="s">
        <v>656</v>
      </c>
      <c r="B13" s="255"/>
      <c r="C13" s="255"/>
      <c r="D13" s="255"/>
      <c r="E13" s="255"/>
      <c r="F13" s="255"/>
      <c r="G13" s="255"/>
    </row>
    <row r="14" spans="1:7" s="252" customFormat="1" ht="15">
      <c r="A14" s="251">
        <v>1</v>
      </c>
      <c r="C14" s="256" t="s">
        <v>838</v>
      </c>
      <c r="E14" s="256" t="str">
        <f>"Attachment H-1, Line "&amp;'ATT H-1 '!A102&amp;""</f>
        <v>Attachment H-1, Line 59</v>
      </c>
      <c r="G14" s="253">
        <f>+'ATT H-1 '!H102</f>
        <v>950571485.74064052</v>
      </c>
    </row>
    <row r="15" spans="1:7" s="252" customFormat="1" ht="15">
      <c r="F15" s="256"/>
      <c r="G15" s="257"/>
    </row>
    <row r="16" spans="1:7" s="252" customFormat="1" ht="15">
      <c r="A16" s="258">
        <f>A14+1</f>
        <v>2</v>
      </c>
      <c r="B16" s="258"/>
      <c r="C16" s="259" t="s">
        <v>909</v>
      </c>
      <c r="D16" s="194"/>
      <c r="E16" s="260" t="str">
        <f>"Attachment H-1, Line "&amp;'ATT H-1 '!A203&amp;""</f>
        <v>Attachment H-1, Line 126</v>
      </c>
      <c r="F16" s="261"/>
      <c r="G16" s="262">
        <f>+'ATT H-1 '!H203</f>
        <v>0.51102527871591263</v>
      </c>
    </row>
    <row r="17" spans="1:7" s="252" customFormat="1" ht="15">
      <c r="A17" s="258">
        <f>A16+1</f>
        <v>3</v>
      </c>
      <c r="B17" s="258"/>
      <c r="C17" s="259" t="s">
        <v>916</v>
      </c>
      <c r="D17" s="194"/>
      <c r="E17" s="260" t="str">
        <f>"Attachment H-1, Line "&amp;'ATT H-1 '!A204&amp;""</f>
        <v>Attachment H-1, Line 127</v>
      </c>
      <c r="F17" s="261"/>
      <c r="G17" s="262">
        <f>+'ATT H-1 '!H204</f>
        <v>0</v>
      </c>
    </row>
    <row r="18" spans="1:7" s="252" customFormat="1" ht="15">
      <c r="A18" s="258">
        <f>A17+1</f>
        <v>4</v>
      </c>
      <c r="B18" s="258"/>
      <c r="C18" s="259" t="s">
        <v>910</v>
      </c>
      <c r="D18" s="194"/>
      <c r="E18" s="260" t="str">
        <f>"Attachment H-1, Line "&amp;'ATT H-1 '!A205&amp;""</f>
        <v>Attachment H-1, Line 128</v>
      </c>
      <c r="F18" s="261"/>
      <c r="G18" s="262">
        <f>+'ATT H-1 '!H205</f>
        <v>0.48897472128408731</v>
      </c>
    </row>
    <row r="19" spans="1:7" s="252" customFormat="1" ht="15">
      <c r="A19" s="258"/>
      <c r="B19" s="258"/>
      <c r="C19" s="263"/>
      <c r="D19" s="261"/>
      <c r="E19" s="260"/>
      <c r="F19" s="261"/>
      <c r="G19" s="264"/>
    </row>
    <row r="20" spans="1:7" s="252" customFormat="1" ht="15">
      <c r="A20" s="258">
        <f>A18+1</f>
        <v>5</v>
      </c>
      <c r="B20" s="258"/>
      <c r="C20" s="263" t="s">
        <v>911</v>
      </c>
      <c r="D20" s="194"/>
      <c r="E20" s="260" t="str">
        <f>"Attachment H-1, Line "&amp;'ATT H-1 '!A208&amp;""</f>
        <v>Attachment H-1, Line 129</v>
      </c>
      <c r="F20" s="261"/>
      <c r="G20" s="329">
        <f>+'ATT H-1 '!H208</f>
        <v>5.1494796134706602E-2</v>
      </c>
    </row>
    <row r="21" spans="1:7" s="252" customFormat="1" ht="15">
      <c r="A21" s="258">
        <f>A20+1</f>
        <v>6</v>
      </c>
      <c r="B21" s="258"/>
      <c r="C21" s="263" t="s">
        <v>917</v>
      </c>
      <c r="D21" s="194"/>
      <c r="E21" s="260" t="str">
        <f>"Attachment H-1, Line "&amp;'ATT H-1 '!A209&amp;""</f>
        <v>Attachment H-1, Line 130</v>
      </c>
      <c r="F21" s="261"/>
      <c r="G21" s="329">
        <f>+'ATT H-1 '!H209</f>
        <v>0</v>
      </c>
    </row>
    <row r="22" spans="1:7" s="252" customFormat="1" ht="15">
      <c r="A22" s="258">
        <f>A21+1</f>
        <v>7</v>
      </c>
      <c r="B22" s="258"/>
      <c r="C22" s="263" t="s">
        <v>912</v>
      </c>
      <c r="D22" s="256" t="s">
        <v>1087</v>
      </c>
      <c r="E22" s="260" t="str">
        <f>"Attachment H-1, Line "&amp;'ATT H-1 '!A210&amp;""</f>
        <v>Attachment H-1, Line 131</v>
      </c>
      <c r="F22" s="261"/>
      <c r="G22" s="329">
        <f>+'ATT H-1 '!H210+0.01</f>
        <v>0.108</v>
      </c>
    </row>
    <row r="23" spans="1:7" s="252" customFormat="1" ht="15">
      <c r="A23" s="258"/>
      <c r="B23" s="258"/>
      <c r="C23" s="263"/>
      <c r="D23" s="265"/>
      <c r="E23" s="261"/>
      <c r="F23" s="261"/>
      <c r="G23" s="266"/>
    </row>
    <row r="24" spans="1:7" s="252" customFormat="1" ht="15">
      <c r="A24" s="258">
        <f>A22+1</f>
        <v>8</v>
      </c>
      <c r="B24" s="258"/>
      <c r="C24" s="259" t="s">
        <v>913</v>
      </c>
      <c r="D24" s="194"/>
      <c r="E24" s="260" t="str">
        <f>"Attachment H-1, Line "&amp;'ATT H-1 '!A212&amp;""</f>
        <v>Attachment H-1, Line 132</v>
      </c>
      <c r="F24" s="267"/>
      <c r="G24" s="319">
        <f>+'ATT H-1 '!H212</f>
        <v>2.6315142547157541E-2</v>
      </c>
    </row>
    <row r="25" spans="1:7" s="252" customFormat="1" ht="15">
      <c r="A25" s="258">
        <f>A24+1</f>
        <v>9</v>
      </c>
      <c r="B25" s="258"/>
      <c r="C25" s="259" t="s">
        <v>943</v>
      </c>
      <c r="D25" s="194"/>
      <c r="E25" s="260" t="str">
        <f>"Attachment H-1, Line "&amp;'ATT H-1 '!A213&amp;""</f>
        <v>Attachment H-1, Line 133</v>
      </c>
      <c r="F25" s="268"/>
      <c r="G25" s="320">
        <f>+'ATT H-1 '!H213</f>
        <v>0</v>
      </c>
    </row>
    <row r="26" spans="1:7" s="252" customFormat="1" ht="15">
      <c r="A26" s="258">
        <f>A25+1</f>
        <v>10</v>
      </c>
      <c r="B26" s="269"/>
      <c r="C26" s="270" t="s">
        <v>914</v>
      </c>
      <c r="D26" s="201"/>
      <c r="E26" s="271" t="str">
        <f>"Line "&amp;A18&amp;" * Line "&amp;A22&amp;""</f>
        <v>Line 4 * Line 7</v>
      </c>
      <c r="F26" s="272"/>
      <c r="G26" s="273">
        <f>G22*G18</f>
        <v>5.2809269898681427E-2</v>
      </c>
    </row>
    <row r="27" spans="1:7" s="252" customFormat="1" ht="15.75">
      <c r="A27" s="258">
        <f>A26+1</f>
        <v>11</v>
      </c>
      <c r="B27" s="274" t="s">
        <v>746</v>
      </c>
      <c r="C27" s="274"/>
      <c r="D27" s="194"/>
      <c r="E27" s="260" t="str">
        <f>"Sum Lines "&amp;A24&amp;" to "&amp;A26&amp;""</f>
        <v>Sum Lines 8 to 10</v>
      </c>
      <c r="F27" s="275"/>
      <c r="G27" s="276">
        <f>SUM(G24:G26)</f>
        <v>7.9124412445838968E-2</v>
      </c>
    </row>
    <row r="28" spans="1:7" s="252" customFormat="1" ht="15.75">
      <c r="A28" s="277"/>
      <c r="B28" s="277"/>
      <c r="C28" s="274"/>
      <c r="D28" s="278"/>
      <c r="E28" s="279"/>
      <c r="F28" s="275"/>
      <c r="G28" s="276"/>
    </row>
    <row r="29" spans="1:7" s="252" customFormat="1" ht="16.5" thickBot="1">
      <c r="A29" s="258">
        <f>A27+1</f>
        <v>12</v>
      </c>
      <c r="B29" s="280" t="s">
        <v>817</v>
      </c>
      <c r="C29" s="281"/>
      <c r="D29" s="282"/>
      <c r="E29" s="281" t="str">
        <f>"Line "&amp;A27&amp;" * Line "&amp;A14&amp;""</f>
        <v>Line 11 * Line 1</v>
      </c>
      <c r="F29" s="283"/>
      <c r="G29" s="282">
        <f>+G27*G14</f>
        <v>75213410.29699637</v>
      </c>
    </row>
    <row r="30" spans="1:7" s="252" customFormat="1" ht="15.75" thickTop="1">
      <c r="A30" s="258"/>
      <c r="B30" s="258"/>
      <c r="C30" s="284"/>
      <c r="D30" s="251"/>
      <c r="E30" s="261"/>
      <c r="F30" s="261"/>
      <c r="G30" s="194"/>
    </row>
    <row r="31" spans="1:7" s="252" customFormat="1" ht="15.75">
      <c r="A31" s="333" t="s">
        <v>603</v>
      </c>
      <c r="B31" s="285"/>
      <c r="C31" s="286"/>
      <c r="D31" s="287"/>
      <c r="E31" s="255"/>
      <c r="F31" s="255"/>
      <c r="G31" s="288"/>
    </row>
    <row r="32" spans="1:7" s="252" customFormat="1" ht="15.75">
      <c r="A32" s="258"/>
      <c r="B32" s="289" t="s">
        <v>818</v>
      </c>
      <c r="C32" s="266"/>
      <c r="D32" s="264"/>
      <c r="E32" s="261"/>
      <c r="F32" s="290"/>
      <c r="G32" s="194"/>
    </row>
    <row r="33" spans="1:7" s="252" customFormat="1" ht="15">
      <c r="A33" s="258">
        <f>A29+1</f>
        <v>13</v>
      </c>
      <c r="B33" s="258"/>
      <c r="C33" s="266" t="s">
        <v>816</v>
      </c>
      <c r="D33" s="251"/>
      <c r="E33" s="252" t="str">
        <f>"Attachment H-1, Line "&amp;'ATT H-1 '!A222&amp;""</f>
        <v>Attachment H-1, Line 137</v>
      </c>
      <c r="F33" s="291"/>
      <c r="G33" s="292">
        <f>+'ATT H-1 '!H222</f>
        <v>0.21</v>
      </c>
    </row>
    <row r="34" spans="1:7" s="252" customFormat="1" ht="15">
      <c r="A34" s="258">
        <f>A33+1</f>
        <v>14</v>
      </c>
      <c r="B34" s="258"/>
      <c r="C34" s="291" t="s">
        <v>815</v>
      </c>
      <c r="D34" s="293"/>
      <c r="E34" s="252" t="str">
        <f>"Attachment H-1, Line "&amp;'ATT H-1 '!A223&amp;""</f>
        <v>Attachment H-1, Line 138</v>
      </c>
      <c r="F34" s="291"/>
      <c r="G34" s="292">
        <f>+'ATT H-1 '!H223</f>
        <v>0</v>
      </c>
    </row>
    <row r="35" spans="1:7" s="252" customFormat="1" ht="15">
      <c r="A35" s="258">
        <f>A34+1</f>
        <v>15</v>
      </c>
      <c r="B35" s="258"/>
      <c r="C35" s="291" t="s">
        <v>275</v>
      </c>
      <c r="D35" s="251"/>
      <c r="E35" s="252" t="str">
        <f>"Attachment H-1, Line "&amp;'ATT H-1 '!A224&amp;""</f>
        <v>Attachment H-1, Line 139</v>
      </c>
      <c r="F35" s="291"/>
      <c r="G35" s="292">
        <f>+'ATT H-1 '!H224</f>
        <v>0</v>
      </c>
    </row>
    <row r="36" spans="1:7" s="252" customFormat="1" ht="15">
      <c r="A36" s="258">
        <f>A35+1</f>
        <v>16</v>
      </c>
      <c r="B36" s="258"/>
      <c r="C36" s="291" t="s">
        <v>276</v>
      </c>
      <c r="D36" s="251"/>
      <c r="E36" s="252" t="str">
        <f>"Attachment H-1, Line "&amp;'ATT H-1 '!A225&amp;""</f>
        <v>Attachment H-1, Line 140</v>
      </c>
      <c r="F36" s="291"/>
      <c r="G36" s="292">
        <f>+'ATT H-1 '!H225</f>
        <v>0.20999999999999996</v>
      </c>
    </row>
    <row r="37" spans="1:7" s="252" customFormat="1" ht="15">
      <c r="A37" s="258">
        <f>A36+1</f>
        <v>17</v>
      </c>
      <c r="B37" s="258"/>
      <c r="C37" s="291" t="s">
        <v>887</v>
      </c>
      <c r="D37" s="251"/>
      <c r="E37" s="252" t="str">
        <f>"Attachment H-1, Line "&amp;'ATT H-1 '!A226&amp;""</f>
        <v>Attachment H-1, Line 141</v>
      </c>
      <c r="F37" s="291"/>
      <c r="G37" s="292">
        <f>+'ATT H-1 '!H226</f>
        <v>0.2658227848101265</v>
      </c>
    </row>
    <row r="38" spans="1:7" s="252" customFormat="1" ht="15">
      <c r="A38" s="258"/>
      <c r="B38" s="258"/>
      <c r="C38" s="266"/>
      <c r="D38" s="295"/>
      <c r="E38" s="296"/>
      <c r="F38" s="290"/>
      <c r="G38" s="294"/>
    </row>
    <row r="39" spans="1:7" s="252" customFormat="1" ht="15.75">
      <c r="A39" s="258"/>
      <c r="B39" s="289" t="s">
        <v>813</v>
      </c>
      <c r="C39" s="284"/>
      <c r="D39" s="293"/>
      <c r="E39" s="261"/>
      <c r="F39" s="290"/>
      <c r="G39" s="297"/>
    </row>
    <row r="40" spans="1:7" s="252" customFormat="1" ht="15">
      <c r="A40" s="258">
        <f>A37+1</f>
        <v>18</v>
      </c>
      <c r="B40" s="258"/>
      <c r="C40" s="284" t="s">
        <v>855</v>
      </c>
      <c r="D40" s="298"/>
      <c r="E40" s="252" t="str">
        <f>"Attachment H-1, Line "&amp;'ATT H-1 '!A229&amp;""</f>
        <v>Attachment H-1, Line 142</v>
      </c>
      <c r="G40" s="317">
        <f>+'ATT H-1 '!H229</f>
        <v>0</v>
      </c>
    </row>
    <row r="41" spans="1:7" s="252" customFormat="1" ht="15">
      <c r="A41" s="258">
        <f>A40+1</f>
        <v>19</v>
      </c>
      <c r="B41" s="258"/>
      <c r="C41" s="284" t="s">
        <v>277</v>
      </c>
      <c r="D41" s="194"/>
      <c r="E41" s="252" t="str">
        <f>"Attachment H-1, Line "&amp;'ATT H-1 '!A230&amp;""</f>
        <v>Attachment H-1, Line 143</v>
      </c>
      <c r="F41" s="290"/>
      <c r="G41" s="318">
        <f>+'ATT H-1 '!H230</f>
        <v>1.2658227848101264</v>
      </c>
    </row>
    <row r="42" spans="1:7" s="252" customFormat="1" ht="15.75">
      <c r="A42" s="258">
        <f>A41+1</f>
        <v>20</v>
      </c>
      <c r="B42" s="299"/>
      <c r="C42" s="300" t="s">
        <v>808</v>
      </c>
      <c r="D42" s="201"/>
      <c r="E42" s="271" t="str">
        <f>"Attachment H-1, Line "&amp;'ATT H-1 '!A231&amp;""</f>
        <v>Attachment H-1, Line 144</v>
      </c>
      <c r="F42" s="301"/>
      <c r="G42" s="318">
        <f>+'ATT H-1 '!H231</f>
        <v>0.18826123213657034</v>
      </c>
    </row>
    <row r="43" spans="1:7" s="252" customFormat="1" ht="15.75">
      <c r="A43" s="258">
        <f>A42+1</f>
        <v>21</v>
      </c>
      <c r="B43" s="258"/>
      <c r="C43" s="302" t="s">
        <v>814</v>
      </c>
      <c r="D43" s="303"/>
      <c r="E43" s="252" t="str">
        <f>"Attachment H-1, Line "&amp;'ATT H-1 '!A232&amp;""</f>
        <v>Attachment H-1, Line 145</v>
      </c>
      <c r="F43" s="304"/>
      <c r="G43" s="305">
        <f>+'ATT H-1 '!H232</f>
        <v>0</v>
      </c>
    </row>
    <row r="44" spans="1:7" s="252" customFormat="1" ht="15.75">
      <c r="A44" s="258"/>
      <c r="B44" s="258"/>
      <c r="C44" s="306"/>
      <c r="D44" s="1883"/>
      <c r="F44" s="301"/>
      <c r="G44" s="1884"/>
    </row>
    <row r="45" spans="1:7" s="252" customFormat="1" ht="15.75">
      <c r="A45" s="1885"/>
      <c r="B45" s="48" t="s">
        <v>1261</v>
      </c>
      <c r="C45" s="1886"/>
      <c r="D45" s="25"/>
      <c r="E45" s="74"/>
      <c r="F45" s="328"/>
      <c r="G45" s="1887"/>
    </row>
    <row r="46" spans="1:7" s="252" customFormat="1" ht="15.75">
      <c r="A46" s="1888" t="s">
        <v>1262</v>
      </c>
      <c r="B46" s="23"/>
      <c r="C46" s="24" t="s">
        <v>1263</v>
      </c>
      <c r="D46" s="74"/>
      <c r="E46" s="1889" t="str">
        <f>"Attachment H-1, Line "&amp;'[6]ATT H-1 '!A235&amp;""</f>
        <v>Attachment H-1, Line 145a</v>
      </c>
      <c r="F46" s="1887"/>
      <c r="G46" s="1893">
        <f>'ATT H-1 '!H235</f>
        <v>-3132290.4691306632</v>
      </c>
    </row>
    <row r="47" spans="1:7" s="252" customFormat="1" ht="15.75">
      <c r="A47" s="1888" t="s">
        <v>1264</v>
      </c>
      <c r="B47" s="23"/>
      <c r="C47" s="24" t="s">
        <v>1265</v>
      </c>
      <c r="D47" s="25" t="s">
        <v>1266</v>
      </c>
      <c r="E47" s="326" t="s">
        <v>1267</v>
      </c>
      <c r="F47" s="1887"/>
      <c r="G47" s="1894">
        <f>G46*(1/(1-G36))</f>
        <v>-3964924.6444691936</v>
      </c>
    </row>
    <row r="48" spans="1:7" s="252" customFormat="1" ht="15.75">
      <c r="A48" s="1888"/>
      <c r="B48" s="1888"/>
      <c r="C48" s="1890"/>
      <c r="D48" s="1891"/>
      <c r="E48" s="1889"/>
      <c r="F48" s="1892"/>
      <c r="G48" s="1887"/>
    </row>
    <row r="49" spans="1:7" ht="15.75">
      <c r="A49" s="258">
        <f>A43+1</f>
        <v>22</v>
      </c>
      <c r="B49" s="307" t="s">
        <v>267</v>
      </c>
      <c r="C49" s="252"/>
      <c r="D49" s="266"/>
      <c r="E49" s="194" t="str">
        <f>"Line "&amp;A37&amp;"*Line "&amp;A29&amp;"*(1-(Line "&amp;A24&amp;"/Line "&amp;A27&amp;"))"</f>
        <v>Line 17*Line 12*(1-(Line 8/Line 11))</v>
      </c>
      <c r="F49" s="266"/>
      <c r="G49" s="308">
        <f>+G37*G29*(1-(G24/G27))</f>
        <v>13344034.292630753</v>
      </c>
    </row>
    <row r="50" spans="1:7" ht="15.75">
      <c r="A50" s="258"/>
      <c r="B50" s="258"/>
      <c r="C50" s="259"/>
      <c r="D50" s="299"/>
      <c r="E50" s="301"/>
      <c r="F50" s="301"/>
      <c r="G50" s="310"/>
    </row>
    <row r="51" spans="1:7" ht="16.5" thickBot="1">
      <c r="A51" s="258">
        <f>A49+1</f>
        <v>23</v>
      </c>
      <c r="B51" s="280" t="s">
        <v>736</v>
      </c>
      <c r="C51" s="280"/>
      <c r="D51" s="311"/>
      <c r="E51" s="1895" t="s">
        <v>1268</v>
      </c>
      <c r="F51" s="312"/>
      <c r="G51" s="313">
        <f>+G49+G43+G47</f>
        <v>9379109.6481615584</v>
      </c>
    </row>
    <row r="52" spans="1:7" ht="15.75" thickTop="1">
      <c r="A52" s="258"/>
      <c r="B52" s="258"/>
      <c r="C52" s="296"/>
      <c r="D52" s="251"/>
      <c r="E52" s="314"/>
      <c r="F52" s="315"/>
    </row>
    <row r="53" spans="1:7" ht="15">
      <c r="A53" s="258"/>
    </row>
    <row r="54" spans="1:7" ht="15">
      <c r="A54" s="258"/>
    </row>
    <row r="55" spans="1:7" ht="15">
      <c r="A55" s="258"/>
    </row>
    <row r="56" spans="1:7" ht="15">
      <c r="A56" s="258"/>
    </row>
    <row r="57" spans="1:7" ht="15">
      <c r="A57" s="258"/>
    </row>
    <row r="58" spans="1:7" ht="15">
      <c r="A58" s="258"/>
    </row>
    <row r="59" spans="1:7" ht="15">
      <c r="A59" s="258"/>
    </row>
    <row r="60" spans="1:7" ht="15">
      <c r="A60" s="258"/>
    </row>
    <row r="61" spans="1:7" ht="15">
      <c r="A61" s="258"/>
    </row>
    <row r="62" spans="1:7" ht="15">
      <c r="A62" s="258"/>
    </row>
    <row r="63" spans="1:7" ht="15">
      <c r="A63" s="258"/>
    </row>
    <row r="64" spans="1:7" ht="15">
      <c r="A64" s="258"/>
    </row>
    <row r="65" spans="1:1" ht="15">
      <c r="A65" s="258"/>
    </row>
    <row r="66" spans="1:1" ht="15">
      <c r="A66" s="258"/>
    </row>
    <row r="67" spans="1:1" ht="15">
      <c r="A67" s="258"/>
    </row>
    <row r="68" spans="1:1" ht="15">
      <c r="A68" s="258"/>
    </row>
    <row r="69" spans="1:1" ht="15">
      <c r="A69" s="258"/>
    </row>
    <row r="70" spans="1:1" ht="15">
      <c r="A70" s="258"/>
    </row>
    <row r="276" spans="1:5">
      <c r="A276" s="316"/>
      <c r="B276" s="316"/>
      <c r="C276" s="316"/>
      <c r="D276" s="316"/>
      <c r="E276" s="316"/>
    </row>
    <row r="277" spans="1:5">
      <c r="A277" s="316"/>
      <c r="B277" s="316"/>
      <c r="C277" s="316"/>
      <c r="D277" s="316"/>
      <c r="E277" s="316"/>
    </row>
    <row r="278" spans="1:5">
      <c r="A278" s="316"/>
      <c r="B278" s="316"/>
      <c r="C278" s="316"/>
      <c r="D278" s="316"/>
      <c r="E278" s="316"/>
    </row>
    <row r="279" spans="1:5">
      <c r="A279" s="316"/>
      <c r="B279" s="316"/>
      <c r="C279" s="316"/>
      <c r="D279" s="316"/>
      <c r="E279" s="316"/>
    </row>
    <row r="280" spans="1:5">
      <c r="A280" s="316"/>
      <c r="B280" s="316"/>
      <c r="C280" s="316"/>
      <c r="D280" s="316"/>
      <c r="E280" s="316"/>
    </row>
    <row r="281" spans="1:5">
      <c r="A281" s="316"/>
      <c r="B281" s="316"/>
      <c r="C281" s="316"/>
      <c r="D281" s="316"/>
      <c r="E281" s="316"/>
    </row>
    <row r="282" spans="1:5">
      <c r="A282" s="316"/>
      <c r="B282" s="316"/>
      <c r="C282" s="316"/>
      <c r="D282" s="316"/>
      <c r="E282" s="316"/>
    </row>
    <row r="283" spans="1:5">
      <c r="A283" s="316"/>
      <c r="B283" s="316"/>
      <c r="C283" s="316"/>
      <c r="D283" s="316"/>
      <c r="E283" s="316"/>
    </row>
    <row r="284" spans="1:5">
      <c r="A284" s="316"/>
      <c r="B284" s="316"/>
      <c r="C284" s="316"/>
      <c r="D284" s="316"/>
      <c r="E284" s="316"/>
    </row>
  </sheetData>
  <mergeCells count="2">
    <mergeCell ref="A1:G1"/>
    <mergeCell ref="A3:G3"/>
  </mergeCells>
  <phoneticPr fontId="49" type="noConversion"/>
  <pageMargins left="0.75" right="0.75" top="1" bottom="1" header="0.5" footer="0.5"/>
  <pageSetup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271"/>
  <sheetViews>
    <sheetView zoomScale="75" zoomScaleNormal="75" zoomScaleSheetLayoutView="75" workbookViewId="0">
      <selection activeCell="J28" sqref="J28"/>
    </sheetView>
  </sheetViews>
  <sheetFormatPr defaultColWidth="9.140625" defaultRowHeight="12.75"/>
  <cols>
    <col min="1" max="1" width="6.42578125" style="189" customWidth="1"/>
    <col min="2" max="2" width="4.28515625" style="189" customWidth="1"/>
    <col min="3" max="3" width="52.140625" style="189" customWidth="1"/>
    <col min="4" max="4" width="27.85546875" style="189" customWidth="1"/>
    <col min="5" max="5" width="16" style="189" customWidth="1"/>
    <col min="6" max="6" width="21.28515625" style="189" customWidth="1"/>
    <col min="7" max="7" width="18.140625" style="189" customWidth="1"/>
    <col min="8" max="8" width="18.7109375" style="189" customWidth="1"/>
    <col min="9" max="10" width="17.28515625" style="189" customWidth="1"/>
    <col min="11" max="11" width="18.28515625" style="413" customWidth="1"/>
    <col min="12" max="12" width="18.85546875" style="413" customWidth="1"/>
    <col min="13" max="13" width="16.5703125" style="413" customWidth="1"/>
    <col min="14" max="14" width="15.140625" style="413" customWidth="1"/>
    <col min="15" max="15" width="11.5703125" style="189" customWidth="1"/>
    <col min="16" max="17" width="15.7109375" style="189" customWidth="1"/>
    <col min="18" max="18" width="4.140625" style="189" customWidth="1"/>
    <col min="19" max="19" width="23" style="189" customWidth="1"/>
    <col min="20" max="20" width="9.140625" style="189" customWidth="1"/>
    <col min="21" max="16384" width="9.140625" style="189"/>
  </cols>
  <sheetData>
    <row r="1" spans="1:19" ht="18">
      <c r="A1" s="1976" t="str">
        <f>+'ATT H-1 '!A3</f>
        <v xml:space="preserve">Puget Sound Energy </v>
      </c>
      <c r="B1" s="1976"/>
      <c r="C1" s="1976"/>
      <c r="D1" s="1976"/>
      <c r="E1" s="1976"/>
      <c r="F1" s="1976"/>
      <c r="G1" s="1976"/>
      <c r="H1" s="1976"/>
      <c r="I1" s="1976"/>
      <c r="J1" s="1976"/>
      <c r="K1" s="1976"/>
      <c r="L1" s="1976"/>
      <c r="M1" s="1976"/>
      <c r="N1" s="1976"/>
    </row>
    <row r="2" spans="1:19">
      <c r="A2" s="152"/>
      <c r="B2"/>
      <c r="C2"/>
      <c r="D2" s="114"/>
      <c r="E2" s="309"/>
      <c r="F2" s="309"/>
      <c r="G2" s="309"/>
      <c r="H2" s="309"/>
    </row>
    <row r="3" spans="1:19" ht="15.75">
      <c r="A3" s="1980" t="s">
        <v>352</v>
      </c>
      <c r="B3" s="1980"/>
      <c r="C3" s="1980"/>
      <c r="D3" s="1980"/>
      <c r="E3" s="1980"/>
      <c r="F3" s="1980"/>
      <c r="G3" s="1980"/>
      <c r="H3" s="1980"/>
      <c r="I3" s="1980"/>
      <c r="J3" s="1980"/>
      <c r="K3" s="1980"/>
      <c r="L3" s="1980"/>
      <c r="M3" s="1980"/>
      <c r="N3" s="1980"/>
    </row>
    <row r="6" spans="1:19" s="339" customFormat="1" ht="13.5" thickBot="1">
      <c r="A6" s="365" t="s">
        <v>182</v>
      </c>
      <c r="B6" s="366"/>
      <c r="C6" s="189"/>
      <c r="D6" s="189"/>
      <c r="E6" s="189"/>
      <c r="F6" s="189"/>
      <c r="G6" s="189"/>
      <c r="H6" s="189"/>
      <c r="K6" s="413"/>
      <c r="L6" s="413"/>
      <c r="M6" s="413"/>
      <c r="N6" s="413"/>
    </row>
    <row r="7" spans="1:19" s="339" customFormat="1">
      <c r="A7" s="1994" t="s">
        <v>1088</v>
      </c>
      <c r="B7" s="1995"/>
      <c r="C7" s="1995"/>
      <c r="D7" s="1995"/>
      <c r="E7" s="1995"/>
      <c r="F7" s="1996"/>
      <c r="G7" s="1227"/>
      <c r="H7" s="1228"/>
      <c r="I7" s="1229"/>
      <c r="J7" s="1229"/>
      <c r="K7" s="1997" t="s">
        <v>139</v>
      </c>
      <c r="L7" s="1997"/>
      <c r="M7" s="1997"/>
      <c r="N7" s="1998"/>
      <c r="O7" s="1097"/>
      <c r="P7" s="2000"/>
      <c r="Q7" s="2000"/>
      <c r="R7" s="1097"/>
      <c r="S7" s="1097"/>
    </row>
    <row r="8" spans="1:19" s="339" customFormat="1" ht="31.5">
      <c r="A8" s="349"/>
      <c r="B8" s="190"/>
      <c r="C8" s="1216" t="s">
        <v>595</v>
      </c>
      <c r="D8" s="211" t="s">
        <v>183</v>
      </c>
      <c r="E8" s="250"/>
      <c r="F8" s="1217" t="s">
        <v>474</v>
      </c>
      <c r="G8" s="1218" t="s">
        <v>974</v>
      </c>
      <c r="H8" s="1217" t="s">
        <v>437</v>
      </c>
      <c r="I8" s="1217" t="s">
        <v>438</v>
      </c>
      <c r="J8" s="1097"/>
      <c r="K8" s="1099"/>
      <c r="L8" s="1097"/>
      <c r="M8" s="1097"/>
      <c r="N8" s="1232"/>
      <c r="O8" s="1097"/>
      <c r="P8" s="95"/>
      <c r="Q8" s="95"/>
      <c r="R8" s="1097"/>
      <c r="S8" s="1097"/>
    </row>
    <row r="9" spans="1:19" s="339" customFormat="1" ht="15">
      <c r="A9" s="196"/>
      <c r="B9" s="190"/>
      <c r="C9" s="202" t="s">
        <v>645</v>
      </c>
      <c r="D9" s="444" t="s">
        <v>436</v>
      </c>
      <c r="E9" s="367">
        <v>2022</v>
      </c>
      <c r="F9" s="1450">
        <f>G9+H9+I9</f>
        <v>1682711076.9230769</v>
      </c>
      <c r="G9" s="1450">
        <f>'WKSHT5 - Plant in Service 13mo '!O159</f>
        <v>1487776384.6153846</v>
      </c>
      <c r="H9" s="1450">
        <f>'WKSHT5 - Plant in Service 13mo '!O160</f>
        <v>100122769.23076923</v>
      </c>
      <c r="I9" s="1450">
        <f>'WKSHT5 - Plant in Service 13mo '!O161</f>
        <v>94811923.076923072</v>
      </c>
      <c r="J9" s="1097"/>
      <c r="K9" s="1100"/>
      <c r="L9" s="1097"/>
      <c r="M9" s="1097"/>
      <c r="N9" s="1232"/>
      <c r="O9" s="1097"/>
      <c r="P9" s="1098"/>
      <c r="Q9" s="1099"/>
      <c r="R9" s="1100"/>
      <c r="S9" s="1097"/>
    </row>
    <row r="10" spans="1:19" s="339" customFormat="1">
      <c r="A10" s="196"/>
      <c r="B10" s="209"/>
      <c r="C10" s="198"/>
      <c r="D10" s="211"/>
      <c r="E10" s="209"/>
      <c r="F10" s="861"/>
      <c r="G10" s="198"/>
      <c r="H10" s="454"/>
      <c r="I10" s="718"/>
      <c r="J10" s="718"/>
      <c r="K10" s="1752"/>
      <c r="L10" s="340"/>
      <c r="M10" s="340"/>
      <c r="N10" s="750"/>
      <c r="O10" s="1097"/>
      <c r="P10" s="423"/>
      <c r="Q10" s="1097"/>
      <c r="R10" s="1097"/>
      <c r="S10" s="1097"/>
    </row>
    <row r="11" spans="1:19" s="339" customFormat="1">
      <c r="A11" s="349"/>
      <c r="B11" s="190"/>
      <c r="C11" s="1216" t="s">
        <v>594</v>
      </c>
      <c r="D11" s="211" t="s">
        <v>183</v>
      </c>
      <c r="E11" s="250"/>
      <c r="F11" s="865"/>
      <c r="G11" s="245"/>
      <c r="H11" s="1097"/>
      <c r="I11" s="457"/>
      <c r="J11" s="718"/>
      <c r="K11" s="717"/>
      <c r="L11" s="340"/>
      <c r="M11" s="340"/>
      <c r="N11" s="750"/>
      <c r="O11" s="1097"/>
      <c r="P11" s="708"/>
      <c r="Q11" s="1097"/>
      <c r="R11" s="1097"/>
      <c r="S11" s="1097"/>
    </row>
    <row r="12" spans="1:19" s="339" customFormat="1" ht="15">
      <c r="A12" s="196"/>
      <c r="B12" s="190"/>
      <c r="C12" s="202" t="s">
        <v>185</v>
      </c>
      <c r="D12" s="444" t="s">
        <v>593</v>
      </c>
      <c r="E12" s="367">
        <f>+E$9</f>
        <v>2022</v>
      </c>
      <c r="F12" s="1450">
        <v>4987264756</v>
      </c>
      <c r="G12" s="1564" t="s">
        <v>880</v>
      </c>
      <c r="H12" s="1097"/>
      <c r="I12" s="1097"/>
      <c r="J12" s="1219"/>
      <c r="K12" s="735"/>
      <c r="L12" s="340"/>
      <c r="M12" s="340"/>
      <c r="N12" s="750"/>
      <c r="O12" s="1097"/>
      <c r="P12" s="1098"/>
      <c r="Q12" s="423"/>
      <c r="R12" s="1098"/>
      <c r="S12" s="1097"/>
    </row>
    <row r="13" spans="1:19" s="339" customFormat="1">
      <c r="A13" s="196"/>
      <c r="B13" s="211"/>
      <c r="C13" s="1097"/>
      <c r="D13" s="211"/>
      <c r="E13" s="232"/>
      <c r="F13" s="431"/>
      <c r="G13" s="210"/>
      <c r="H13" s="210"/>
      <c r="I13" s="457"/>
      <c r="J13" s="457"/>
      <c r="K13" s="717"/>
      <c r="L13" s="340"/>
      <c r="M13" s="340"/>
      <c r="N13" s="750"/>
      <c r="O13" s="1097"/>
      <c r="P13" s="423"/>
      <c r="Q13" s="423"/>
      <c r="R13" s="423"/>
      <c r="S13" s="1097"/>
    </row>
    <row r="14" spans="1:19" s="339" customFormat="1">
      <c r="A14" s="196"/>
      <c r="B14" s="209"/>
      <c r="C14" s="198"/>
      <c r="D14" s="211"/>
      <c r="E14" s="209"/>
      <c r="F14" s="861"/>
      <c r="G14" s="198"/>
      <c r="H14" s="454"/>
      <c r="I14" s="718"/>
      <c r="J14" s="718"/>
      <c r="K14" s="717"/>
      <c r="L14" s="717"/>
      <c r="M14" s="717"/>
      <c r="N14" s="730"/>
      <c r="O14" s="1097"/>
      <c r="P14" s="423"/>
      <c r="Q14" s="423"/>
      <c r="R14" s="423"/>
      <c r="S14" s="334"/>
    </row>
    <row r="15" spans="1:19" s="339" customFormat="1">
      <c r="A15" s="349"/>
      <c r="B15" s="190"/>
      <c r="C15" s="1216" t="s">
        <v>186</v>
      </c>
      <c r="D15" s="211" t="s">
        <v>183</v>
      </c>
      <c r="E15" s="250"/>
      <c r="F15" s="862"/>
      <c r="G15" s="211"/>
      <c r="H15" s="211"/>
      <c r="I15" s="457"/>
      <c r="J15" s="457"/>
      <c r="K15" s="717"/>
      <c r="L15" s="717"/>
      <c r="M15" s="717"/>
      <c r="N15" s="730"/>
      <c r="O15" s="1097"/>
      <c r="P15" s="423"/>
      <c r="Q15" s="423"/>
      <c r="R15" s="423"/>
      <c r="S15" s="455"/>
    </row>
    <row r="16" spans="1:19" s="339" customFormat="1" ht="15">
      <c r="A16" s="196"/>
      <c r="B16" s="190"/>
      <c r="C16" s="202" t="s">
        <v>220</v>
      </c>
      <c r="D16" s="201" t="s">
        <v>584</v>
      </c>
      <c r="E16" s="367">
        <f>+E$9</f>
        <v>2022</v>
      </c>
      <c r="F16" s="1450">
        <v>200457692</v>
      </c>
      <c r="G16" s="210"/>
      <c r="H16" s="334"/>
      <c r="I16" s="718"/>
      <c r="J16" s="457"/>
      <c r="K16" s="735"/>
      <c r="L16" s="481"/>
      <c r="M16" s="481"/>
      <c r="N16" s="739"/>
      <c r="O16" s="1097"/>
      <c r="P16" s="746"/>
      <c r="Q16" s="717"/>
      <c r="R16" s="717"/>
      <c r="S16" s="740"/>
    </row>
    <row r="17" spans="1:19" s="339" customFormat="1">
      <c r="A17" s="196"/>
      <c r="B17" s="211"/>
      <c r="C17" s="1097"/>
      <c r="D17" s="211"/>
      <c r="E17" s="232"/>
      <c r="F17" s="431"/>
      <c r="G17" s="210"/>
      <c r="H17" s="455"/>
      <c r="I17" s="457"/>
      <c r="J17" s="1220"/>
      <c r="K17" s="717"/>
      <c r="L17" s="481"/>
      <c r="M17" s="481"/>
      <c r="N17" s="739"/>
      <c r="O17" s="1097"/>
      <c r="P17" s="453"/>
      <c r="Q17" s="452"/>
      <c r="R17" s="2010"/>
      <c r="S17" s="2010"/>
    </row>
    <row r="18" spans="1:19" s="339" customFormat="1">
      <c r="A18" s="349"/>
      <c r="B18" s="211"/>
      <c r="C18" s="240"/>
      <c r="D18" s="211"/>
      <c r="E18" s="250"/>
      <c r="F18" s="863"/>
      <c r="G18" s="240"/>
      <c r="H18" s="454"/>
      <c r="I18" s="718"/>
      <c r="J18" s="718"/>
      <c r="K18" s="717"/>
      <c r="L18" s="481"/>
      <c r="M18" s="481"/>
      <c r="N18" s="739"/>
      <c r="O18" s="1097"/>
      <c r="P18" s="453"/>
      <c r="Q18" s="452"/>
      <c r="R18" s="2010"/>
      <c r="S18" s="2010"/>
    </row>
    <row r="19" spans="1:19" s="339" customFormat="1">
      <c r="A19" s="349"/>
      <c r="B19" s="190"/>
      <c r="C19" s="1216" t="s">
        <v>221</v>
      </c>
      <c r="D19" s="211" t="s">
        <v>183</v>
      </c>
      <c r="E19" s="250"/>
      <c r="F19" s="862"/>
      <c r="G19" s="211"/>
      <c r="H19" s="211"/>
      <c r="I19" s="457"/>
      <c r="J19" s="457"/>
      <c r="K19" s="717"/>
      <c r="L19" s="717"/>
      <c r="M19" s="717"/>
      <c r="N19" s="730"/>
      <c r="O19" s="1097"/>
      <c r="P19" s="1095"/>
      <c r="Q19" s="452"/>
      <c r="R19" s="2010"/>
      <c r="S19" s="2010"/>
    </row>
    <row r="20" spans="1:19" s="339" customFormat="1" ht="15">
      <c r="A20" s="196"/>
      <c r="B20" s="190"/>
      <c r="C20" s="202" t="s">
        <v>222</v>
      </c>
      <c r="D20" s="201" t="s">
        <v>585</v>
      </c>
      <c r="E20" s="367">
        <f>+E$9</f>
        <v>2022</v>
      </c>
      <c r="F20" s="1450">
        <v>293428072</v>
      </c>
      <c r="G20" s="210"/>
      <c r="H20" s="334"/>
      <c r="I20" s="719"/>
      <c r="J20" s="457"/>
      <c r="K20" s="735"/>
      <c r="L20" s="484"/>
      <c r="M20" s="484"/>
      <c r="N20" s="731"/>
      <c r="O20" s="1097"/>
      <c r="P20" s="1097"/>
      <c r="Q20" s="1097"/>
      <c r="R20" s="1097"/>
      <c r="S20" s="1097"/>
    </row>
    <row r="21" spans="1:19" s="339" customFormat="1">
      <c r="A21" s="196"/>
      <c r="B21" s="211"/>
      <c r="C21" s="1097"/>
      <c r="D21" s="211"/>
      <c r="E21" s="232"/>
      <c r="F21" s="431"/>
      <c r="G21" s="210"/>
      <c r="H21" s="455"/>
      <c r="I21" s="457"/>
      <c r="J21" s="1220"/>
      <c r="K21" s="717"/>
      <c r="L21" s="717"/>
      <c r="M21" s="717"/>
      <c r="N21" s="730"/>
      <c r="O21" s="1097"/>
      <c r="P21" s="1097"/>
      <c r="Q21" s="1097"/>
      <c r="R21" s="1097"/>
      <c r="S21" s="1097"/>
    </row>
    <row r="22" spans="1:19" s="339" customFormat="1">
      <c r="A22" s="196"/>
      <c r="B22" s="190"/>
      <c r="C22" s="198"/>
      <c r="D22" s="368"/>
      <c r="E22" s="232"/>
      <c r="F22" s="864"/>
      <c r="G22" s="720"/>
      <c r="H22" s="211"/>
      <c r="I22" s="457"/>
      <c r="J22" s="457"/>
      <c r="K22" s="735"/>
      <c r="L22" s="484"/>
      <c r="M22" s="484"/>
      <c r="N22" s="731"/>
      <c r="O22" s="1097"/>
      <c r="P22" s="1097"/>
      <c r="Q22" s="1097"/>
      <c r="R22" s="1097"/>
      <c r="S22" s="1097"/>
    </row>
    <row r="23" spans="1:19" s="339" customFormat="1">
      <c r="A23" s="349"/>
      <c r="B23" s="190"/>
      <c r="C23" s="1216" t="s">
        <v>223</v>
      </c>
      <c r="D23" s="211" t="s">
        <v>183</v>
      </c>
      <c r="E23" s="250"/>
      <c r="F23" s="862"/>
      <c r="G23" s="211"/>
      <c r="H23" s="211"/>
      <c r="I23" s="457"/>
      <c r="J23" s="457"/>
      <c r="K23" s="717"/>
      <c r="L23" s="717"/>
      <c r="M23" s="717"/>
      <c r="N23" s="730"/>
      <c r="O23" s="1097"/>
      <c r="P23" s="1097"/>
      <c r="Q23" s="1097"/>
      <c r="R23" s="1097"/>
      <c r="S23" s="1097"/>
    </row>
    <row r="24" spans="1:19" s="339" customFormat="1" ht="15">
      <c r="A24" s="196"/>
      <c r="B24" s="190"/>
      <c r="C24" s="202" t="s">
        <v>224</v>
      </c>
      <c r="D24" s="444" t="s">
        <v>146</v>
      </c>
      <c r="E24" s="367">
        <f>+E$9</f>
        <v>2022</v>
      </c>
      <c r="F24" s="1451">
        <v>3851294625</v>
      </c>
      <c r="G24" s="210"/>
      <c r="H24" s="334"/>
      <c r="I24" s="719"/>
      <c r="J24" s="457"/>
      <c r="K24" s="735"/>
      <c r="L24" s="484"/>
      <c r="M24" s="481"/>
      <c r="N24" s="730"/>
      <c r="O24" s="1097"/>
      <c r="P24" s="1097"/>
      <c r="Q24" s="1097"/>
      <c r="R24" s="1097"/>
      <c r="S24" s="1097"/>
    </row>
    <row r="25" spans="1:19" s="339" customFormat="1">
      <c r="A25" s="196"/>
      <c r="B25" s="211"/>
      <c r="C25" s="1097"/>
      <c r="D25" s="211"/>
      <c r="E25" s="232"/>
      <c r="F25" s="431"/>
      <c r="G25" s="210"/>
      <c r="H25" s="455"/>
      <c r="I25" s="457"/>
      <c r="J25" s="1220"/>
      <c r="K25" s="717"/>
      <c r="L25" s="717"/>
      <c r="M25" s="481"/>
      <c r="N25" s="730"/>
      <c r="O25" s="1097"/>
      <c r="P25" s="1097"/>
      <c r="Q25" s="1097"/>
      <c r="R25" s="1097"/>
      <c r="S25" s="1097"/>
    </row>
    <row r="26" spans="1:19" s="339" customFormat="1">
      <c r="A26" s="196"/>
      <c r="B26" s="211"/>
      <c r="C26" s="198"/>
      <c r="D26" s="211"/>
      <c r="E26" s="209"/>
      <c r="F26" s="866"/>
      <c r="G26" s="721"/>
      <c r="H26" s="454"/>
      <c r="I26" s="718"/>
      <c r="J26" s="1221"/>
      <c r="K26" s="717"/>
      <c r="L26" s="717"/>
      <c r="M26" s="481"/>
      <c r="N26" s="730"/>
      <c r="O26" s="1097"/>
      <c r="P26" s="1097"/>
      <c r="Q26" s="1097"/>
      <c r="R26" s="1097"/>
      <c r="S26" s="1097"/>
    </row>
    <row r="27" spans="1:19" s="339" customFormat="1">
      <c r="A27" s="349"/>
      <c r="B27" s="211"/>
      <c r="C27" s="1090"/>
      <c r="D27" s="1222"/>
      <c r="E27" s="1091"/>
      <c r="F27" s="1223"/>
      <c r="G27" s="210"/>
      <c r="H27" s="210"/>
      <c r="I27" s="210"/>
      <c r="J27" s="210"/>
      <c r="K27" s="732"/>
      <c r="L27" s="717"/>
      <c r="M27" s="481"/>
      <c r="N27" s="730"/>
      <c r="O27" s="1097"/>
      <c r="P27" s="1097"/>
      <c r="Q27" s="1097"/>
      <c r="R27" s="1097"/>
      <c r="S27" s="1097"/>
    </row>
    <row r="28" spans="1:19" s="339" customFormat="1" ht="13.5" thickBot="1">
      <c r="A28" s="196"/>
      <c r="B28" s="190"/>
      <c r="C28" s="1092" t="s">
        <v>804</v>
      </c>
      <c r="D28" s="1093"/>
      <c r="E28" s="1224"/>
      <c r="F28" s="1094">
        <f>F$24+F$20+F$16+F$12+F$9</f>
        <v>11015156221.923077</v>
      </c>
      <c r="G28" s="454"/>
      <c r="H28" s="454"/>
      <c r="I28" s="454"/>
      <c r="J28" s="454"/>
      <c r="K28" s="800"/>
      <c r="L28" s="484"/>
      <c r="M28" s="484"/>
      <c r="N28" s="730"/>
      <c r="O28" s="1097"/>
      <c r="P28" s="1097"/>
      <c r="Q28" s="1097"/>
      <c r="R28" s="1097"/>
      <c r="S28" s="1097"/>
    </row>
    <row r="29" spans="1:19" s="339" customFormat="1" ht="13.5" thickTop="1">
      <c r="A29" s="196"/>
      <c r="B29" s="190"/>
      <c r="C29" s="369"/>
      <c r="D29" s="368"/>
      <c r="E29" s="232"/>
      <c r="F29" s="454"/>
      <c r="G29" s="454"/>
      <c r="H29" s="454"/>
      <c r="I29" s="454"/>
      <c r="J29" s="454"/>
      <c r="K29" s="800"/>
      <c r="L29" s="484"/>
      <c r="M29" s="484"/>
      <c r="N29" s="730"/>
      <c r="O29" s="1097"/>
      <c r="P29" s="1097"/>
      <c r="Q29" s="1097"/>
      <c r="R29" s="1097"/>
      <c r="S29" s="1097"/>
    </row>
    <row r="30" spans="1:19" s="339" customFormat="1" ht="25.5">
      <c r="A30" s="196"/>
      <c r="B30" s="190"/>
      <c r="C30" s="369" t="s">
        <v>553</v>
      </c>
      <c r="D30" s="444" t="s">
        <v>554</v>
      </c>
      <c r="E30" s="367">
        <f>E24</f>
        <v>2022</v>
      </c>
      <c r="F30" s="1225" t="s">
        <v>973</v>
      </c>
      <c r="G30" s="1226" t="s">
        <v>557</v>
      </c>
      <c r="H30" s="1225" t="s">
        <v>972</v>
      </c>
      <c r="I30" s="454"/>
      <c r="J30" s="454"/>
      <c r="K30" s="800"/>
      <c r="L30" s="484"/>
      <c r="M30" s="484"/>
      <c r="N30" s="730"/>
      <c r="O30" s="1098"/>
      <c r="P30" s="735"/>
      <c r="Q30" s="1097"/>
      <c r="R30" s="1097"/>
      <c r="S30" s="1097"/>
    </row>
    <row r="31" spans="1:19" s="339" customFormat="1">
      <c r="A31" s="196"/>
      <c r="B31" s="190"/>
      <c r="C31" s="721" t="s">
        <v>555</v>
      </c>
      <c r="D31" s="368"/>
      <c r="E31" s="232"/>
      <c r="F31" s="1450">
        <v>1029536088</v>
      </c>
      <c r="G31" s="1853">
        <v>0.65980000000000005</v>
      </c>
      <c r="H31" s="454">
        <f>F31*G31</f>
        <v>679287910.86240005</v>
      </c>
      <c r="I31" s="454"/>
      <c r="J31" s="454"/>
      <c r="K31" s="800"/>
      <c r="L31" s="484"/>
      <c r="M31" s="484"/>
      <c r="N31" s="730"/>
      <c r="O31" s="423"/>
      <c r="P31" s="717"/>
      <c r="Q31" s="1097"/>
      <c r="R31" s="1097"/>
      <c r="S31" s="1097"/>
    </row>
    <row r="32" spans="1:19" s="339" customFormat="1">
      <c r="A32" s="196"/>
      <c r="B32" s="190"/>
      <c r="C32" s="340"/>
      <c r="D32" s="340"/>
      <c r="E32" s="340"/>
      <c r="F32" s="340"/>
      <c r="G32" s="340"/>
      <c r="H32" s="340"/>
      <c r="I32" s="454"/>
      <c r="J32" s="454"/>
      <c r="K32" s="800"/>
      <c r="L32" s="484"/>
      <c r="M32" s="484"/>
      <c r="N32" s="730"/>
      <c r="O32" s="1096"/>
      <c r="P32" s="717"/>
      <c r="Q32" s="1097"/>
      <c r="R32" s="1097"/>
      <c r="S32" s="1097"/>
    </row>
    <row r="33" spans="1:19" s="339" customFormat="1" ht="13.5" thickBot="1">
      <c r="A33" s="205"/>
      <c r="B33" s="206"/>
      <c r="C33" s="207"/>
      <c r="D33" s="371"/>
      <c r="E33" s="235"/>
      <c r="F33" s="207"/>
      <c r="G33" s="207"/>
      <c r="H33" s="456"/>
      <c r="I33" s="722"/>
      <c r="J33" s="347"/>
      <c r="K33" s="733"/>
      <c r="L33" s="733"/>
      <c r="M33" s="733"/>
      <c r="N33" s="734"/>
      <c r="O33" s="344"/>
      <c r="P33" s="717"/>
      <c r="Q33" s="1097"/>
      <c r="R33" s="1097"/>
      <c r="S33" s="1097"/>
    </row>
    <row r="34" spans="1:19" s="339" customFormat="1">
      <c r="A34" s="209"/>
      <c r="B34" s="197"/>
      <c r="C34" s="198"/>
      <c r="D34" s="191"/>
      <c r="E34" s="209"/>
      <c r="F34" s="198"/>
      <c r="G34" s="198"/>
      <c r="H34" s="370"/>
      <c r="I34" s="436"/>
      <c r="J34" s="436"/>
      <c r="K34" s="717"/>
      <c r="L34" s="717"/>
      <c r="M34" s="717"/>
      <c r="N34" s="717"/>
      <c r="O34" s="1097"/>
      <c r="P34" s="1097"/>
      <c r="Q34" s="1097"/>
      <c r="R34" s="1097"/>
      <c r="S34" s="1097"/>
    </row>
    <row r="35" spans="1:19" s="339" customFormat="1" ht="13.5" thickBot="1">
      <c r="A35" s="365" t="s">
        <v>225</v>
      </c>
      <c r="B35" s="189"/>
      <c r="C35" s="189"/>
      <c r="D35" s="189"/>
      <c r="E35" s="189"/>
      <c r="F35" s="189"/>
      <c r="G35" s="189"/>
      <c r="H35" s="189"/>
      <c r="K35" s="413"/>
      <c r="L35" s="413"/>
      <c r="M35" s="413"/>
      <c r="N35" s="413"/>
      <c r="O35" s="1097"/>
      <c r="P35" s="1097"/>
      <c r="Q35" s="1097"/>
      <c r="R35" s="1097"/>
      <c r="S35" s="1097"/>
    </row>
    <row r="36" spans="1:19" s="339" customFormat="1">
      <c r="A36" s="1994" t="s">
        <v>1088</v>
      </c>
      <c r="B36" s="1995"/>
      <c r="C36" s="1995"/>
      <c r="D36" s="1995"/>
      <c r="E36" s="1995"/>
      <c r="F36" s="1996"/>
      <c r="G36" s="1227"/>
      <c r="H36" s="924"/>
      <c r="I36" s="1229"/>
      <c r="J36" s="1229"/>
      <c r="K36" s="1997" t="s">
        <v>139</v>
      </c>
      <c r="L36" s="1997"/>
      <c r="M36" s="1997"/>
      <c r="N36" s="1998"/>
      <c r="O36" s="1097"/>
      <c r="P36" s="1097"/>
      <c r="Q36" s="1097"/>
      <c r="R36" s="1097"/>
      <c r="S36" s="1097"/>
    </row>
    <row r="37" spans="1:19" s="339" customFormat="1" ht="31.5">
      <c r="A37" s="349"/>
      <c r="B37" s="190"/>
      <c r="C37" s="1216" t="s">
        <v>596</v>
      </c>
      <c r="D37" s="211" t="s">
        <v>183</v>
      </c>
      <c r="E37" s="250"/>
      <c r="F37" s="1217" t="s">
        <v>474</v>
      </c>
      <c r="G37" s="1218" t="s">
        <v>974</v>
      </c>
      <c r="H37" s="1217" t="s">
        <v>437</v>
      </c>
      <c r="I37" s="1217" t="s">
        <v>438</v>
      </c>
      <c r="J37" s="1097"/>
      <c r="K37" s="1097"/>
      <c r="L37" s="717"/>
      <c r="M37" s="717"/>
      <c r="N37" s="730"/>
      <c r="O37" s="1097"/>
      <c r="P37" s="95"/>
      <c r="Q37" s="95"/>
      <c r="R37" s="1097"/>
      <c r="S37" s="1097"/>
    </row>
    <row r="38" spans="1:19" s="339" customFormat="1" ht="15">
      <c r="A38" s="196"/>
      <c r="B38" s="190"/>
      <c r="C38" s="200" t="s">
        <v>184</v>
      </c>
      <c r="D38" s="444" t="s">
        <v>436</v>
      </c>
      <c r="E38" s="367">
        <f>+E$9</f>
        <v>2022</v>
      </c>
      <c r="F38" s="1450">
        <f>G38+H38+I38</f>
        <v>615494075.26748252</v>
      </c>
      <c r="G38" s="1450">
        <f>'WKSHT5 - Plant in Service 13mo '!O318</f>
        <v>490315998.34440559</v>
      </c>
      <c r="H38" s="1450">
        <f>'WKSHT5 - Plant in Service 13mo '!O319</f>
        <v>75830153.846153855</v>
      </c>
      <c r="I38" s="1450">
        <f>'WKSHT5 - Plant in Service 13mo '!O320</f>
        <v>49347923.07692308</v>
      </c>
      <c r="J38" s="1097"/>
      <c r="K38" s="1097"/>
      <c r="L38" s="735"/>
      <c r="M38" s="735"/>
      <c r="N38" s="741"/>
      <c r="O38" s="1097"/>
      <c r="P38" s="1098"/>
      <c r="Q38" s="1098"/>
      <c r="R38" s="1097"/>
      <c r="S38" s="1097"/>
    </row>
    <row r="39" spans="1:19" s="339" customFormat="1">
      <c r="A39" s="196"/>
      <c r="B39" s="211"/>
      <c r="C39" s="202" t="s">
        <v>281</v>
      </c>
      <c r="D39" s="211"/>
      <c r="E39" s="232"/>
      <c r="F39" s="431"/>
      <c r="G39" s="210"/>
      <c r="H39" s="210"/>
      <c r="I39" s="210"/>
      <c r="J39" s="210"/>
      <c r="K39" s="732"/>
      <c r="L39" s="717"/>
      <c r="M39" s="717"/>
      <c r="N39" s="730"/>
      <c r="O39" s="1097"/>
      <c r="P39" s="1101"/>
      <c r="Q39" s="1101"/>
      <c r="R39" s="1097"/>
      <c r="S39" s="1097"/>
    </row>
    <row r="40" spans="1:19" s="339" customFormat="1">
      <c r="A40" s="196"/>
      <c r="B40" s="209"/>
      <c r="C40" s="198"/>
      <c r="D40" s="211"/>
      <c r="E40" s="209"/>
      <c r="F40" s="861"/>
      <c r="G40" s="198"/>
      <c r="H40" s="454"/>
      <c r="I40" s="718"/>
      <c r="J40" s="344"/>
      <c r="K40" s="717"/>
      <c r="L40" s="717"/>
      <c r="M40" s="717"/>
      <c r="N40" s="730"/>
      <c r="O40" s="1097"/>
      <c r="P40" s="1097"/>
      <c r="Q40" s="1097"/>
      <c r="R40" s="1097"/>
      <c r="S40" s="1097"/>
    </row>
    <row r="41" spans="1:19" s="339" customFormat="1" ht="15.75">
      <c r="A41" s="196"/>
      <c r="B41" s="209"/>
      <c r="C41" s="198"/>
      <c r="D41" s="211"/>
      <c r="E41" s="209"/>
      <c r="F41" s="861"/>
      <c r="G41" s="198"/>
      <c r="H41" s="454"/>
      <c r="I41" s="718"/>
      <c r="J41" s="344"/>
      <c r="K41" s="717"/>
      <c r="L41" s="717"/>
      <c r="M41" s="717"/>
      <c r="N41" s="730"/>
      <c r="O41" s="1097"/>
      <c r="P41" s="95"/>
      <c r="Q41" s="95"/>
      <c r="R41" s="1097"/>
      <c r="S41" s="1097"/>
    </row>
    <row r="42" spans="1:19" s="339" customFormat="1">
      <c r="A42" s="349"/>
      <c r="B42" s="190"/>
      <c r="C42" s="1216" t="s">
        <v>598</v>
      </c>
      <c r="D42" s="211" t="s">
        <v>183</v>
      </c>
      <c r="E42" s="250"/>
      <c r="F42" s="865"/>
      <c r="G42" s="245"/>
      <c r="H42" s="245"/>
      <c r="I42" s="457"/>
      <c r="J42" s="344"/>
      <c r="K42" s="717"/>
      <c r="L42" s="717"/>
      <c r="M42" s="717"/>
      <c r="N42" s="730"/>
      <c r="O42" s="1097"/>
      <c r="P42" s="423"/>
      <c r="Q42" s="423"/>
      <c r="R42" s="1097"/>
      <c r="S42" s="1097"/>
    </row>
    <row r="43" spans="1:19" s="339" customFormat="1" ht="15">
      <c r="A43" s="196"/>
      <c r="B43" s="190"/>
      <c r="C43" s="200" t="s">
        <v>184</v>
      </c>
      <c r="D43" s="444" t="s">
        <v>597</v>
      </c>
      <c r="E43" s="367">
        <f>+E$9</f>
        <v>2022</v>
      </c>
      <c r="F43" s="1450">
        <v>1852824152</v>
      </c>
      <c r="G43" s="1564" t="s">
        <v>881</v>
      </c>
      <c r="H43" s="455"/>
      <c r="I43" s="1097"/>
      <c r="J43" s="457"/>
      <c r="K43" s="735"/>
      <c r="L43" s="735"/>
      <c r="M43" s="735"/>
      <c r="N43" s="741"/>
      <c r="O43" s="1097"/>
      <c r="P43" s="1097"/>
      <c r="Q43" s="1097"/>
      <c r="R43" s="1097"/>
      <c r="S43" s="1098"/>
    </row>
    <row r="44" spans="1:19" s="339" customFormat="1">
      <c r="A44" s="196"/>
      <c r="B44" s="211"/>
      <c r="C44" s="202" t="s">
        <v>226</v>
      </c>
      <c r="D44" s="211"/>
      <c r="E44" s="232"/>
      <c r="F44" s="431"/>
      <c r="G44" s="210"/>
      <c r="H44" s="210"/>
      <c r="I44" s="859"/>
      <c r="J44" s="344"/>
      <c r="K44" s="717"/>
      <c r="L44" s="717"/>
      <c r="M44" s="717"/>
      <c r="N44" s="730"/>
      <c r="O44" s="455"/>
      <c r="P44" s="1097"/>
      <c r="Q44" s="1097"/>
      <c r="R44" s="1100"/>
      <c r="S44" s="1097"/>
    </row>
    <row r="45" spans="1:19" s="339" customFormat="1">
      <c r="A45" s="196"/>
      <c r="B45" s="209"/>
      <c r="C45" s="198"/>
      <c r="D45" s="211"/>
      <c r="E45" s="209"/>
      <c r="F45" s="861"/>
      <c r="G45" s="198"/>
      <c r="H45" s="454"/>
      <c r="I45" s="457"/>
      <c r="J45" s="344"/>
      <c r="K45" s="717"/>
      <c r="L45" s="717"/>
      <c r="M45" s="717"/>
      <c r="N45" s="730"/>
      <c r="O45" s="458"/>
      <c r="P45" s="1097"/>
      <c r="Q45" s="1097"/>
      <c r="R45" s="1097"/>
      <c r="S45" s="1097"/>
    </row>
    <row r="46" spans="1:19" s="339" customFormat="1">
      <c r="A46" s="349"/>
      <c r="B46" s="190"/>
      <c r="C46" s="1216" t="s">
        <v>227</v>
      </c>
      <c r="D46" s="211" t="s">
        <v>183</v>
      </c>
      <c r="E46" s="250"/>
      <c r="F46" s="862"/>
      <c r="G46" s="211"/>
      <c r="H46" s="211"/>
      <c r="I46" s="457"/>
      <c r="J46" s="344"/>
      <c r="K46" s="717"/>
      <c r="L46" s="717"/>
      <c r="M46" s="717"/>
      <c r="N46" s="730"/>
      <c r="O46" s="1097"/>
      <c r="P46" s="1097"/>
      <c r="Q46" s="1097"/>
      <c r="R46" s="1097"/>
      <c r="S46" s="1731"/>
    </row>
    <row r="47" spans="1:19" s="339" customFormat="1" ht="15">
      <c r="A47" s="196"/>
      <c r="B47" s="190"/>
      <c r="C47" s="200" t="s">
        <v>184</v>
      </c>
      <c r="D47" s="201" t="s">
        <v>898</v>
      </c>
      <c r="E47" s="367">
        <f>+E$9</f>
        <v>2022</v>
      </c>
      <c r="F47" s="1450">
        <v>93010762</v>
      </c>
      <c r="G47" s="210"/>
      <c r="H47" s="455"/>
      <c r="I47" s="457"/>
      <c r="J47" s="457"/>
      <c r="K47" s="735"/>
      <c r="L47" s="735"/>
      <c r="M47" s="735"/>
      <c r="N47" s="741"/>
      <c r="O47" s="1097"/>
      <c r="P47" s="1097"/>
      <c r="Q47" s="1099"/>
      <c r="R47" s="1097"/>
      <c r="S47" s="1731"/>
    </row>
    <row r="48" spans="1:19" s="339" customFormat="1">
      <c r="A48" s="196"/>
      <c r="B48" s="211"/>
      <c r="C48" s="202" t="s">
        <v>278</v>
      </c>
      <c r="D48" s="211"/>
      <c r="E48" s="232"/>
      <c r="F48" s="431"/>
      <c r="G48" s="210"/>
      <c r="H48" s="458"/>
      <c r="I48" s="457"/>
      <c r="J48" s="457"/>
      <c r="K48" s="717"/>
      <c r="L48" s="717"/>
      <c r="M48" s="717"/>
      <c r="N48" s="730"/>
      <c r="O48" s="455"/>
      <c r="P48" s="1097"/>
      <c r="Q48" s="1099"/>
      <c r="R48" s="1097"/>
      <c r="S48" s="1731"/>
    </row>
    <row r="49" spans="1:19" s="339" customFormat="1">
      <c r="A49" s="349"/>
      <c r="B49" s="211"/>
      <c r="C49" s="240"/>
      <c r="D49" s="211"/>
      <c r="E49" s="250"/>
      <c r="F49" s="863"/>
      <c r="G49" s="240"/>
      <c r="H49" s="454"/>
      <c r="I49" s="718"/>
      <c r="J49" s="1865"/>
      <c r="K49" s="717"/>
      <c r="L49" s="717"/>
      <c r="M49" s="717"/>
      <c r="N49" s="730"/>
      <c r="O49" s="458"/>
      <c r="P49" s="1099"/>
      <c r="Q49" s="1840"/>
      <c r="R49" s="1097"/>
      <c r="S49" s="1731"/>
    </row>
    <row r="50" spans="1:19" s="339" customFormat="1">
      <c r="A50" s="349"/>
      <c r="B50" s="190"/>
      <c r="C50" s="1216" t="s">
        <v>228</v>
      </c>
      <c r="D50" s="211" t="s">
        <v>183</v>
      </c>
      <c r="E50" s="250"/>
      <c r="F50" s="862"/>
      <c r="G50" s="1948"/>
      <c r="H50" s="211"/>
      <c r="I50" s="457"/>
      <c r="J50" s="1866"/>
      <c r="K50" s="717"/>
      <c r="L50" s="717"/>
      <c r="M50" s="717"/>
      <c r="N50" s="730"/>
      <c r="O50" s="1097"/>
      <c r="P50" s="1099"/>
      <c r="Q50" s="1099"/>
      <c r="R50" s="1097"/>
      <c r="S50" s="1097"/>
    </row>
    <row r="51" spans="1:19" s="339" customFormat="1" ht="15">
      <c r="A51" s="196"/>
      <c r="B51" s="190"/>
      <c r="C51" s="200" t="s">
        <v>184</v>
      </c>
      <c r="D51" s="201" t="s">
        <v>434</v>
      </c>
      <c r="E51" s="367">
        <f>+E$9</f>
        <v>2022</v>
      </c>
      <c r="F51" s="1450">
        <v>107655566</v>
      </c>
      <c r="G51" s="1949"/>
      <c r="H51" s="455"/>
      <c r="I51" s="457"/>
      <c r="J51" s="1866"/>
      <c r="K51" s="735"/>
      <c r="L51" s="735"/>
      <c r="M51" s="735"/>
      <c r="N51" s="741"/>
      <c r="O51" s="1097"/>
      <c r="P51" s="1099"/>
      <c r="Q51" s="1099"/>
      <c r="R51" s="1097"/>
      <c r="S51" s="1097"/>
    </row>
    <row r="52" spans="1:19" s="339" customFormat="1" ht="15">
      <c r="A52" s="196"/>
      <c r="B52" s="211"/>
      <c r="C52" s="202" t="s">
        <v>915</v>
      </c>
      <c r="D52" s="211"/>
      <c r="E52" s="232"/>
      <c r="F52" s="431"/>
      <c r="G52" s="1949"/>
      <c r="H52" s="458"/>
      <c r="I52" s="457"/>
      <c r="J52" s="1866"/>
      <c r="K52" s="717"/>
      <c r="L52" s="423"/>
      <c r="M52" s="717"/>
      <c r="N52" s="730"/>
      <c r="O52" s="1097"/>
      <c r="P52" s="426"/>
      <c r="Q52" s="1099"/>
      <c r="R52" s="1097"/>
      <c r="S52" s="1097"/>
    </row>
    <row r="53" spans="1:19" s="339" customFormat="1">
      <c r="A53" s="196"/>
      <c r="B53" s="190"/>
      <c r="C53" s="198"/>
      <c r="D53" s="368"/>
      <c r="E53" s="232"/>
      <c r="F53" s="864"/>
      <c r="G53" s="1950"/>
      <c r="H53" s="211"/>
      <c r="I53" s="457"/>
      <c r="J53" s="1866"/>
      <c r="K53" s="735"/>
      <c r="L53" s="1098"/>
      <c r="M53" s="735"/>
      <c r="N53" s="741"/>
      <c r="O53" s="1097"/>
      <c r="P53" s="1099"/>
      <c r="Q53" s="1099"/>
      <c r="R53" s="1097"/>
      <c r="S53" s="1097"/>
    </row>
    <row r="54" spans="1:19" s="339" customFormat="1">
      <c r="A54" s="349"/>
      <c r="B54" s="190"/>
      <c r="C54" s="1216" t="s">
        <v>229</v>
      </c>
      <c r="D54" s="211" t="s">
        <v>183</v>
      </c>
      <c r="E54" s="250"/>
      <c r="F54" s="862"/>
      <c r="G54" s="334"/>
      <c r="H54" s="211"/>
      <c r="I54" s="457"/>
      <c r="J54" s="1866"/>
      <c r="K54" s="717"/>
      <c r="L54" s="423"/>
      <c r="M54" s="717"/>
      <c r="N54" s="730"/>
      <c r="O54" s="1097"/>
      <c r="P54" s="1099"/>
      <c r="Q54" s="1099"/>
      <c r="R54" s="1097"/>
      <c r="S54" s="1097"/>
    </row>
    <row r="55" spans="1:19" s="339" customFormat="1" ht="15">
      <c r="A55" s="196"/>
      <c r="B55" s="190"/>
      <c r="C55" s="200" t="s">
        <v>184</v>
      </c>
      <c r="D55" s="444" t="s">
        <v>145</v>
      </c>
      <c r="E55" s="367">
        <f>+E$9</f>
        <v>2022</v>
      </c>
      <c r="F55" s="1452">
        <v>2216767051</v>
      </c>
      <c r="G55" s="210"/>
      <c r="H55" s="455"/>
      <c r="I55" s="723"/>
      <c r="J55" s="723"/>
      <c r="K55" s="1233"/>
      <c r="L55" s="1943"/>
      <c r="M55" s="740"/>
      <c r="N55" s="736"/>
      <c r="P55" s="1840"/>
      <c r="Q55" s="1099"/>
    </row>
    <row r="56" spans="1:19" s="339" customFormat="1">
      <c r="A56" s="196"/>
      <c r="B56" s="211"/>
      <c r="C56" s="202" t="s">
        <v>230</v>
      </c>
      <c r="D56" s="211"/>
      <c r="E56" s="232"/>
      <c r="F56" s="860"/>
      <c r="G56" s="210"/>
      <c r="H56" s="458"/>
      <c r="I56" s="457"/>
      <c r="J56" s="457"/>
      <c r="K56" s="717"/>
      <c r="L56" s="423"/>
      <c r="M56" s="740"/>
      <c r="N56" s="736"/>
      <c r="P56" s="1840"/>
      <c r="Q56" s="1840"/>
    </row>
    <row r="57" spans="1:19" s="339" customFormat="1">
      <c r="A57" s="196"/>
      <c r="B57" s="211"/>
      <c r="C57" s="198"/>
      <c r="D57" s="211"/>
      <c r="E57" s="209"/>
      <c r="F57" s="861"/>
      <c r="G57" s="210"/>
      <c r="H57" s="454"/>
      <c r="I57" s="718"/>
      <c r="J57" s="1221"/>
      <c r="K57" s="717"/>
      <c r="L57" s="423"/>
      <c r="M57" s="740"/>
      <c r="N57" s="736"/>
      <c r="P57" s="1840"/>
      <c r="Q57" s="1840"/>
    </row>
    <row r="58" spans="1:19" s="339" customFormat="1">
      <c r="A58" s="349"/>
      <c r="B58" s="211"/>
      <c r="C58" s="202"/>
      <c r="D58" s="1097"/>
      <c r="E58" s="232"/>
      <c r="F58" s="1234"/>
      <c r="G58" s="210"/>
      <c r="H58" s="210"/>
      <c r="I58" s="544"/>
      <c r="J58" s="210"/>
      <c r="K58" s="732"/>
      <c r="L58" s="800"/>
      <c r="M58" s="740"/>
      <c r="N58" s="736"/>
      <c r="P58" s="1840"/>
      <c r="Q58" s="1840"/>
    </row>
    <row r="59" spans="1:19" s="339" customFormat="1" ht="13.5" thickBot="1">
      <c r="A59" s="196"/>
      <c r="B59" s="190"/>
      <c r="C59" s="1092" t="s">
        <v>803</v>
      </c>
      <c r="D59" s="1235"/>
      <c r="E59" s="1224"/>
      <c r="F59" s="1094">
        <f>+F$55+F$51+F$47+F$43+F$38</f>
        <v>4885751606.2674828</v>
      </c>
      <c r="G59" s="454"/>
      <c r="H59" s="454"/>
      <c r="I59" s="454"/>
      <c r="J59" s="454"/>
      <c r="K59" s="800"/>
      <c r="L59" s="735"/>
      <c r="M59" s="735"/>
      <c r="N59" s="736"/>
      <c r="P59" s="1840"/>
    </row>
    <row r="60" spans="1:19" s="339" customFormat="1" ht="13.5" thickTop="1">
      <c r="A60" s="196"/>
      <c r="B60" s="190"/>
      <c r="C60" s="369"/>
      <c r="D60" s="368"/>
      <c r="E60" s="232"/>
      <c r="F60" s="858"/>
      <c r="G60" s="454"/>
      <c r="H60" s="454"/>
      <c r="I60" s="454"/>
      <c r="J60" s="454"/>
      <c r="K60" s="800"/>
      <c r="L60" s="735"/>
      <c r="M60" s="735"/>
      <c r="N60" s="736"/>
    </row>
    <row r="61" spans="1:19" s="339" customFormat="1" ht="25.5">
      <c r="A61" s="196"/>
      <c r="B61" s="190"/>
      <c r="C61" s="369" t="s">
        <v>553</v>
      </c>
      <c r="D61" s="444" t="s">
        <v>554</v>
      </c>
      <c r="E61" s="367">
        <f>E55</f>
        <v>2022</v>
      </c>
      <c r="F61" s="1225" t="s">
        <v>973</v>
      </c>
      <c r="G61" s="1226" t="s">
        <v>557</v>
      </c>
      <c r="H61" s="1225" t="s">
        <v>972</v>
      </c>
      <c r="I61" s="454"/>
      <c r="J61" s="454"/>
      <c r="K61" s="800"/>
      <c r="L61" s="735"/>
      <c r="M61" s="735"/>
      <c r="N61" s="736"/>
    </row>
    <row r="62" spans="1:19" s="339" customFormat="1">
      <c r="A62" s="196"/>
      <c r="B62" s="190"/>
      <c r="C62" s="721" t="s">
        <v>556</v>
      </c>
      <c r="D62" s="368"/>
      <c r="E62" s="232"/>
      <c r="F62" s="1450">
        <v>472601586</v>
      </c>
      <c r="G62" s="1853">
        <f>G31</f>
        <v>0.65980000000000005</v>
      </c>
      <c r="H62" s="454">
        <f>F62*G62</f>
        <v>311822526.44280005</v>
      </c>
      <c r="I62" s="454"/>
      <c r="J62" s="454"/>
      <c r="K62" s="800"/>
      <c r="L62" s="735"/>
      <c r="M62" s="735"/>
      <c r="N62" s="736"/>
    </row>
    <row r="63" spans="1:19" s="339" customFormat="1" ht="13.5" thickBot="1">
      <c r="A63" s="345"/>
      <c r="B63" s="459"/>
      <c r="C63" s="346"/>
      <c r="D63" s="1236"/>
      <c r="E63" s="459"/>
      <c r="F63" s="346"/>
      <c r="G63" s="346"/>
      <c r="H63" s="460"/>
      <c r="I63" s="722"/>
      <c r="J63" s="722"/>
      <c r="K63" s="733"/>
      <c r="L63" s="733"/>
      <c r="M63" s="733"/>
      <c r="N63" s="734"/>
      <c r="P63" s="189"/>
    </row>
    <row r="64" spans="1:19" s="339" customFormat="1">
      <c r="A64" s="209"/>
      <c r="B64" s="209"/>
      <c r="C64" s="198"/>
      <c r="D64" s="211"/>
      <c r="E64" s="203"/>
      <c r="F64" s="198"/>
      <c r="G64" s="198"/>
      <c r="H64" s="210"/>
      <c r="I64" s="250"/>
      <c r="J64" s="250"/>
      <c r="K64" s="717"/>
      <c r="L64" s="717"/>
      <c r="M64" s="717"/>
      <c r="N64" s="717"/>
      <c r="P64" s="1673"/>
    </row>
    <row r="65" spans="1:18" s="339" customFormat="1" ht="13.5" thickBot="1">
      <c r="A65" s="365" t="s">
        <v>649</v>
      </c>
      <c r="B65" s="360"/>
      <c r="C65" s="234"/>
      <c r="D65" s="219"/>
      <c r="E65" s="1237"/>
      <c r="F65" s="1238"/>
      <c r="G65" s="1238"/>
      <c r="H65" s="1239"/>
      <c r="I65" s="1239"/>
      <c r="J65" s="1239"/>
      <c r="K65" s="1239"/>
      <c r="L65" s="1239"/>
      <c r="M65" s="1239"/>
      <c r="N65" s="1239"/>
      <c r="P65" s="1673"/>
    </row>
    <row r="66" spans="1:18" s="339" customFormat="1">
      <c r="A66" s="1989" t="s">
        <v>1088</v>
      </c>
      <c r="B66" s="1990"/>
      <c r="C66" s="1990"/>
      <c r="D66" s="1990"/>
      <c r="E66" s="1990"/>
      <c r="F66" s="1999"/>
      <c r="G66" s="923"/>
      <c r="H66" s="1240" t="s">
        <v>164</v>
      </c>
      <c r="I66" s="1241" t="s">
        <v>163</v>
      </c>
      <c r="J66" s="1241" t="s">
        <v>165</v>
      </c>
      <c r="K66" s="1241" t="s">
        <v>139</v>
      </c>
      <c r="L66" s="1241"/>
      <c r="M66" s="1242"/>
      <c r="N66" s="1243"/>
      <c r="P66" s="1673"/>
    </row>
    <row r="67" spans="1:18" s="339" customFormat="1">
      <c r="A67" s="218"/>
      <c r="B67" s="358" t="s">
        <v>842</v>
      </c>
      <c r="C67" s="219"/>
      <c r="D67" s="217"/>
      <c r="E67" s="362"/>
      <c r="F67" s="1244"/>
      <c r="G67" s="1245"/>
      <c r="H67" s="1245"/>
      <c r="I67" s="217"/>
      <c r="J67" s="217"/>
      <c r="K67" s="525"/>
      <c r="L67" s="525"/>
      <c r="M67" s="526"/>
      <c r="N67" s="527"/>
      <c r="P67" s="1673"/>
    </row>
    <row r="68" spans="1:18" s="339" customFormat="1">
      <c r="A68" s="214"/>
      <c r="B68" s="217"/>
      <c r="C68" s="359" t="s">
        <v>278</v>
      </c>
      <c r="D68" s="219"/>
      <c r="E68" s="360"/>
      <c r="F68" s="361" t="s">
        <v>231</v>
      </c>
      <c r="G68" s="360"/>
      <c r="H68" s="1453">
        <v>93010762</v>
      </c>
      <c r="I68" s="1454">
        <v>93010762</v>
      </c>
      <c r="J68" s="221">
        <f>H68-I68</f>
        <v>0</v>
      </c>
      <c r="K68" s="1246"/>
      <c r="L68" s="1246"/>
      <c r="M68" s="1247"/>
      <c r="N68" s="1248"/>
      <c r="P68" s="1673"/>
    </row>
    <row r="69" spans="1:18" s="339" customFormat="1">
      <c r="A69" s="214"/>
      <c r="B69" s="216" t="s">
        <v>793</v>
      </c>
      <c r="C69" s="215"/>
      <c r="D69" s="217"/>
      <c r="E69" s="362"/>
      <c r="F69" s="363"/>
      <c r="G69" s="432"/>
      <c r="H69" s="1245"/>
      <c r="I69" s="217"/>
      <c r="J69" s="217"/>
      <c r="K69" s="222"/>
      <c r="L69" s="222"/>
      <c r="M69" s="1249"/>
      <c r="N69" s="1250"/>
      <c r="O69" s="422"/>
      <c r="P69" s="1673"/>
    </row>
    <row r="70" spans="1:18" s="339" customFormat="1">
      <c r="A70" s="218"/>
      <c r="B70" s="217"/>
      <c r="C70" s="215" t="s">
        <v>810</v>
      </c>
      <c r="D70" s="219"/>
      <c r="E70" s="362"/>
      <c r="F70" s="220" t="s">
        <v>232</v>
      </c>
      <c r="G70" s="219"/>
      <c r="H70" s="1951">
        <v>0</v>
      </c>
      <c r="I70" s="1952">
        <v>0</v>
      </c>
      <c r="J70" s="221">
        <f>+H70-I70</f>
        <v>0</v>
      </c>
      <c r="K70" s="1251"/>
      <c r="L70" s="1251"/>
      <c r="M70" s="1247"/>
      <c r="N70" s="1248"/>
      <c r="O70" s="423"/>
      <c r="P70" s="184"/>
    </row>
    <row r="71" spans="1:18" s="339" customFormat="1">
      <c r="A71" s="218"/>
      <c r="B71" s="216" t="s">
        <v>754</v>
      </c>
      <c r="C71" s="215"/>
      <c r="D71" s="219"/>
      <c r="E71" s="362"/>
      <c r="F71" s="220"/>
      <c r="G71" s="219"/>
      <c r="H71" s="1245"/>
      <c r="I71" s="217"/>
      <c r="J71" s="217"/>
      <c r="K71" s="525"/>
      <c r="L71" s="525"/>
      <c r="M71" s="525"/>
      <c r="N71" s="528"/>
      <c r="O71" s="1096"/>
      <c r="P71" s="184"/>
    </row>
    <row r="72" spans="1:18" s="339" customFormat="1" ht="13.5" thickBot="1">
      <c r="A72" s="1252"/>
      <c r="B72" s="1253"/>
      <c r="C72" s="1254" t="s">
        <v>809</v>
      </c>
      <c r="D72" s="364"/>
      <c r="E72" s="1255"/>
      <c r="F72" s="1256" t="s">
        <v>233</v>
      </c>
      <c r="G72" s="1257"/>
      <c r="H72" s="1455">
        <v>15941850</v>
      </c>
      <c r="I72" s="1456">
        <v>15941850</v>
      </c>
      <c r="J72" s="1258">
        <v>0</v>
      </c>
      <c r="K72" s="1259"/>
      <c r="L72" s="1259"/>
      <c r="M72" s="742"/>
      <c r="N72" s="743"/>
      <c r="O72" s="340"/>
      <c r="P72" s="418"/>
    </row>
    <row r="73" spans="1:18" ht="15.75">
      <c r="A73" s="223"/>
      <c r="B73" s="224"/>
      <c r="C73" s="225"/>
      <c r="D73" s="226"/>
      <c r="E73" s="223"/>
      <c r="F73" s="227"/>
      <c r="G73" s="227"/>
      <c r="H73" s="221"/>
      <c r="I73" s="221"/>
      <c r="J73" s="221"/>
      <c r="K73" s="222"/>
      <c r="L73" s="222"/>
      <c r="M73" s="222"/>
      <c r="N73" s="222"/>
      <c r="P73" s="418"/>
    </row>
    <row r="74" spans="1:18" s="213" customFormat="1" ht="13.5" thickBot="1">
      <c r="A74" s="365" t="s">
        <v>650</v>
      </c>
      <c r="B74" s="234"/>
      <c r="C74" s="234"/>
      <c r="D74" s="234"/>
      <c r="E74" s="234"/>
      <c r="F74" s="234"/>
      <c r="G74" s="234"/>
      <c r="H74" s="234"/>
      <c r="I74" s="234"/>
      <c r="J74" s="234"/>
      <c r="K74" s="412"/>
      <c r="L74" s="412"/>
      <c r="M74" s="412"/>
      <c r="N74" s="412"/>
      <c r="O74" s="212"/>
      <c r="P74" s="418"/>
      <c r="Q74" s="212"/>
      <c r="R74" s="212"/>
    </row>
    <row r="75" spans="1:18" s="213" customFormat="1" ht="39" thickBot="1">
      <c r="A75" s="2001" t="s">
        <v>1088</v>
      </c>
      <c r="B75" s="2002"/>
      <c r="C75" s="2002"/>
      <c r="D75" s="2002"/>
      <c r="E75" s="2002"/>
      <c r="F75" s="2003"/>
      <c r="G75" s="1260"/>
      <c r="H75" s="1261" t="s">
        <v>234</v>
      </c>
      <c r="I75" s="1262" t="s">
        <v>235</v>
      </c>
      <c r="J75" s="1262" t="s">
        <v>236</v>
      </c>
      <c r="K75" s="2004" t="s">
        <v>139</v>
      </c>
      <c r="L75" s="2005"/>
      <c r="M75" s="2005"/>
      <c r="N75" s="2006"/>
      <c r="P75" s="418"/>
    </row>
    <row r="76" spans="1:18" s="339" customFormat="1">
      <c r="A76" s="352">
        <f>'ATT H-1 '!A78</f>
        <v>44</v>
      </c>
      <c r="B76" s="228"/>
      <c r="C76" s="353" t="s">
        <v>93</v>
      </c>
      <c r="D76" s="354"/>
      <c r="E76" s="355" t="s">
        <v>892</v>
      </c>
      <c r="F76" s="894" t="s">
        <v>851</v>
      </c>
      <c r="G76" s="1876"/>
      <c r="H76" s="1477">
        <v>38798124</v>
      </c>
      <c r="I76" s="1477">
        <v>38798124</v>
      </c>
      <c r="J76" s="417">
        <f>+(I76+H76)/2</f>
        <v>38798124</v>
      </c>
      <c r="K76" s="529"/>
      <c r="L76" s="1230"/>
      <c r="M76" s="1230"/>
      <c r="N76" s="1231"/>
      <c r="O76" s="1840"/>
      <c r="P76" s="418"/>
    </row>
    <row r="77" spans="1:18" s="213" customFormat="1">
      <c r="A77" s="196"/>
      <c r="B77" s="209"/>
      <c r="C77" s="202" t="s">
        <v>302</v>
      </c>
      <c r="D77" s="211"/>
      <c r="E77" s="198"/>
      <c r="F77" s="895"/>
      <c r="G77" s="1877"/>
      <c r="H77" s="1478">
        <f>436565+460720+460994+714663+1870638+1005331</f>
        <v>4948911</v>
      </c>
      <c r="I77" s="1478">
        <f>436565+460720+460994+714663+1870638+1005331</f>
        <v>4948911</v>
      </c>
      <c r="J77" s="638"/>
      <c r="K77" s="414"/>
      <c r="L77" s="717"/>
      <c r="M77" s="717"/>
      <c r="N77" s="730"/>
      <c r="O77" s="1673"/>
      <c r="P77" s="418"/>
    </row>
    <row r="78" spans="1:18" s="213" customFormat="1" ht="15.75" customHeight="1" thickBot="1">
      <c r="A78" s="356"/>
      <c r="B78" s="245"/>
      <c r="C78" s="245"/>
      <c r="D78" s="245"/>
      <c r="E78" s="242"/>
      <c r="F78" s="348"/>
      <c r="G78" s="1877"/>
      <c r="H78" s="1263">
        <v>0</v>
      </c>
      <c r="I78" s="1263">
        <v>0</v>
      </c>
      <c r="J78" s="638"/>
      <c r="K78" s="1986"/>
      <c r="L78" s="1986"/>
      <c r="M78" s="1986"/>
      <c r="N78" s="730"/>
      <c r="O78" s="1673"/>
      <c r="P78" s="418"/>
    </row>
    <row r="79" spans="1:18" s="339" customFormat="1" ht="13.5" thickBot="1">
      <c r="A79" s="330"/>
      <c r="B79" s="236"/>
      <c r="C79" s="236"/>
      <c r="D79" s="236"/>
      <c r="E79" s="236"/>
      <c r="F79" s="357" t="s">
        <v>166</v>
      </c>
      <c r="G79" s="1878"/>
      <c r="H79" s="727">
        <f>+H77</f>
        <v>4948911</v>
      </c>
      <c r="I79" s="727">
        <f>I77</f>
        <v>4948911</v>
      </c>
      <c r="J79" s="375">
        <f>+(I79+H79)/2</f>
        <v>4948911</v>
      </c>
      <c r="K79" s="737"/>
      <c r="L79" s="737"/>
      <c r="M79" s="737"/>
      <c r="N79" s="738"/>
      <c r="O79" s="1840"/>
      <c r="P79" s="418"/>
    </row>
    <row r="80" spans="1:18" s="213" customFormat="1">
      <c r="A80" s="234"/>
      <c r="B80" s="234"/>
      <c r="C80" s="234"/>
      <c r="D80" s="234"/>
      <c r="E80" s="234"/>
      <c r="F80" s="234"/>
      <c r="G80" s="234"/>
      <c r="H80" s="234"/>
      <c r="I80" s="234"/>
      <c r="J80" s="234"/>
      <c r="K80" s="412"/>
      <c r="L80" s="412"/>
      <c r="M80" s="412"/>
      <c r="N80" s="412"/>
      <c r="O80" s="1841"/>
      <c r="P80" s="418"/>
      <c r="Q80" s="222"/>
      <c r="R80" s="222"/>
    </row>
    <row r="81" spans="1:16" ht="13.5" thickBot="1">
      <c r="A81" s="365" t="s">
        <v>237</v>
      </c>
      <c r="B81" s="234"/>
      <c r="C81" s="234"/>
      <c r="D81" s="234"/>
      <c r="E81" s="234"/>
      <c r="F81" s="234"/>
      <c r="G81" s="234"/>
      <c r="H81" s="234"/>
      <c r="I81" s="234"/>
      <c r="J81" s="234"/>
      <c r="K81" s="412"/>
      <c r="L81" s="412"/>
      <c r="M81" s="412"/>
      <c r="N81" s="412"/>
      <c r="O81" s="1673"/>
      <c r="P81" s="418"/>
    </row>
    <row r="82" spans="1:16" s="339" customFormat="1">
      <c r="A82" s="1989" t="s">
        <v>1088</v>
      </c>
      <c r="B82" s="1990"/>
      <c r="C82" s="1990"/>
      <c r="D82" s="1990"/>
      <c r="E82" s="1990"/>
      <c r="F82" s="1999"/>
      <c r="G82" s="923"/>
      <c r="H82" s="1264" t="s">
        <v>164</v>
      </c>
      <c r="I82" s="529" t="s">
        <v>238</v>
      </c>
      <c r="J82" s="529" t="s">
        <v>239</v>
      </c>
      <c r="K82" s="1991" t="s">
        <v>139</v>
      </c>
      <c r="L82" s="1997"/>
      <c r="M82" s="1997"/>
      <c r="N82" s="1998"/>
      <c r="O82" s="1840"/>
      <c r="P82" s="418"/>
    </row>
    <row r="83" spans="1:16" s="339" customFormat="1">
      <c r="A83" s="196">
        <f>'ATT H-1 '!A115</f>
        <v>66</v>
      </c>
      <c r="B83" s="230" t="s">
        <v>359</v>
      </c>
      <c r="C83" s="211"/>
      <c r="D83" s="211"/>
      <c r="E83" s="232"/>
      <c r="F83" s="233"/>
      <c r="G83" s="211"/>
      <c r="H83" s="246"/>
      <c r="I83" s="242"/>
      <c r="J83" s="242"/>
      <c r="K83" s="740"/>
      <c r="L83" s="740"/>
      <c r="M83" s="740"/>
      <c r="N83" s="1265"/>
      <c r="O83" s="1840"/>
      <c r="P83" s="418"/>
    </row>
    <row r="84" spans="1:16" s="339" customFormat="1">
      <c r="A84" s="196"/>
      <c r="B84" s="250"/>
      <c r="C84" s="1732" t="s">
        <v>1073</v>
      </c>
      <c r="D84" s="211"/>
      <c r="E84" s="232"/>
      <c r="F84" s="233"/>
      <c r="G84" s="211"/>
      <c r="H84" s="1881">
        <v>0</v>
      </c>
      <c r="I84" s="1383">
        <v>0</v>
      </c>
      <c r="J84" s="247">
        <f>+H84-I84</f>
        <v>0</v>
      </c>
      <c r="K84" s="740" t="s">
        <v>354</v>
      </c>
      <c r="L84" s="740"/>
      <c r="M84" s="740"/>
      <c r="N84" s="1265"/>
      <c r="O84" s="1842"/>
      <c r="P84" s="418"/>
    </row>
    <row r="85" spans="1:16" s="339" customFormat="1">
      <c r="A85" s="196"/>
      <c r="B85" s="250"/>
      <c r="C85" s="190" t="s">
        <v>240</v>
      </c>
      <c r="D85" s="211"/>
      <c r="E85" s="232"/>
      <c r="F85" s="233" t="s">
        <v>613</v>
      </c>
      <c r="G85" s="211"/>
      <c r="H85" s="1882">
        <v>30682128</v>
      </c>
      <c r="I85" s="1547">
        <v>168890</v>
      </c>
      <c r="J85" s="247">
        <f>+H85-I85</f>
        <v>30513238</v>
      </c>
      <c r="K85" s="735" t="s">
        <v>241</v>
      </c>
      <c r="L85" s="735"/>
      <c r="M85" s="735"/>
      <c r="N85" s="741"/>
      <c r="P85" s="418"/>
    </row>
    <row r="86" spans="1:16" s="339" customFormat="1">
      <c r="A86" s="196"/>
      <c r="B86" s="250"/>
      <c r="C86" s="211" t="s">
        <v>242</v>
      </c>
      <c r="D86" s="242"/>
      <c r="E86" s="232"/>
      <c r="F86" s="233"/>
      <c r="G86" s="211"/>
      <c r="H86" s="725"/>
      <c r="I86" s="726">
        <f>I85-I84</f>
        <v>168890</v>
      </c>
      <c r="J86" s="242"/>
      <c r="K86" s="414"/>
      <c r="L86" s="717"/>
      <c r="M86" s="717"/>
      <c r="N86" s="730"/>
      <c r="P86" s="189"/>
    </row>
    <row r="87" spans="1:16" s="339" customFormat="1">
      <c r="A87" s="246"/>
      <c r="B87" s="190"/>
      <c r="C87" s="211"/>
      <c r="D87" s="211"/>
      <c r="E87" s="232"/>
      <c r="F87" s="233"/>
      <c r="G87" s="211"/>
      <c r="H87" s="246"/>
      <c r="I87" s="242"/>
      <c r="J87" s="242"/>
      <c r="K87" s="414"/>
      <c r="L87" s="717"/>
      <c r="M87" s="717"/>
      <c r="N87" s="730"/>
      <c r="P87" s="189"/>
    </row>
    <row r="88" spans="1:16" ht="13.5" thickBot="1">
      <c r="A88" s="205"/>
      <c r="B88" s="235"/>
      <c r="C88" s="207"/>
      <c r="D88" s="236"/>
      <c r="E88" s="235"/>
      <c r="F88" s="237"/>
      <c r="G88" s="433"/>
      <c r="H88" s="416"/>
      <c r="I88" s="238"/>
      <c r="J88" s="239"/>
      <c r="K88" s="742"/>
      <c r="L88" s="742"/>
      <c r="M88" s="742"/>
      <c r="N88" s="743"/>
    </row>
    <row r="89" spans="1:16">
      <c r="A89" s="234"/>
      <c r="B89" s="234"/>
      <c r="C89" s="234"/>
      <c r="D89" s="234"/>
      <c r="E89" s="234"/>
      <c r="F89" s="234"/>
      <c r="G89" s="234"/>
      <c r="H89" s="234"/>
      <c r="I89" s="234"/>
      <c r="J89" s="234"/>
      <c r="K89" s="412"/>
      <c r="L89" s="412"/>
      <c r="M89" s="412"/>
      <c r="N89" s="412"/>
      <c r="P89" s="1714"/>
    </row>
    <row r="90" spans="1:16" ht="13.5" thickBot="1">
      <c r="A90" s="365" t="s">
        <v>473</v>
      </c>
      <c r="B90" s="234"/>
      <c r="C90" s="234"/>
      <c r="D90" s="234"/>
      <c r="E90" s="234"/>
      <c r="F90" s="234"/>
      <c r="G90" s="234"/>
      <c r="H90" s="234"/>
      <c r="I90" s="234"/>
      <c r="J90" s="234"/>
      <c r="K90" s="412"/>
      <c r="L90" s="412"/>
      <c r="M90" s="412"/>
      <c r="N90" s="412"/>
    </row>
    <row r="91" spans="1:16" ht="25.5" customHeight="1">
      <c r="A91" s="1989" t="s">
        <v>1088</v>
      </c>
      <c r="B91" s="1990"/>
      <c r="C91" s="1990"/>
      <c r="D91" s="1990"/>
      <c r="E91" s="1990"/>
      <c r="F91" s="1999"/>
      <c r="G91" s="923"/>
      <c r="H91" s="1264" t="s">
        <v>851</v>
      </c>
      <c r="I91" s="529"/>
      <c r="J91" s="529"/>
      <c r="K91" s="1991" t="s">
        <v>139</v>
      </c>
      <c r="L91" s="1997"/>
      <c r="M91" s="1997"/>
      <c r="N91" s="1998"/>
    </row>
    <row r="92" spans="1:16">
      <c r="A92" s="196"/>
      <c r="B92" s="230" t="s">
        <v>359</v>
      </c>
      <c r="C92" s="211"/>
      <c r="D92" s="211"/>
      <c r="E92" s="232"/>
      <c r="F92" s="233"/>
      <c r="G92" s="211"/>
      <c r="H92" s="349" t="s">
        <v>279</v>
      </c>
      <c r="I92" s="242"/>
      <c r="J92" s="242"/>
      <c r="K92" s="1986"/>
      <c r="L92" s="2010"/>
      <c r="M92" s="2010"/>
      <c r="N92" s="2011"/>
    </row>
    <row r="93" spans="1:16" ht="13.5" thickBot="1">
      <c r="A93" s="205">
        <f>+'ATT H-1 '!A119</f>
        <v>70</v>
      </c>
      <c r="B93" s="235"/>
      <c r="C93" s="207" t="s">
        <v>472</v>
      </c>
      <c r="D93" s="236"/>
      <c r="E93" s="235"/>
      <c r="F93" s="208" t="s">
        <v>840</v>
      </c>
      <c r="G93" s="207"/>
      <c r="H93" s="1460">
        <v>0</v>
      </c>
      <c r="I93" s="1461">
        <v>0</v>
      </c>
      <c r="J93" s="524"/>
      <c r="K93" s="2008"/>
      <c r="L93" s="2008"/>
      <c r="M93" s="2008"/>
      <c r="N93" s="2009"/>
      <c r="P93" s="1673"/>
    </row>
    <row r="94" spans="1:16">
      <c r="A94" s="234"/>
      <c r="B94" s="234"/>
      <c r="C94" s="234"/>
      <c r="D94" s="234"/>
      <c r="E94" s="234"/>
      <c r="F94" s="234"/>
      <c r="G94" s="234"/>
      <c r="H94" s="234"/>
      <c r="I94" s="234"/>
      <c r="J94" s="234"/>
      <c r="K94" s="412"/>
      <c r="L94" s="412"/>
      <c r="M94" s="412"/>
      <c r="N94" s="412"/>
      <c r="P94" s="1673"/>
    </row>
    <row r="95" spans="1:16" s="418" customFormat="1" ht="13.5" thickBot="1">
      <c r="A95" s="1349" t="s">
        <v>651</v>
      </c>
      <c r="B95" s="666"/>
      <c r="C95" s="666"/>
      <c r="D95" s="666"/>
      <c r="E95" s="666"/>
      <c r="F95" s="666"/>
      <c r="G95" s="666"/>
      <c r="H95" s="666"/>
      <c r="I95" s="666"/>
      <c r="J95" s="666"/>
      <c r="K95" s="666"/>
      <c r="L95" s="666"/>
      <c r="M95" s="666"/>
      <c r="N95" s="666"/>
      <c r="P95" s="1673"/>
    </row>
    <row r="96" spans="1:16" s="418" customFormat="1">
      <c r="A96" s="1350" t="s">
        <v>1088</v>
      </c>
      <c r="B96" s="1351"/>
      <c r="C96" s="1351"/>
      <c r="D96" s="1351"/>
      <c r="E96" s="1351"/>
      <c r="F96" s="1352" t="s">
        <v>164</v>
      </c>
      <c r="G96" s="1353" t="s">
        <v>97</v>
      </c>
      <c r="H96" s="1353" t="s">
        <v>851</v>
      </c>
      <c r="I96" s="1354" t="s">
        <v>984</v>
      </c>
      <c r="J96" s="1354" t="s">
        <v>437</v>
      </c>
      <c r="K96" s="1354" t="s">
        <v>985</v>
      </c>
      <c r="L96" s="1355"/>
      <c r="M96" s="1356" t="s">
        <v>139</v>
      </c>
      <c r="N96" s="1357"/>
      <c r="P96" s="1673"/>
    </row>
    <row r="97" spans="1:32" s="418" customFormat="1">
      <c r="A97" s="1358"/>
      <c r="B97" s="1349"/>
      <c r="C97" s="1349"/>
      <c r="D97" s="1349"/>
      <c r="E97" s="1349"/>
      <c r="F97" s="1359"/>
      <c r="G97" s="1360"/>
      <c r="H97" s="1360"/>
      <c r="I97" s="668"/>
      <c r="J97" s="668"/>
      <c r="K97" s="668"/>
      <c r="L97" s="1361"/>
      <c r="M97" s="1362"/>
      <c r="N97" s="1363"/>
      <c r="P97" s="1673"/>
    </row>
    <row r="98" spans="1:32" s="418" customFormat="1">
      <c r="A98" s="1358"/>
      <c r="B98" s="1349"/>
      <c r="C98" s="1349" t="s">
        <v>986</v>
      </c>
      <c r="D98" s="1349"/>
      <c r="E98" s="1349"/>
      <c r="F98" s="1359"/>
      <c r="G98" s="1360"/>
      <c r="H98" s="1364">
        <f>+I98+J98+K98</f>
        <v>67480.306436222018</v>
      </c>
      <c r="I98" s="1464">
        <f>+'WKSHT4 - Monthly Tx System Peak'!C25</f>
        <v>54154.30643622201</v>
      </c>
      <c r="J98" s="1464">
        <f>'WKSHT4 - Monthly Tx System Peak'!C73</f>
        <v>4926</v>
      </c>
      <c r="K98" s="1464">
        <f>+'WKSHT4 - Monthly Tx System Peak'!C50</f>
        <v>8400</v>
      </c>
      <c r="L98" s="670" t="s">
        <v>102</v>
      </c>
      <c r="M98" s="1362"/>
      <c r="N98" s="1363"/>
      <c r="P98" s="1673"/>
    </row>
    <row r="99" spans="1:32" s="418" customFormat="1">
      <c r="A99" s="1358"/>
      <c r="B99" s="1349"/>
      <c r="C99" s="1349" t="s">
        <v>987</v>
      </c>
      <c r="D99" s="1349"/>
      <c r="E99" s="1349"/>
      <c r="F99" s="1359"/>
      <c r="G99" s="1360"/>
      <c r="H99" s="1364">
        <f>+I99+J99+K99</f>
        <v>24292</v>
      </c>
      <c r="I99" s="1464">
        <f>+'WKSHT4 - Monthly Tx System Peak'!C25-'WKSHT4 - Monthly Tx System Peak'!F25</f>
        <v>10966</v>
      </c>
      <c r="J99" s="1464">
        <f>'WKSHT4 - Monthly Tx System Peak'!H73</f>
        <v>4926</v>
      </c>
      <c r="K99" s="1464">
        <f>+'WKSHT4 - Monthly Tx System Peak'!H50+'WKSHT4 - Monthly Tx System Peak'!I50</f>
        <v>8400</v>
      </c>
      <c r="L99" s="670" t="s">
        <v>102</v>
      </c>
      <c r="M99" s="1362"/>
      <c r="N99" s="1363"/>
      <c r="P99" s="1673"/>
    </row>
    <row r="100" spans="1:32" s="418" customFormat="1">
      <c r="A100" s="1358"/>
      <c r="B100" s="1349"/>
      <c r="C100" s="1349" t="s">
        <v>97</v>
      </c>
      <c r="D100" s="1349"/>
      <c r="E100" s="1349"/>
      <c r="F100" s="1359"/>
      <c r="G100" s="1360"/>
      <c r="H100" s="1364"/>
      <c r="I100" s="1465">
        <f>+I98/I99</f>
        <v>4.9383828594037942</v>
      </c>
      <c r="J100" s="1811">
        <f>+J98/J99</f>
        <v>1</v>
      </c>
      <c r="K100" s="1465">
        <f>+K98/K99</f>
        <v>1</v>
      </c>
      <c r="L100" s="670" t="s">
        <v>102</v>
      </c>
      <c r="M100" s="1362"/>
      <c r="N100" s="1363"/>
      <c r="P100" s="1673"/>
    </row>
    <row r="101" spans="1:32" s="418" customFormat="1">
      <c r="A101" s="1365"/>
      <c r="B101" s="1366" t="s">
        <v>785</v>
      </c>
      <c r="C101" s="1367"/>
      <c r="D101" s="1368"/>
      <c r="E101" s="1369"/>
      <c r="F101" s="1370"/>
      <c r="G101" s="1371"/>
      <c r="H101" s="1372"/>
      <c r="L101" s="670"/>
      <c r="M101" s="670"/>
      <c r="N101" s="1373"/>
      <c r="P101" s="1673"/>
      <c r="Q101" s="1374"/>
    </row>
    <row r="102" spans="1:32" s="418" customFormat="1">
      <c r="A102" s="1267"/>
      <c r="B102" s="850">
        <v>1</v>
      </c>
      <c r="C102" s="851" t="s">
        <v>924</v>
      </c>
      <c r="D102" s="852"/>
      <c r="E102" s="1268"/>
      <c r="F102" s="1537">
        <v>1222627</v>
      </c>
      <c r="G102" s="1375" t="s">
        <v>988</v>
      </c>
      <c r="H102" s="1540">
        <f>+K102+J102+I102</f>
        <v>3396313.3795981724</v>
      </c>
      <c r="I102" s="1541">
        <f>+I$99/$H$99*$F102*I$100</f>
        <v>2725609.9627531203</v>
      </c>
      <c r="J102" s="1541">
        <f t="shared" ref="I102:K103" si="0">+J$99/$H$99*$F102*J$100</f>
        <v>247927.73760908941</v>
      </c>
      <c r="K102" s="1541">
        <f t="shared" si="0"/>
        <v>422775.67923596245</v>
      </c>
      <c r="L102" s="1269" t="s">
        <v>989</v>
      </c>
      <c r="M102" s="668"/>
      <c r="N102" s="1270"/>
      <c r="O102" s="765"/>
      <c r="P102" s="1673"/>
    </row>
    <row r="103" spans="1:32" s="418" customFormat="1">
      <c r="A103" s="1267"/>
      <c r="B103" s="850">
        <v>2</v>
      </c>
      <c r="C103" s="851" t="s">
        <v>98</v>
      </c>
      <c r="D103" s="852"/>
      <c r="E103" s="1268"/>
      <c r="F103" s="1537">
        <v>452173</v>
      </c>
      <c r="G103" s="1375" t="s">
        <v>988</v>
      </c>
      <c r="H103" s="1540">
        <f>+I103+J103+K103</f>
        <v>1256083.1797376012</v>
      </c>
      <c r="I103" s="1541">
        <f t="shared" si="0"/>
        <v>1008032.0765760667</v>
      </c>
      <c r="J103" s="1541">
        <f t="shared" si="0"/>
        <v>91692.911164169273</v>
      </c>
      <c r="K103" s="1541">
        <f t="shared" si="0"/>
        <v>156358.19199736539</v>
      </c>
      <c r="L103" s="1098" t="s">
        <v>990</v>
      </c>
      <c r="M103" s="668"/>
      <c r="N103" s="1270"/>
      <c r="O103" s="765"/>
      <c r="P103" s="1673"/>
    </row>
    <row r="104" spans="1:32" s="418" customFormat="1" ht="13.5" customHeight="1">
      <c r="A104" s="1267"/>
      <c r="B104" s="850">
        <v>3</v>
      </c>
      <c r="C104" s="1269" t="s">
        <v>928</v>
      </c>
      <c r="D104" s="852"/>
      <c r="E104" s="1268"/>
      <c r="F104" s="1538"/>
      <c r="G104" s="1376" t="s">
        <v>991</v>
      </c>
      <c r="H104" s="1540"/>
      <c r="I104" s="1542"/>
      <c r="J104" s="1542"/>
      <c r="K104" s="1542"/>
      <c r="L104" s="1269" t="s">
        <v>992</v>
      </c>
      <c r="M104" s="668"/>
      <c r="N104" s="1271"/>
      <c r="P104" s="1673"/>
    </row>
    <row r="105" spans="1:32" s="418" customFormat="1">
      <c r="A105" s="1267"/>
      <c r="B105" s="850">
        <v>4</v>
      </c>
      <c r="C105" s="851" t="s">
        <v>925</v>
      </c>
      <c r="D105" s="852"/>
      <c r="E105" s="1268"/>
      <c r="F105" s="1537"/>
      <c r="G105" s="1376" t="s">
        <v>991</v>
      </c>
      <c r="H105" s="1540"/>
      <c r="I105" s="1542"/>
      <c r="J105" s="1542"/>
      <c r="K105" s="1543"/>
      <c r="L105" s="1269"/>
      <c r="M105" s="1269"/>
      <c r="N105" s="1272"/>
      <c r="P105" s="1673"/>
    </row>
    <row r="106" spans="1:32" s="418" customFormat="1">
      <c r="A106" s="1267"/>
      <c r="B106" s="850">
        <v>5</v>
      </c>
      <c r="C106" s="1269" t="s">
        <v>926</v>
      </c>
      <c r="D106" s="852"/>
      <c r="E106" s="1268"/>
      <c r="F106" s="1537"/>
      <c r="G106" s="1376" t="s">
        <v>991</v>
      </c>
      <c r="H106" s="1540"/>
      <c r="I106" s="1542"/>
      <c r="J106" s="1542"/>
      <c r="K106" s="1543"/>
      <c r="L106" s="1269"/>
      <c r="M106" s="1269"/>
      <c r="N106" s="1272"/>
      <c r="P106" s="1673"/>
    </row>
    <row r="107" spans="1:32" s="418" customFormat="1">
      <c r="A107" s="1267"/>
      <c r="B107" s="850">
        <v>6</v>
      </c>
      <c r="C107" s="851" t="s">
        <v>927</v>
      </c>
      <c r="D107" s="852"/>
      <c r="E107" s="1268"/>
      <c r="F107" s="1537"/>
      <c r="G107" s="1376" t="s">
        <v>991</v>
      </c>
      <c r="H107" s="1540"/>
      <c r="I107" s="1542"/>
      <c r="J107" s="1542"/>
      <c r="K107" s="1543"/>
      <c r="L107" s="1269"/>
      <c r="M107" s="1269"/>
      <c r="N107" s="1272"/>
      <c r="P107" s="1673"/>
    </row>
    <row r="108" spans="1:32" s="418" customFormat="1">
      <c r="A108" s="1267"/>
      <c r="B108" s="850">
        <v>7</v>
      </c>
      <c r="C108" s="851" t="s">
        <v>929</v>
      </c>
      <c r="D108" s="852"/>
      <c r="E108" s="1268"/>
      <c r="F108" s="1539">
        <v>16753605</v>
      </c>
      <c r="G108" s="1376" t="s">
        <v>993</v>
      </c>
      <c r="H108" s="1544"/>
      <c r="I108" s="1545"/>
      <c r="J108" s="1545"/>
      <c r="K108" s="1546"/>
      <c r="M108" s="1269"/>
      <c r="N108" s="1272"/>
      <c r="P108" s="1673"/>
    </row>
    <row r="109" spans="1:32" s="418" customFormat="1" ht="13.5" thickBot="1">
      <c r="A109" s="1273">
        <f>+'ATT H-1 '!A126</f>
        <v>75</v>
      </c>
      <c r="B109" s="854">
        <v>8</v>
      </c>
      <c r="C109" s="855" t="s">
        <v>905</v>
      </c>
      <c r="D109" s="855" t="s">
        <v>614</v>
      </c>
      <c r="E109" s="856"/>
      <c r="F109" s="1377">
        <f>SUM(F102:F108)</f>
        <v>18428405</v>
      </c>
      <c r="G109" s="1274"/>
      <c r="H109" s="1378">
        <f>SUM(H102:H108)</f>
        <v>4652396.5593357738</v>
      </c>
      <c r="I109" s="1378">
        <f>SUM(I102:I108)</f>
        <v>3733642.039329187</v>
      </c>
      <c r="J109" s="1378">
        <f>SUM(J102:J108)</f>
        <v>339620.64877325867</v>
      </c>
      <c r="K109" s="1378">
        <f>SUM(K102:K108)</f>
        <v>579133.87123332778</v>
      </c>
      <c r="L109" s="1303"/>
      <c r="M109" s="1378"/>
      <c r="N109" s="1379"/>
      <c r="P109" s="1673"/>
    </row>
    <row r="110" spans="1:32" s="418" customFormat="1">
      <c r="A110" s="1380"/>
      <c r="B110" s="1381"/>
      <c r="C110" s="1382"/>
      <c r="D110" s="1382"/>
      <c r="E110" s="1380"/>
      <c r="F110" s="1383"/>
      <c r="G110" s="1384"/>
      <c r="H110" s="1385"/>
      <c r="I110" s="1385"/>
      <c r="J110" s="1385"/>
      <c r="K110" s="1385"/>
      <c r="L110" s="1098"/>
      <c r="M110" s="1385"/>
      <c r="N110" s="1385"/>
      <c r="P110" s="189"/>
    </row>
    <row r="111" spans="1:32" ht="13.5" thickBot="1">
      <c r="A111" s="365" t="s">
        <v>652</v>
      </c>
      <c r="B111" s="234"/>
      <c r="C111" s="234"/>
      <c r="D111" s="234"/>
      <c r="E111" s="234"/>
      <c r="F111" s="234"/>
      <c r="G111" s="234"/>
      <c r="H111" s="234"/>
      <c r="I111" s="234"/>
      <c r="J111" s="234"/>
      <c r="K111" s="412"/>
      <c r="L111" s="412"/>
      <c r="M111" s="412"/>
      <c r="N111" s="412"/>
      <c r="AE111" s="418"/>
      <c r="AF111" s="413"/>
    </row>
    <row r="112" spans="1:32" ht="25.5">
      <c r="A112" s="1989" t="s">
        <v>1088</v>
      </c>
      <c r="B112" s="1990"/>
      <c r="C112" s="1990"/>
      <c r="D112" s="1990"/>
      <c r="E112" s="1990"/>
      <c r="F112" s="1999"/>
      <c r="G112" s="923"/>
      <c r="H112" s="1264" t="s">
        <v>164</v>
      </c>
      <c r="I112" s="529" t="s">
        <v>167</v>
      </c>
      <c r="J112" s="529" t="s">
        <v>648</v>
      </c>
      <c r="K112" s="529" t="s">
        <v>168</v>
      </c>
      <c r="L112" s="1991" t="s">
        <v>139</v>
      </c>
      <c r="M112" s="1991"/>
      <c r="N112" s="2007"/>
      <c r="AE112" s="418"/>
      <c r="AF112" s="413"/>
    </row>
    <row r="113" spans="1:14">
      <c r="A113" s="196"/>
      <c r="B113" s="230" t="s">
        <v>785</v>
      </c>
      <c r="C113" s="242"/>
      <c r="D113" s="211"/>
      <c r="E113" s="232"/>
      <c r="F113" s="233"/>
      <c r="G113" s="211"/>
      <c r="H113" s="246"/>
      <c r="I113" s="242"/>
      <c r="J113" s="242"/>
      <c r="K113" s="242"/>
      <c r="L113" s="740"/>
      <c r="M113" s="740"/>
      <c r="N113" s="1265"/>
    </row>
    <row r="114" spans="1:14" ht="13.5" thickBot="1">
      <c r="A114" s="1338" t="s">
        <v>520</v>
      </c>
      <c r="B114" s="241"/>
      <c r="C114" s="207" t="s">
        <v>906</v>
      </c>
      <c r="D114" s="243"/>
      <c r="E114" s="1275"/>
      <c r="F114" s="208" t="s">
        <v>586</v>
      </c>
      <c r="G114" s="207"/>
      <c r="H114" s="416">
        <v>38795</v>
      </c>
      <c r="I114" s="646">
        <v>0</v>
      </c>
      <c r="J114" s="1748">
        <v>0</v>
      </c>
      <c r="K114" s="524">
        <v>0</v>
      </c>
      <c r="L114" s="1102"/>
      <c r="M114" s="1102" t="s">
        <v>662</v>
      </c>
      <c r="N114" s="1103"/>
    </row>
    <row r="115" spans="1:14">
      <c r="A115" s="234"/>
      <c r="B115" s="234"/>
      <c r="C115" s="234"/>
      <c r="D115" s="234"/>
      <c r="E115" s="234"/>
      <c r="F115" s="234"/>
      <c r="G115" s="234"/>
      <c r="H115" s="234"/>
      <c r="I115" s="234"/>
      <c r="J115" s="234"/>
      <c r="K115" s="412"/>
      <c r="L115" s="412"/>
      <c r="M115" s="412"/>
      <c r="N115" s="412"/>
    </row>
    <row r="116" spans="1:14">
      <c r="A116" s="234"/>
      <c r="B116" s="234"/>
      <c r="C116" s="234"/>
      <c r="D116" s="234"/>
      <c r="E116" s="234"/>
      <c r="F116" s="234"/>
      <c r="G116" s="234"/>
      <c r="H116" s="234"/>
      <c r="I116" s="234"/>
      <c r="J116" s="234"/>
      <c r="K116" s="412"/>
      <c r="L116" s="412"/>
      <c r="M116" s="412"/>
      <c r="N116" s="412"/>
    </row>
    <row r="117" spans="1:14" ht="13.5" thickBot="1">
      <c r="A117" s="365" t="s">
        <v>653</v>
      </c>
      <c r="B117" s="234"/>
      <c r="C117" s="234"/>
      <c r="D117" s="234"/>
      <c r="E117" s="234"/>
      <c r="F117" s="234"/>
      <c r="G117" s="234"/>
      <c r="H117" s="234"/>
      <c r="I117" s="234"/>
      <c r="J117" s="234"/>
      <c r="K117" s="412"/>
      <c r="L117" s="412"/>
      <c r="M117" s="412"/>
      <c r="N117" s="412"/>
    </row>
    <row r="118" spans="1:14" ht="51">
      <c r="A118" s="1989" t="s">
        <v>1088</v>
      </c>
      <c r="B118" s="1990"/>
      <c r="C118" s="1990"/>
      <c r="D118" s="1990"/>
      <c r="E118" s="1990"/>
      <c r="F118" s="1999"/>
      <c r="G118" s="923"/>
      <c r="H118" s="1264" t="str">
        <f>+C120</f>
        <v>Excluded Transmission Facilities - Colstrip Facilities</v>
      </c>
      <c r="I118" s="1991" t="s">
        <v>171</v>
      </c>
      <c r="J118" s="1992"/>
      <c r="K118" s="1992"/>
      <c r="L118" s="1992"/>
      <c r="M118" s="1992"/>
      <c r="N118" s="1993"/>
    </row>
    <row r="119" spans="1:14">
      <c r="A119" s="331"/>
      <c r="B119" s="202" t="s">
        <v>787</v>
      </c>
      <c r="C119" s="230"/>
      <c r="D119" s="244"/>
      <c r="E119" s="1266"/>
      <c r="F119" s="1276"/>
      <c r="G119" s="1277"/>
      <c r="H119" s="246"/>
      <c r="I119" s="242"/>
      <c r="J119" s="242"/>
      <c r="K119" s="740"/>
      <c r="L119" s="740"/>
      <c r="M119" s="740"/>
      <c r="N119" s="1265"/>
    </row>
    <row r="120" spans="1:14">
      <c r="A120" s="196">
        <f>'ATT H-1 '!A259</f>
        <v>158</v>
      </c>
      <c r="B120" s="209"/>
      <c r="C120" s="198" t="s">
        <v>257</v>
      </c>
      <c r="D120" s="244" t="s">
        <v>875</v>
      </c>
      <c r="E120" s="203"/>
      <c r="F120" s="204"/>
      <c r="G120" s="198"/>
      <c r="H120" s="1278">
        <f>'WKSHT3 - All GIFs'!C8</f>
        <v>3873000</v>
      </c>
      <c r="I120" s="1986" t="s">
        <v>243</v>
      </c>
      <c r="J120" s="1987"/>
      <c r="K120" s="1987"/>
      <c r="L120" s="1987"/>
      <c r="M120" s="1987"/>
      <c r="N120" s="1988"/>
    </row>
    <row r="121" spans="1:14">
      <c r="A121" s="196"/>
      <c r="B121" s="209"/>
      <c r="C121" s="198" t="s">
        <v>258</v>
      </c>
      <c r="D121" s="244" t="s">
        <v>875</v>
      </c>
      <c r="E121" s="203"/>
      <c r="F121" s="204"/>
      <c r="G121" s="198"/>
      <c r="H121" s="1278">
        <f>'WKSHT3 - All GIFs'!C83</f>
        <v>176922000</v>
      </c>
      <c r="I121" s="414"/>
      <c r="J121" s="192"/>
      <c r="K121" s="717"/>
      <c r="L121" s="717"/>
      <c r="M121" s="717"/>
      <c r="N121" s="730"/>
    </row>
    <row r="122" spans="1:14">
      <c r="A122" s="196"/>
      <c r="B122" s="209"/>
      <c r="C122" s="721" t="s">
        <v>996</v>
      </c>
      <c r="D122" s="244" t="s">
        <v>875</v>
      </c>
      <c r="E122" s="203"/>
      <c r="F122" s="204"/>
      <c r="G122" s="198"/>
      <c r="H122" s="1278">
        <v>0</v>
      </c>
      <c r="I122" s="414"/>
      <c r="J122" s="192"/>
      <c r="K122" s="717"/>
      <c r="L122" s="717"/>
      <c r="M122" s="717"/>
      <c r="N122" s="730"/>
    </row>
    <row r="123" spans="1:14">
      <c r="A123" s="196"/>
      <c r="B123" s="209"/>
      <c r="C123" s="198" t="s">
        <v>851</v>
      </c>
      <c r="D123" s="244"/>
      <c r="E123" s="203"/>
      <c r="F123" s="204"/>
      <c r="G123" s="198"/>
      <c r="H123" s="1279">
        <f>SUM(H120:H122)</f>
        <v>180795000</v>
      </c>
      <c r="I123" s="414"/>
      <c r="J123" s="192"/>
      <c r="K123" s="717"/>
      <c r="L123" s="717"/>
      <c r="M123" s="717"/>
      <c r="N123" s="730"/>
    </row>
    <row r="124" spans="1:14" ht="13.5" thickBot="1">
      <c r="A124" s="330"/>
      <c r="B124" s="236"/>
      <c r="C124" s="236"/>
      <c r="D124" s="236"/>
      <c r="E124" s="236"/>
      <c r="F124" s="1280"/>
      <c r="G124" s="236"/>
      <c r="H124" s="330"/>
      <c r="I124" s="236"/>
      <c r="J124" s="236"/>
      <c r="K124" s="1281"/>
      <c r="L124" s="1282" t="s">
        <v>172</v>
      </c>
      <c r="M124" s="1281"/>
      <c r="N124" s="1283"/>
    </row>
    <row r="125" spans="1:14">
      <c r="A125" s="242"/>
      <c r="B125" s="242"/>
      <c r="C125" s="242"/>
      <c r="D125" s="242"/>
      <c r="E125" s="242"/>
      <c r="F125" s="242"/>
      <c r="G125" s="242"/>
      <c r="H125" s="242"/>
      <c r="I125" s="242"/>
      <c r="J125" s="242"/>
      <c r="K125" s="740"/>
      <c r="L125" s="1284"/>
      <c r="M125" s="740"/>
      <c r="N125" s="740"/>
    </row>
    <row r="126" spans="1:14" ht="13.5" thickBot="1">
      <c r="A126" s="365" t="s">
        <v>873</v>
      </c>
      <c r="B126" s="234"/>
      <c r="C126" s="234"/>
      <c r="D126" s="234"/>
      <c r="E126" s="234"/>
      <c r="F126" s="234"/>
      <c r="G126" s="234"/>
      <c r="H126" s="234"/>
      <c r="I126" s="234"/>
      <c r="J126" s="234"/>
      <c r="K126" s="412"/>
      <c r="L126" s="412"/>
      <c r="M126" s="412"/>
      <c r="N126" s="412"/>
    </row>
    <row r="127" spans="1:14" ht="49.5" customHeight="1">
      <c r="A127" s="1989" t="s">
        <v>1088</v>
      </c>
      <c r="B127" s="1990"/>
      <c r="C127" s="1990"/>
      <c r="D127" s="1990"/>
      <c r="E127" s="1990"/>
      <c r="F127" s="1999"/>
      <c r="G127" s="1107"/>
      <c r="H127" s="529" t="s">
        <v>234</v>
      </c>
      <c r="I127" s="529" t="s">
        <v>235</v>
      </c>
      <c r="J127" s="529" t="s">
        <v>236</v>
      </c>
      <c r="K127" s="529" t="s">
        <v>877</v>
      </c>
      <c r="L127" s="529" t="s">
        <v>280</v>
      </c>
      <c r="M127" s="529" t="s">
        <v>139</v>
      </c>
      <c r="N127" s="1231"/>
    </row>
    <row r="128" spans="1:14">
      <c r="A128" s="331">
        <f>+'ATT H-1 '!A72</f>
        <v>41</v>
      </c>
      <c r="B128" s="230" t="s">
        <v>724</v>
      </c>
      <c r="C128" s="242"/>
      <c r="D128" s="211"/>
      <c r="E128" s="232"/>
      <c r="F128" s="233"/>
      <c r="G128" s="634"/>
      <c r="H128" s="247"/>
      <c r="I128" s="247" t="s">
        <v>170</v>
      </c>
      <c r="J128" s="247"/>
      <c r="K128" s="744"/>
      <c r="L128" s="744"/>
      <c r="M128" s="740"/>
      <c r="N128" s="1265"/>
    </row>
    <row r="129" spans="1:15">
      <c r="A129" s="196"/>
      <c r="B129" s="242" t="s">
        <v>876</v>
      </c>
      <c r="C129" s="242"/>
      <c r="D129" s="229"/>
      <c r="E129" s="232"/>
      <c r="F129" s="233"/>
      <c r="G129" s="634"/>
      <c r="H129" s="242"/>
      <c r="I129" s="242"/>
      <c r="J129" s="242"/>
      <c r="K129" s="1285"/>
      <c r="L129" s="740"/>
      <c r="M129" s="740"/>
      <c r="N129" s="1265"/>
      <c r="O129" s="412"/>
    </row>
    <row r="130" spans="1:15">
      <c r="A130" s="196"/>
      <c r="B130" s="230"/>
      <c r="C130" s="1637" t="s">
        <v>409</v>
      </c>
      <c r="D130" s="242"/>
      <c r="E130" s="232"/>
      <c r="F130" s="233"/>
      <c r="G130" s="634"/>
      <c r="H130" s="1847">
        <v>5060781</v>
      </c>
      <c r="I130" s="1847">
        <v>11473641</v>
      </c>
      <c r="J130" s="1638"/>
      <c r="K130" s="1642"/>
      <c r="L130" s="1643"/>
      <c r="M130" s="1643"/>
      <c r="N130" s="1265"/>
      <c r="O130" s="412"/>
    </row>
    <row r="131" spans="1:15">
      <c r="A131" s="196"/>
      <c r="B131" s="230"/>
      <c r="C131" s="1637" t="s">
        <v>431</v>
      </c>
      <c r="D131" s="242"/>
      <c r="E131" s="232"/>
      <c r="F131" s="233"/>
      <c r="G131" s="634"/>
      <c r="H131" s="1847">
        <v>259628.01</v>
      </c>
      <c r="I131" s="1847">
        <v>296410.96999999997</v>
      </c>
      <c r="J131" s="1638"/>
      <c r="K131" s="1642"/>
      <c r="L131" s="1643"/>
      <c r="M131" s="1643"/>
      <c r="N131" s="1265"/>
      <c r="O131" s="412"/>
    </row>
    <row r="132" spans="1:15">
      <c r="A132" s="196"/>
      <c r="B132" s="230"/>
      <c r="C132" s="1638"/>
      <c r="D132" s="229"/>
      <c r="E132" s="232"/>
      <c r="F132" s="233"/>
      <c r="G132" s="634"/>
      <c r="H132" s="1644"/>
      <c r="I132" s="1644"/>
      <c r="J132" s="1644"/>
      <c r="K132" s="1642"/>
      <c r="L132" s="1643"/>
      <c r="M132" s="1643"/>
      <c r="N132" s="1265"/>
      <c r="O132" s="412"/>
    </row>
    <row r="133" spans="1:15">
      <c r="A133" s="196"/>
      <c r="B133" s="230"/>
      <c r="C133" s="1638" t="s">
        <v>851</v>
      </c>
      <c r="D133" s="211"/>
      <c r="E133" s="211" t="s">
        <v>269</v>
      </c>
      <c r="F133" s="895"/>
      <c r="G133" s="246"/>
      <c r="H133" s="1645">
        <f>SUM(H130:H131)</f>
        <v>5320409.01</v>
      </c>
      <c r="I133" s="1645">
        <f>SUM(I130:I131)</f>
        <v>11770051.970000001</v>
      </c>
      <c r="J133" s="1646">
        <f>(I133+H133)/2</f>
        <v>8545230.4900000002</v>
      </c>
      <c r="K133" s="1647">
        <v>1</v>
      </c>
      <c r="L133" s="1464">
        <f>+J133*K133</f>
        <v>8545230.4900000002</v>
      </c>
      <c r="M133" s="1643" t="s">
        <v>432</v>
      </c>
      <c r="N133" s="1265"/>
      <c r="O133" s="412"/>
    </row>
    <row r="134" spans="1:15">
      <c r="A134" s="196"/>
      <c r="B134" s="230"/>
      <c r="C134" s="1638"/>
      <c r="D134" s="211"/>
      <c r="E134" s="232"/>
      <c r="F134" s="233"/>
      <c r="G134" s="634"/>
      <c r="H134" s="1645"/>
      <c r="I134" s="1645"/>
      <c r="J134" s="1645"/>
      <c r="K134" s="1642"/>
      <c r="L134" s="1648"/>
      <c r="M134" s="1643"/>
      <c r="N134" s="1265"/>
    </row>
    <row r="135" spans="1:15" ht="16.5" customHeight="1">
      <c r="A135" s="196"/>
      <c r="B135" s="242" t="s">
        <v>363</v>
      </c>
      <c r="C135" s="1638"/>
      <c r="D135" s="229"/>
      <c r="E135" s="232"/>
      <c r="F135" s="233"/>
      <c r="G135" s="634"/>
      <c r="H135" s="1645"/>
      <c r="I135" s="1645"/>
      <c r="J135" s="1645"/>
      <c r="K135" s="1643"/>
      <c r="L135" s="1643"/>
      <c r="M135" s="1643"/>
      <c r="N135" s="1265"/>
    </row>
    <row r="136" spans="1:15">
      <c r="A136" s="196"/>
      <c r="C136" s="1637" t="s">
        <v>259</v>
      </c>
      <c r="D136" s="103"/>
      <c r="E136" s="635"/>
      <c r="F136" s="199"/>
      <c r="G136" s="321"/>
      <c r="H136" s="1641">
        <v>8417775.3800000008</v>
      </c>
      <c r="I136" s="1641">
        <v>7299033.2699999996</v>
      </c>
      <c r="J136" s="1646">
        <f t="shared" ref="J136:J148" si="1">(I136+H136)/2</f>
        <v>7858404.3250000002</v>
      </c>
      <c r="K136" s="1649"/>
      <c r="L136" s="1648"/>
      <c r="M136" s="1643"/>
      <c r="N136" s="739"/>
    </row>
    <row r="137" spans="1:15" ht="16.5" customHeight="1">
      <c r="A137" s="196"/>
      <c r="C137" s="1637" t="s">
        <v>260</v>
      </c>
      <c r="D137" s="103"/>
      <c r="E137" s="635"/>
      <c r="F137" s="199"/>
      <c r="G137" s="321"/>
      <c r="H137" s="1641">
        <v>13251015.640000001</v>
      </c>
      <c r="I137" s="1641">
        <v>13984328.66</v>
      </c>
      <c r="J137" s="1646">
        <f t="shared" si="1"/>
        <v>13617672.15</v>
      </c>
      <c r="K137" s="1649"/>
      <c r="L137" s="1648"/>
      <c r="M137" s="1643"/>
      <c r="N137" s="739"/>
    </row>
    <row r="138" spans="1:15" ht="16.5" customHeight="1">
      <c r="A138" s="196"/>
      <c r="B138" s="230"/>
      <c r="C138" s="1637" t="s">
        <v>1275</v>
      </c>
      <c r="D138" s="211"/>
      <c r="E138" s="232"/>
      <c r="F138" s="199"/>
      <c r="G138" s="321"/>
      <c r="H138" s="1641">
        <v>0</v>
      </c>
      <c r="I138" s="1641">
        <v>4208077.99</v>
      </c>
      <c r="J138" s="1646">
        <f t="shared" si="1"/>
        <v>2104038.9950000001</v>
      </c>
      <c r="K138" s="1649"/>
      <c r="L138" s="1648"/>
      <c r="M138" s="1643"/>
      <c r="N138" s="739"/>
    </row>
    <row r="139" spans="1:15" ht="16.5" customHeight="1">
      <c r="A139" s="196"/>
      <c r="B139" s="230"/>
      <c r="C139" s="1637" t="s">
        <v>1276</v>
      </c>
      <c r="D139" s="709"/>
      <c r="E139" s="232"/>
      <c r="F139" s="199"/>
      <c r="G139" s="321"/>
      <c r="H139" s="1641">
        <v>185047.06</v>
      </c>
      <c r="I139" s="1641">
        <v>88500</v>
      </c>
      <c r="J139" s="1646">
        <f t="shared" si="1"/>
        <v>136773.53</v>
      </c>
      <c r="K139" s="1649"/>
      <c r="L139" s="1648"/>
      <c r="M139" s="1643"/>
      <c r="N139" s="739"/>
    </row>
    <row r="140" spans="1:15" ht="16.5" customHeight="1">
      <c r="A140" s="196"/>
      <c r="B140" s="230"/>
      <c r="C140" s="1637" t="s">
        <v>1277</v>
      </c>
      <c r="D140" s="709"/>
      <c r="E140" s="232"/>
      <c r="F140" s="199"/>
      <c r="G140" s="321"/>
      <c r="H140" s="1641">
        <v>1121500</v>
      </c>
      <c r="I140" s="1641">
        <v>2872500</v>
      </c>
      <c r="J140" s="1646">
        <f t="shared" si="1"/>
        <v>1997000</v>
      </c>
      <c r="K140" s="1649"/>
      <c r="L140" s="1648"/>
      <c r="M140" s="1643"/>
      <c r="N140" s="739"/>
    </row>
    <row r="141" spans="1:15" ht="16.5" customHeight="1">
      <c r="A141" s="196"/>
      <c r="B141" s="230"/>
      <c r="C141" s="1637" t="s">
        <v>1278</v>
      </c>
      <c r="D141" s="710"/>
      <c r="E141" s="232"/>
      <c r="F141" s="199"/>
      <c r="G141" s="321"/>
      <c r="H141" s="1641">
        <v>5989302.6699999999</v>
      </c>
      <c r="I141" s="1641">
        <v>6904958.9900000002</v>
      </c>
      <c r="J141" s="1646">
        <f t="shared" si="1"/>
        <v>6447130.8300000001</v>
      </c>
      <c r="K141" s="1649"/>
      <c r="L141" s="1648"/>
      <c r="M141" s="1643"/>
      <c r="N141" s="739"/>
    </row>
    <row r="142" spans="1:15" ht="16.5" customHeight="1">
      <c r="A142" s="196"/>
      <c r="B142" s="230"/>
      <c r="C142" s="1637" t="s">
        <v>1279</v>
      </c>
      <c r="D142" s="710"/>
      <c r="E142" s="232"/>
      <c r="F142" s="199"/>
      <c r="G142" s="321"/>
      <c r="H142" s="1641">
        <v>1030118.36</v>
      </c>
      <c r="I142" s="1641">
        <v>1713310.47</v>
      </c>
      <c r="J142" s="1646">
        <f t="shared" si="1"/>
        <v>1371714.415</v>
      </c>
      <c r="K142" s="1649"/>
      <c r="L142" s="1648"/>
      <c r="M142" s="1643"/>
      <c r="N142" s="739"/>
    </row>
    <row r="143" spans="1:15" ht="16.5" customHeight="1">
      <c r="A143" s="196"/>
      <c r="B143" s="230"/>
      <c r="C143" s="1637" t="s">
        <v>84</v>
      </c>
      <c r="D143" s="710"/>
      <c r="E143" s="232"/>
      <c r="F143" s="199"/>
      <c r="G143" s="321"/>
      <c r="H143" s="1641">
        <v>1715000</v>
      </c>
      <c r="I143" s="1641">
        <v>88000</v>
      </c>
      <c r="J143" s="1646">
        <f t="shared" si="1"/>
        <v>901500</v>
      </c>
      <c r="K143" s="1649"/>
      <c r="L143" s="1648"/>
      <c r="M143" s="1643"/>
      <c r="N143" s="739"/>
    </row>
    <row r="144" spans="1:15" ht="16.5" customHeight="1">
      <c r="A144" s="196"/>
      <c r="B144" s="230"/>
      <c r="C144" s="1639" t="s">
        <v>85</v>
      </c>
      <c r="D144" s="211"/>
      <c r="E144" s="232"/>
      <c r="F144" s="199"/>
      <c r="G144" s="321"/>
      <c r="H144" s="1641">
        <v>44897611.469999999</v>
      </c>
      <c r="I144" s="1641">
        <v>33521849.91</v>
      </c>
      <c r="J144" s="1646">
        <f t="shared" si="1"/>
        <v>39209730.689999998</v>
      </c>
      <c r="K144" s="1649"/>
      <c r="L144" s="1648"/>
      <c r="M144" s="1643"/>
      <c r="N144" s="739"/>
    </row>
    <row r="145" spans="1:15" ht="16.5" customHeight="1">
      <c r="A145" s="196"/>
      <c r="B145" s="230"/>
      <c r="C145" s="1639" t="s">
        <v>86</v>
      </c>
      <c r="D145" s="211"/>
      <c r="E145" s="232"/>
      <c r="F145" s="199"/>
      <c r="G145" s="321"/>
      <c r="H145" s="1641">
        <v>3571047.46</v>
      </c>
      <c r="I145" s="1641">
        <v>2349146.89</v>
      </c>
      <c r="J145" s="1646">
        <f t="shared" si="1"/>
        <v>2960097.1749999998</v>
      </c>
      <c r="K145" s="1649"/>
      <c r="L145" s="1648"/>
      <c r="M145" s="1643"/>
      <c r="N145" s="739"/>
    </row>
    <row r="146" spans="1:15" ht="16.5" customHeight="1">
      <c r="A146" s="196"/>
      <c r="B146" s="230"/>
      <c r="C146" s="1639" t="s">
        <v>521</v>
      </c>
      <c r="D146" s="211"/>
      <c r="E146" s="232"/>
      <c r="F146" s="199"/>
      <c r="G146" s="321"/>
      <c r="H146" s="1641">
        <v>-63589913.920000002</v>
      </c>
      <c r="I146" s="1641">
        <v>-69255165.920000002</v>
      </c>
      <c r="J146" s="1646">
        <f t="shared" si="1"/>
        <v>-66422539.920000002</v>
      </c>
      <c r="K146" s="1649"/>
      <c r="L146" s="1648"/>
      <c r="M146" s="1643"/>
      <c r="N146" s="739"/>
    </row>
    <row r="147" spans="1:15" ht="16.5" customHeight="1">
      <c r="A147" s="196"/>
      <c r="B147" s="230"/>
      <c r="C147" s="1790"/>
      <c r="D147" s="211"/>
      <c r="E147" s="232"/>
      <c r="F147" s="199"/>
      <c r="G147" s="321"/>
      <c r="H147" s="1641"/>
      <c r="I147" s="1641"/>
      <c r="J147" s="1646">
        <f t="shared" si="1"/>
        <v>0</v>
      </c>
      <c r="K147" s="1649"/>
      <c r="L147" s="1648"/>
      <c r="M147" s="1643"/>
      <c r="N147" s="739"/>
    </row>
    <row r="148" spans="1:15" ht="16.5" customHeight="1">
      <c r="A148" s="196"/>
      <c r="B148" s="230"/>
      <c r="C148" s="1639"/>
      <c r="D148" s="211"/>
      <c r="E148" s="232"/>
      <c r="F148" s="199"/>
      <c r="G148" s="634"/>
      <c r="H148" s="1650"/>
      <c r="I148" s="1650"/>
      <c r="J148" s="1646">
        <f t="shared" si="1"/>
        <v>0</v>
      </c>
      <c r="K148" s="1649"/>
      <c r="L148" s="1648"/>
      <c r="M148" s="1643"/>
      <c r="N148" s="739"/>
    </row>
    <row r="149" spans="1:15" ht="16.5" customHeight="1">
      <c r="A149" s="196"/>
      <c r="B149" s="230"/>
      <c r="C149" s="1640"/>
      <c r="D149" s="211"/>
      <c r="E149" s="199" t="s">
        <v>268</v>
      </c>
      <c r="F149" s="231"/>
      <c r="G149" s="246"/>
      <c r="H149" s="1645">
        <f>SUM(H136:H148)</f>
        <v>16588504.11999999</v>
      </c>
      <c r="I149" s="1645">
        <f>SUM(I136:I148)</f>
        <v>3774540.2600000054</v>
      </c>
      <c r="J149" s="1646">
        <f>(I149+H149)/2</f>
        <v>10181522.189999998</v>
      </c>
      <c r="K149" s="1647">
        <f>+'ATT H-1 '!H13</f>
        <v>0.14184700966165151</v>
      </c>
      <c r="L149" s="1464">
        <f>+J149*K149</f>
        <v>1444218.4764552489</v>
      </c>
      <c r="M149" s="1643"/>
      <c r="N149" s="739"/>
      <c r="O149" s="413"/>
    </row>
    <row r="150" spans="1:15" ht="16.5" customHeight="1">
      <c r="A150" s="196"/>
      <c r="B150" s="230"/>
      <c r="C150" s="1638"/>
      <c r="D150" s="211"/>
      <c r="E150" s="195"/>
      <c r="F150" s="199"/>
      <c r="G150" s="634"/>
      <c r="H150" s="1645"/>
      <c r="I150" s="1645"/>
      <c r="J150" s="1645"/>
      <c r="K150" s="1647"/>
      <c r="L150" s="1648"/>
      <c r="M150" s="1643"/>
      <c r="N150" s="739"/>
      <c r="O150" s="413"/>
    </row>
    <row r="151" spans="1:15" ht="16.5" customHeight="1">
      <c r="A151" s="196"/>
      <c r="B151" s="242" t="s">
        <v>169</v>
      </c>
      <c r="C151" s="1638"/>
      <c r="D151" s="211"/>
      <c r="E151" s="232"/>
      <c r="F151" s="233"/>
      <c r="G151" s="634"/>
      <c r="H151" s="1645"/>
      <c r="I151" s="1645"/>
      <c r="J151" s="1645"/>
      <c r="K151" s="1643"/>
      <c r="L151" s="1643"/>
      <c r="M151" s="1643"/>
      <c r="N151" s="1265"/>
      <c r="O151" s="413"/>
    </row>
    <row r="152" spans="1:15" ht="16.5" customHeight="1">
      <c r="A152" s="196"/>
      <c r="B152" s="230"/>
      <c r="C152" s="1640" t="s">
        <v>1185</v>
      </c>
      <c r="D152" s="211"/>
      <c r="E152" s="232" t="s">
        <v>270</v>
      </c>
      <c r="F152" s="233"/>
      <c r="G152" s="634"/>
      <c r="H152" s="1645">
        <v>43630.49</v>
      </c>
      <c r="I152" s="1645">
        <v>52634.84</v>
      </c>
      <c r="J152" s="1646">
        <f t="shared" ref="J152:J193" si="2">(I152+H152)/2</f>
        <v>48132.664999999994</v>
      </c>
      <c r="K152" s="1643"/>
      <c r="L152" s="1643"/>
      <c r="M152" s="1651"/>
      <c r="N152" s="1265"/>
      <c r="O152" s="413"/>
    </row>
    <row r="153" spans="1:15" ht="16.5" customHeight="1">
      <c r="A153" s="196"/>
      <c r="B153" s="230"/>
      <c r="C153" s="1640" t="s">
        <v>1186</v>
      </c>
      <c r="D153" s="211"/>
      <c r="E153" s="232"/>
      <c r="F153" s="233"/>
      <c r="G153" s="634"/>
      <c r="H153" s="1645">
        <v>266276.96999999997</v>
      </c>
      <c r="I153" s="1645">
        <v>261252.88</v>
      </c>
      <c r="J153" s="1646">
        <f t="shared" si="2"/>
        <v>263764.92499999999</v>
      </c>
      <c r="K153" s="1647"/>
      <c r="L153" s="1648"/>
      <c r="M153" s="1651"/>
      <c r="N153" s="1265"/>
    </row>
    <row r="154" spans="1:15" ht="16.5" customHeight="1">
      <c r="A154" s="196"/>
      <c r="B154" s="230"/>
      <c r="C154" s="1640" t="s">
        <v>1213</v>
      </c>
      <c r="D154" s="211"/>
      <c r="E154" s="232"/>
      <c r="F154" s="233"/>
      <c r="G154" s="634"/>
      <c r="H154" s="1645">
        <v>440382.71</v>
      </c>
      <c r="I154" s="1645">
        <v>1007703.08</v>
      </c>
      <c r="J154" s="1646">
        <f t="shared" si="2"/>
        <v>724042.89500000002</v>
      </c>
      <c r="K154" s="1647"/>
      <c r="L154" s="1648"/>
      <c r="M154" s="1651"/>
      <c r="N154" s="1265"/>
    </row>
    <row r="155" spans="1:15" ht="16.5" customHeight="1">
      <c r="A155" s="196"/>
      <c r="B155" s="230"/>
      <c r="C155" s="1640" t="s">
        <v>1280</v>
      </c>
      <c r="D155" s="211"/>
      <c r="E155" s="232"/>
      <c r="F155" s="233"/>
      <c r="G155" s="634"/>
      <c r="H155" s="1645">
        <v>17527.900000000001</v>
      </c>
      <c r="I155" s="1645">
        <v>24049.56</v>
      </c>
      <c r="J155" s="1646">
        <f t="shared" si="2"/>
        <v>20788.730000000003</v>
      </c>
      <c r="K155" s="1647"/>
      <c r="L155" s="1648"/>
      <c r="M155" s="1651"/>
      <c r="N155" s="1265"/>
    </row>
    <row r="156" spans="1:15" ht="16.5" customHeight="1">
      <c r="A156" s="196"/>
      <c r="B156" s="230"/>
      <c r="C156" s="1640" t="s">
        <v>1187</v>
      </c>
      <c r="D156" s="211"/>
      <c r="E156" s="232"/>
      <c r="F156" s="233"/>
      <c r="G156" s="634"/>
      <c r="H156" s="1645">
        <v>-2255016.5299999998</v>
      </c>
      <c r="I156" s="1645">
        <v>-1726070.91</v>
      </c>
      <c r="J156" s="1646">
        <f t="shared" si="2"/>
        <v>-1990543.7199999997</v>
      </c>
      <c r="K156" s="1647"/>
      <c r="L156" s="1648"/>
      <c r="M156" s="1651"/>
      <c r="N156" s="1265"/>
    </row>
    <row r="157" spans="1:15" ht="16.5" customHeight="1">
      <c r="A157" s="196"/>
      <c r="B157" s="230"/>
      <c r="C157" s="1640" t="s">
        <v>1188</v>
      </c>
      <c r="D157" s="211"/>
      <c r="E157" s="232"/>
      <c r="F157" s="233"/>
      <c r="G157" s="634"/>
      <c r="H157" s="1645">
        <v>347998.98</v>
      </c>
      <c r="I157" s="1645">
        <v>355307.01</v>
      </c>
      <c r="J157" s="1646">
        <f t="shared" si="2"/>
        <v>351652.995</v>
      </c>
      <c r="K157" s="1647"/>
      <c r="L157" s="1648"/>
      <c r="M157" s="1651"/>
      <c r="N157" s="1265"/>
    </row>
    <row r="158" spans="1:15" ht="16.5" customHeight="1">
      <c r="A158" s="196"/>
      <c r="B158" s="230"/>
      <c r="C158" s="1640" t="s">
        <v>1189</v>
      </c>
      <c r="D158" s="211"/>
      <c r="E158" s="232"/>
      <c r="F158" s="233"/>
      <c r="G158" s="634"/>
      <c r="H158" s="1645">
        <v>126578.25</v>
      </c>
      <c r="I158" s="1645">
        <v>138629.79999999999</v>
      </c>
      <c r="J158" s="1646">
        <f t="shared" si="2"/>
        <v>132604.02499999999</v>
      </c>
      <c r="K158" s="1647"/>
      <c r="L158" s="1648"/>
      <c r="M158" s="1651"/>
      <c r="N158" s="1265"/>
    </row>
    <row r="159" spans="1:15" ht="16.5" customHeight="1">
      <c r="A159" s="196"/>
      <c r="B159" s="230"/>
      <c r="C159" s="1640" t="s">
        <v>1190</v>
      </c>
      <c r="D159" s="211"/>
      <c r="E159" s="232"/>
      <c r="F159" s="233"/>
      <c r="G159" s="634"/>
      <c r="H159" s="1645">
        <v>126578.25</v>
      </c>
      <c r="I159" s="1645">
        <v>138629.79999999999</v>
      </c>
      <c r="J159" s="1646">
        <f t="shared" si="2"/>
        <v>132604.02499999999</v>
      </c>
      <c r="K159" s="1647"/>
      <c r="L159" s="1648"/>
      <c r="M159" s="1651"/>
      <c r="N159" s="1265"/>
    </row>
    <row r="160" spans="1:15" ht="16.5" customHeight="1">
      <c r="A160" s="196"/>
      <c r="B160" s="230"/>
      <c r="C160" s="1640" t="s">
        <v>1191</v>
      </c>
      <c r="D160" s="211"/>
      <c r="E160" s="232"/>
      <c r="F160" s="233"/>
      <c r="G160" s="634"/>
      <c r="H160" s="1645">
        <v>36164.85</v>
      </c>
      <c r="I160" s="1645">
        <v>32936.5</v>
      </c>
      <c r="J160" s="1646">
        <f t="shared" si="2"/>
        <v>34550.675000000003</v>
      </c>
      <c r="K160" s="1643"/>
      <c r="L160" s="1648"/>
      <c r="M160" s="1651"/>
      <c r="N160" s="1265"/>
    </row>
    <row r="161" spans="1:16" ht="16.5" customHeight="1">
      <c r="A161" s="196"/>
      <c r="B161" s="230"/>
      <c r="C161" s="1640" t="s">
        <v>1192</v>
      </c>
      <c r="D161" s="211"/>
      <c r="E161" s="232"/>
      <c r="F161" s="233"/>
      <c r="G161" s="634"/>
      <c r="H161" s="1645">
        <v>36164.85</v>
      </c>
      <c r="I161" s="1645">
        <v>32936.5</v>
      </c>
      <c r="J161" s="1646">
        <f t="shared" si="2"/>
        <v>34550.675000000003</v>
      </c>
      <c r="K161" s="1643"/>
      <c r="L161" s="1648"/>
      <c r="M161" s="1651"/>
      <c r="N161" s="1265"/>
    </row>
    <row r="162" spans="1:16" ht="16.5" customHeight="1">
      <c r="A162" s="196"/>
      <c r="B162" s="230"/>
      <c r="C162" s="1640" t="s">
        <v>1193</v>
      </c>
      <c r="D162" s="211"/>
      <c r="E162" s="232"/>
      <c r="F162" s="233"/>
      <c r="G162" s="634"/>
      <c r="H162" s="1645">
        <v>2113899</v>
      </c>
      <c r="I162" s="1645">
        <v>4807934</v>
      </c>
      <c r="J162" s="1646">
        <f t="shared" si="2"/>
        <v>3460916.5</v>
      </c>
      <c r="K162" s="1643"/>
      <c r="L162" s="1648"/>
      <c r="M162" s="1651"/>
      <c r="N162" s="1265"/>
    </row>
    <row r="163" spans="1:16" ht="16.5" customHeight="1">
      <c r="A163" s="196"/>
      <c r="B163" s="230"/>
      <c r="C163" s="1640" t="s">
        <v>1344</v>
      </c>
      <c r="D163" s="211"/>
      <c r="E163" s="232"/>
      <c r="F163" s="233"/>
      <c r="G163" s="634"/>
      <c r="H163" s="1645">
        <v>977098</v>
      </c>
      <c r="I163" s="1645">
        <v>742500</v>
      </c>
      <c r="J163" s="1646">
        <f t="shared" si="2"/>
        <v>859799</v>
      </c>
      <c r="K163" s="1643"/>
      <c r="L163" s="1648"/>
      <c r="M163" s="1651"/>
      <c r="N163" s="1265"/>
    </row>
    <row r="164" spans="1:16" ht="16.5" customHeight="1">
      <c r="A164" s="196"/>
      <c r="B164" s="230"/>
      <c r="C164" s="1640" t="s">
        <v>1281</v>
      </c>
      <c r="D164" s="211"/>
      <c r="E164" s="232"/>
      <c r="F164" s="233"/>
      <c r="G164" s="634"/>
      <c r="H164" s="1645">
        <v>169500</v>
      </c>
      <c r="I164" s="1645">
        <v>0</v>
      </c>
      <c r="J164" s="1646">
        <f t="shared" si="2"/>
        <v>84750</v>
      </c>
      <c r="K164" s="1643"/>
      <c r="L164" s="1648"/>
      <c r="M164" s="1651"/>
      <c r="N164" s="1265"/>
      <c r="P164" s="234"/>
    </row>
    <row r="165" spans="1:16" ht="16.5" customHeight="1">
      <c r="A165" s="196"/>
      <c r="B165" s="230"/>
      <c r="C165" s="1875" t="s">
        <v>1282</v>
      </c>
      <c r="D165" s="211"/>
      <c r="E165" s="232"/>
      <c r="F165" s="233"/>
      <c r="G165" s="634"/>
      <c r="H165" s="1645">
        <v>383047.46</v>
      </c>
      <c r="I165" s="1645">
        <v>0</v>
      </c>
      <c r="J165" s="1646">
        <f t="shared" si="2"/>
        <v>191523.73</v>
      </c>
      <c r="K165" s="1643"/>
      <c r="L165" s="1648"/>
      <c r="M165" s="1651"/>
      <c r="N165" s="1265"/>
      <c r="P165" s="234"/>
    </row>
    <row r="166" spans="1:16" ht="16.5" customHeight="1">
      <c r="A166" s="196"/>
      <c r="B166" s="230"/>
      <c r="C166" s="1640" t="s">
        <v>1283</v>
      </c>
      <c r="D166" s="211"/>
      <c r="E166" s="232"/>
      <c r="F166" s="233"/>
      <c r="G166" s="634"/>
      <c r="H166" s="1645">
        <v>113444.18</v>
      </c>
      <c r="I166" s="1645">
        <v>116847.53</v>
      </c>
      <c r="J166" s="1646">
        <f t="shared" si="2"/>
        <v>115145.855</v>
      </c>
      <c r="K166" s="1643"/>
      <c r="L166" s="1648"/>
      <c r="M166" s="1651"/>
      <c r="N166" s="1265"/>
      <c r="P166" s="234"/>
    </row>
    <row r="167" spans="1:16" ht="16.5" customHeight="1">
      <c r="A167" s="196"/>
      <c r="B167" s="230"/>
      <c r="C167" s="1640" t="s">
        <v>1284</v>
      </c>
      <c r="D167" s="211"/>
      <c r="E167" s="232"/>
      <c r="F167" s="233"/>
      <c r="G167" s="634"/>
      <c r="H167" s="1645">
        <v>113444.18</v>
      </c>
      <c r="I167" s="1645">
        <v>116847.53</v>
      </c>
      <c r="J167" s="1646">
        <f t="shared" si="2"/>
        <v>115145.855</v>
      </c>
      <c r="K167" s="1643"/>
      <c r="L167" s="1648"/>
      <c r="M167" s="1651"/>
      <c r="N167" s="1265"/>
      <c r="P167" s="234"/>
    </row>
    <row r="168" spans="1:16" ht="16.5" customHeight="1">
      <c r="A168" s="196"/>
      <c r="B168" s="230"/>
      <c r="C168" s="1640" t="s">
        <v>1285</v>
      </c>
      <c r="D168" s="211"/>
      <c r="E168" s="232"/>
      <c r="F168" s="233"/>
      <c r="G168" s="634"/>
      <c r="H168" s="1645">
        <v>867651</v>
      </c>
      <c r="I168" s="1645">
        <v>807051</v>
      </c>
      <c r="J168" s="1646">
        <f t="shared" si="2"/>
        <v>837351</v>
      </c>
      <c r="K168" s="1643"/>
      <c r="L168" s="1648"/>
      <c r="M168" s="1651"/>
      <c r="N168" s="1265"/>
      <c r="P168" s="234"/>
    </row>
    <row r="169" spans="1:16" ht="16.5" customHeight="1">
      <c r="A169" s="196"/>
      <c r="B169" s="230"/>
      <c r="C169" s="1640" t="s">
        <v>1194</v>
      </c>
      <c r="D169" s="211"/>
      <c r="E169" s="232"/>
      <c r="F169" s="233"/>
      <c r="G169" s="634"/>
      <c r="H169" s="1645">
        <v>306474.26</v>
      </c>
      <c r="I169" s="1645">
        <v>343207.05</v>
      </c>
      <c r="J169" s="1646">
        <f t="shared" si="2"/>
        <v>324840.65500000003</v>
      </c>
      <c r="K169" s="1643"/>
      <c r="L169" s="1648"/>
      <c r="M169" s="1651"/>
      <c r="N169" s="1265"/>
      <c r="P169" s="234"/>
    </row>
    <row r="170" spans="1:16" ht="16.5" customHeight="1">
      <c r="A170" s="196"/>
      <c r="B170" s="230"/>
      <c r="C170" s="1640" t="s">
        <v>1195</v>
      </c>
      <c r="D170" s="211"/>
      <c r="E170" s="232"/>
      <c r="F170" s="233"/>
      <c r="G170" s="634"/>
      <c r="H170" s="1645">
        <v>99145.84</v>
      </c>
      <c r="I170" s="1645">
        <v>128953.86</v>
      </c>
      <c r="J170" s="1646">
        <f t="shared" si="2"/>
        <v>114049.85</v>
      </c>
      <c r="K170" s="1643"/>
      <c r="L170" s="1648"/>
      <c r="M170" s="1651"/>
      <c r="N170" s="1265"/>
      <c r="P170" s="234"/>
    </row>
    <row r="171" spans="1:16" ht="16.5" customHeight="1">
      <c r="A171" s="196"/>
      <c r="B171" s="230"/>
      <c r="C171" s="1640" t="s">
        <v>1196</v>
      </c>
      <c r="D171" s="211"/>
      <c r="E171" s="232"/>
      <c r="F171" s="233"/>
      <c r="G171" s="634"/>
      <c r="H171" s="1645">
        <v>145144.48000000001</v>
      </c>
      <c r="I171" s="1645">
        <v>163240.59</v>
      </c>
      <c r="J171" s="1646">
        <f t="shared" si="2"/>
        <v>154192.535</v>
      </c>
      <c r="K171" s="1643"/>
      <c r="L171" s="1648"/>
      <c r="M171" s="1651"/>
      <c r="N171" s="1265"/>
      <c r="P171" s="234"/>
    </row>
    <row r="172" spans="1:16" ht="16.5" customHeight="1">
      <c r="A172" s="196"/>
      <c r="B172" s="230"/>
      <c r="C172" s="1640" t="s">
        <v>1197</v>
      </c>
      <c r="D172" s="211"/>
      <c r="E172" s="232"/>
      <c r="F172" s="233"/>
      <c r="G172" s="634"/>
      <c r="H172" s="1645">
        <v>264934.87</v>
      </c>
      <c r="I172" s="1645">
        <v>248671.4</v>
      </c>
      <c r="J172" s="1646">
        <f t="shared" si="2"/>
        <v>256803.13500000001</v>
      </c>
      <c r="K172" s="1643"/>
      <c r="L172" s="1648"/>
      <c r="M172" s="1651"/>
      <c r="N172" s="1265"/>
      <c r="P172" s="234"/>
    </row>
    <row r="173" spans="1:16" ht="16.5" customHeight="1">
      <c r="A173" s="196"/>
      <c r="B173" s="230"/>
      <c r="C173" s="1640" t="s">
        <v>1198</v>
      </c>
      <c r="D173" s="211"/>
      <c r="E173" s="232"/>
      <c r="F173" s="233"/>
      <c r="G173" s="634"/>
      <c r="H173" s="1645">
        <v>144336.42000000001</v>
      </c>
      <c r="I173" s="1645">
        <v>122701.47</v>
      </c>
      <c r="J173" s="1646">
        <f t="shared" si="2"/>
        <v>133518.94500000001</v>
      </c>
      <c r="K173" s="1643"/>
      <c r="L173" s="1648"/>
      <c r="M173" s="1651"/>
      <c r="N173" s="1265"/>
      <c r="P173" s="2"/>
    </row>
    <row r="174" spans="1:16" ht="16.5" customHeight="1">
      <c r="A174" s="196"/>
      <c r="B174" s="230"/>
      <c r="C174" s="1640" t="s">
        <v>1345</v>
      </c>
      <c r="D174" s="211"/>
      <c r="E174" s="232"/>
      <c r="F174" s="233"/>
      <c r="G174" s="634"/>
      <c r="H174" s="1645">
        <v>0</v>
      </c>
      <c r="I174" s="1645">
        <v>25000</v>
      </c>
      <c r="J174" s="1646">
        <f t="shared" si="2"/>
        <v>12500</v>
      </c>
      <c r="K174" s="1643"/>
      <c r="L174" s="1648"/>
      <c r="M174" s="1651"/>
      <c r="N174" s="1265"/>
      <c r="P174" s="2"/>
    </row>
    <row r="175" spans="1:16" ht="16.5" customHeight="1">
      <c r="A175" s="196"/>
      <c r="B175" s="230"/>
      <c r="C175" s="1640" t="s">
        <v>1199</v>
      </c>
      <c r="D175" s="211"/>
      <c r="E175" s="232"/>
      <c r="F175" s="233"/>
      <c r="G175" s="634"/>
      <c r="H175" s="1645">
        <v>90125.09</v>
      </c>
      <c r="I175" s="1645">
        <v>90961.93</v>
      </c>
      <c r="J175" s="1646">
        <f t="shared" si="2"/>
        <v>90543.51</v>
      </c>
      <c r="K175" s="1643"/>
      <c r="L175" s="1648"/>
      <c r="M175" s="1651"/>
      <c r="N175" s="1265"/>
      <c r="P175" s="234"/>
    </row>
    <row r="176" spans="1:16" ht="16.5" customHeight="1">
      <c r="A176" s="196"/>
      <c r="B176" s="230"/>
      <c r="C176" s="1640" t="s">
        <v>1200</v>
      </c>
      <c r="D176" s="211"/>
      <c r="E176" s="232"/>
      <c r="F176" s="233"/>
      <c r="G176" s="634"/>
      <c r="H176" s="1645">
        <v>360851.47</v>
      </c>
      <c r="I176" s="1645">
        <v>295504.28999999998</v>
      </c>
      <c r="J176" s="1646">
        <f t="shared" si="2"/>
        <v>328177.88</v>
      </c>
      <c r="K176" s="1643"/>
      <c r="L176" s="1648"/>
      <c r="M176" s="1651"/>
      <c r="N176" s="1265"/>
      <c r="P176" s="234"/>
    </row>
    <row r="177" spans="1:16" ht="16.5" customHeight="1">
      <c r="A177" s="196"/>
      <c r="B177" s="230"/>
      <c r="C177" s="1640" t="s">
        <v>1201</v>
      </c>
      <c r="D177" s="211"/>
      <c r="E177" s="232"/>
      <c r="F177" s="233"/>
      <c r="G177" s="634"/>
      <c r="H177" s="1645">
        <v>100211.71</v>
      </c>
      <c r="I177" s="1645">
        <v>136041.53</v>
      </c>
      <c r="J177" s="1646">
        <f t="shared" si="2"/>
        <v>118126.62</v>
      </c>
      <c r="K177" s="1643"/>
      <c r="L177" s="1648"/>
      <c r="M177" s="1651"/>
      <c r="N177" s="1265"/>
    </row>
    <row r="178" spans="1:16" ht="16.5" customHeight="1">
      <c r="A178" s="196"/>
      <c r="B178" s="193"/>
      <c r="C178" s="1640" t="s">
        <v>1202</v>
      </c>
      <c r="D178" s="103"/>
      <c r="E178" s="635"/>
      <c r="F178" s="233"/>
      <c r="G178" s="634"/>
      <c r="H178" s="1645">
        <v>80617.490000000005</v>
      </c>
      <c r="I178" s="1645">
        <v>83310.11</v>
      </c>
      <c r="J178" s="1646">
        <f t="shared" si="2"/>
        <v>81963.8</v>
      </c>
      <c r="K178" s="1643"/>
      <c r="L178" s="1648"/>
      <c r="M178" s="1651"/>
      <c r="N178" s="1265"/>
    </row>
    <row r="179" spans="1:16" ht="16.5" customHeight="1">
      <c r="A179" s="196"/>
      <c r="B179" s="193"/>
      <c r="C179" s="1640" t="s">
        <v>1203</v>
      </c>
      <c r="D179" s="103"/>
      <c r="E179" s="635"/>
      <c r="F179" s="233"/>
      <c r="G179" s="634"/>
      <c r="H179" s="1645">
        <v>15130.79</v>
      </c>
      <c r="I179" s="1645">
        <v>15636.16</v>
      </c>
      <c r="J179" s="1646">
        <f t="shared" si="2"/>
        <v>15383.475</v>
      </c>
      <c r="K179" s="1643"/>
      <c r="L179" s="1648"/>
      <c r="M179" s="1651"/>
      <c r="N179" s="1265"/>
    </row>
    <row r="180" spans="1:16" ht="16.5" customHeight="1">
      <c r="A180" s="196"/>
      <c r="B180" s="193"/>
      <c r="C180" s="1640" t="s">
        <v>1204</v>
      </c>
      <c r="D180" s="103"/>
      <c r="E180" s="635"/>
      <c r="F180" s="233"/>
      <c r="G180" s="634"/>
      <c r="H180" s="1645">
        <v>2338676.2999999998</v>
      </c>
      <c r="I180" s="1645">
        <v>2391124.77</v>
      </c>
      <c r="J180" s="1646">
        <f t="shared" si="2"/>
        <v>2364900.5350000001</v>
      </c>
      <c r="K180" s="1643"/>
      <c r="L180" s="1648"/>
      <c r="M180" s="1651"/>
      <c r="N180" s="1265"/>
    </row>
    <row r="181" spans="1:16" ht="16.5" customHeight="1">
      <c r="A181" s="196"/>
      <c r="B181" s="193"/>
      <c r="C181" s="1640" t="s">
        <v>1205</v>
      </c>
      <c r="D181" s="103"/>
      <c r="E181" s="635"/>
      <c r="F181" s="233"/>
      <c r="G181" s="634"/>
      <c r="H181" s="1645">
        <v>180059.66</v>
      </c>
      <c r="I181" s="1645">
        <v>192467.84</v>
      </c>
      <c r="J181" s="1646">
        <f t="shared" si="2"/>
        <v>186263.75</v>
      </c>
      <c r="K181" s="1643"/>
      <c r="L181" s="1648"/>
      <c r="M181" s="1651"/>
      <c r="N181" s="1265"/>
    </row>
    <row r="182" spans="1:16" ht="16.5" customHeight="1">
      <c r="A182" s="196"/>
      <c r="B182" s="193"/>
      <c r="C182" s="1640" t="s">
        <v>1206</v>
      </c>
      <c r="D182" s="103"/>
      <c r="E182" s="635"/>
      <c r="F182" s="233"/>
      <c r="G182" s="634"/>
      <c r="H182" s="1645">
        <v>71886.149999999994</v>
      </c>
      <c r="I182" s="1645">
        <v>74287.149999999994</v>
      </c>
      <c r="J182" s="1646">
        <f t="shared" si="2"/>
        <v>73086.649999999994</v>
      </c>
      <c r="K182" s="1643"/>
      <c r="L182" s="1648"/>
      <c r="M182" s="1651"/>
      <c r="N182" s="1265"/>
    </row>
    <row r="183" spans="1:16" ht="16.5" customHeight="1">
      <c r="A183" s="196"/>
      <c r="B183" s="193"/>
      <c r="C183" s="1640" t="s">
        <v>1207</v>
      </c>
      <c r="D183" s="103"/>
      <c r="E183" s="635"/>
      <c r="F183" s="233"/>
      <c r="G183" s="634"/>
      <c r="H183" s="1645">
        <v>212165.26</v>
      </c>
      <c r="I183" s="1645">
        <v>219251.58</v>
      </c>
      <c r="J183" s="1646">
        <f t="shared" si="2"/>
        <v>215708.41999999998</v>
      </c>
      <c r="K183" s="1643"/>
      <c r="L183" s="1648"/>
      <c r="M183" s="1651"/>
      <c r="N183" s="1265"/>
      <c r="P183" s="234"/>
    </row>
    <row r="184" spans="1:16" ht="16.5" customHeight="1">
      <c r="A184" s="196"/>
      <c r="B184" s="193"/>
      <c r="C184" s="1640" t="s">
        <v>1208</v>
      </c>
      <c r="D184" s="103"/>
      <c r="E184" s="635"/>
      <c r="F184" s="233"/>
      <c r="G184" s="634"/>
      <c r="H184" s="1645">
        <v>3760265.05</v>
      </c>
      <c r="I184" s="1645">
        <v>4202538.78</v>
      </c>
      <c r="J184" s="1646">
        <f t="shared" si="2"/>
        <v>3981401.915</v>
      </c>
      <c r="K184" s="1643"/>
      <c r="L184" s="1648"/>
      <c r="M184" s="1651"/>
      <c r="N184" s="1265"/>
      <c r="P184" s="234"/>
    </row>
    <row r="185" spans="1:16" ht="16.5" customHeight="1">
      <c r="A185" s="196"/>
      <c r="B185" s="193"/>
      <c r="C185" s="1640" t="s">
        <v>1209</v>
      </c>
      <c r="D185" s="103"/>
      <c r="E185" s="635"/>
      <c r="F185" s="233"/>
      <c r="G185" s="634"/>
      <c r="H185" s="1645">
        <v>153780.85</v>
      </c>
      <c r="I185" s="1645">
        <v>178789.54</v>
      </c>
      <c r="J185" s="1646">
        <f t="shared" si="2"/>
        <v>166285.19500000001</v>
      </c>
      <c r="K185" s="1643"/>
      <c r="L185" s="1648"/>
      <c r="M185" s="1651"/>
      <c r="N185" s="1265"/>
      <c r="P185" s="234"/>
    </row>
    <row r="186" spans="1:16" ht="16.5" customHeight="1">
      <c r="A186" s="196"/>
      <c r="B186" s="193"/>
      <c r="C186" s="1640" t="s">
        <v>1210</v>
      </c>
      <c r="D186" s="103"/>
      <c r="E186" s="635"/>
      <c r="F186" s="233"/>
      <c r="G186" s="634"/>
      <c r="H186" s="1641">
        <v>92618.04</v>
      </c>
      <c r="I186" s="1645">
        <v>112193.62</v>
      </c>
      <c r="J186" s="1646">
        <f t="shared" si="2"/>
        <v>102405.82999999999</v>
      </c>
      <c r="K186" s="1643"/>
      <c r="L186" s="1648"/>
      <c r="M186" s="1651"/>
      <c r="N186" s="1265"/>
      <c r="P186" s="234"/>
    </row>
    <row r="187" spans="1:16" ht="16.5" customHeight="1">
      <c r="A187" s="196"/>
      <c r="B187" s="193"/>
      <c r="C187" s="1640" t="s">
        <v>1211</v>
      </c>
      <c r="D187" s="242"/>
      <c r="E187" s="242"/>
      <c r="F187" s="636"/>
      <c r="G187" s="196"/>
      <c r="H187" s="1641">
        <v>125482.96</v>
      </c>
      <c r="I187" s="1645">
        <v>134973.41</v>
      </c>
      <c r="J187" s="1646">
        <f t="shared" si="2"/>
        <v>130228.185</v>
      </c>
      <c r="K187" s="1643"/>
      <c r="L187" s="1652"/>
      <c r="M187" s="1643"/>
      <c r="N187" s="1265"/>
      <c r="P187" s="234"/>
    </row>
    <row r="188" spans="1:16" ht="16.5" customHeight="1">
      <c r="A188" s="196"/>
      <c r="B188" s="193"/>
      <c r="C188" s="1640" t="s">
        <v>1212</v>
      </c>
      <c r="D188" s="242"/>
      <c r="E188" s="242"/>
      <c r="F188" s="636"/>
      <c r="G188" s="196"/>
      <c r="H188" s="1641">
        <v>34426.43</v>
      </c>
      <c r="I188" s="1641">
        <v>39650.730000000003</v>
      </c>
      <c r="J188" s="1646">
        <f t="shared" si="2"/>
        <v>37038.58</v>
      </c>
      <c r="K188" s="1643"/>
      <c r="L188" s="1652"/>
      <c r="M188" s="1643"/>
      <c r="N188" s="1265"/>
      <c r="P188" s="234"/>
    </row>
    <row r="189" spans="1:16" ht="16.5" customHeight="1">
      <c r="A189" s="196"/>
      <c r="B189" s="193"/>
      <c r="C189" s="1640" t="s">
        <v>1346</v>
      </c>
      <c r="D189" s="242"/>
      <c r="E189" s="242"/>
      <c r="F189" s="636"/>
      <c r="G189" s="196"/>
      <c r="H189" s="1641">
        <v>0</v>
      </c>
      <c r="I189" s="1641">
        <v>2025.3</v>
      </c>
      <c r="J189" s="1646">
        <f t="shared" si="2"/>
        <v>1012.65</v>
      </c>
      <c r="K189" s="1643"/>
      <c r="L189" s="1652"/>
      <c r="M189" s="1643"/>
      <c r="N189" s="1265"/>
      <c r="P189" s="234"/>
    </row>
    <row r="190" spans="1:16" ht="16.5" customHeight="1">
      <c r="A190" s="196"/>
      <c r="B190" s="193"/>
      <c r="C190" s="1640" t="s">
        <v>1286</v>
      </c>
      <c r="D190" s="242"/>
      <c r="E190" s="242"/>
      <c r="F190" s="636"/>
      <c r="G190" s="196"/>
      <c r="H190" s="1641">
        <v>283944.59000000003</v>
      </c>
      <c r="I190" s="1641">
        <v>359669.72</v>
      </c>
      <c r="J190" s="1646">
        <f t="shared" si="2"/>
        <v>321807.15500000003</v>
      </c>
      <c r="K190" s="1643"/>
      <c r="L190" s="1652"/>
      <c r="M190" s="1643"/>
      <c r="N190" s="1265"/>
      <c r="P190" s="234"/>
    </row>
    <row r="191" spans="1:16" ht="16.5" customHeight="1">
      <c r="A191" s="196"/>
      <c r="B191" s="193"/>
      <c r="C191" s="1640" t="s">
        <v>1214</v>
      </c>
      <c r="D191" s="242"/>
      <c r="E191" s="242"/>
      <c r="F191" s="636"/>
      <c r="G191" s="196"/>
      <c r="H191" s="1641">
        <v>92361.2</v>
      </c>
      <c r="I191" s="1641">
        <v>121942.62</v>
      </c>
      <c r="J191" s="1646">
        <f t="shared" si="2"/>
        <v>107151.91</v>
      </c>
      <c r="K191" s="1643"/>
      <c r="L191" s="1652"/>
      <c r="M191" s="1643"/>
      <c r="N191" s="1265"/>
      <c r="P191" s="234"/>
    </row>
    <row r="192" spans="1:16" ht="16.5" customHeight="1">
      <c r="A192" s="196"/>
      <c r="B192" s="193"/>
      <c r="C192" s="1640" t="s">
        <v>1347</v>
      </c>
      <c r="D192" s="242"/>
      <c r="E192" s="242"/>
      <c r="F192" s="636"/>
      <c r="G192" s="196"/>
      <c r="H192" s="1641">
        <v>0</v>
      </c>
      <c r="I192" s="1641">
        <v>20000</v>
      </c>
      <c r="J192" s="1646">
        <f t="shared" si="2"/>
        <v>10000</v>
      </c>
      <c r="K192" s="1643"/>
      <c r="L192" s="1652"/>
      <c r="M192" s="1643"/>
      <c r="N192" s="1265"/>
      <c r="P192" s="234"/>
    </row>
    <row r="193" spans="1:17" ht="16.5" customHeight="1">
      <c r="A193" s="196"/>
      <c r="B193" s="193"/>
      <c r="C193" s="1875"/>
      <c r="D193" s="242"/>
      <c r="E193" s="242"/>
      <c r="F193" s="636"/>
      <c r="G193" s="196"/>
      <c r="H193" s="1641"/>
      <c r="I193" s="1641"/>
      <c r="J193" s="1646">
        <f t="shared" si="2"/>
        <v>0</v>
      </c>
      <c r="K193" s="1643"/>
      <c r="L193" s="1652"/>
      <c r="M193" s="1643"/>
      <c r="N193" s="1265"/>
      <c r="P193" s="234"/>
    </row>
    <row r="194" spans="1:17" ht="16.5" customHeight="1">
      <c r="A194" s="196"/>
      <c r="B194" s="193"/>
      <c r="C194" s="1640"/>
      <c r="D194" s="242"/>
      <c r="E194" s="242"/>
      <c r="F194" s="636"/>
      <c r="G194" s="196"/>
      <c r="H194" s="1641"/>
      <c r="I194" s="1641"/>
      <c r="J194" s="1646"/>
      <c r="K194" s="1643"/>
      <c r="L194" s="1652"/>
      <c r="M194" s="1643"/>
      <c r="N194" s="1265"/>
      <c r="P194" s="234"/>
    </row>
    <row r="195" spans="1:17" ht="16.5" customHeight="1">
      <c r="A195" s="196"/>
      <c r="B195" s="193"/>
      <c r="C195" s="1640"/>
      <c r="D195" s="242"/>
      <c r="E195" s="242"/>
      <c r="F195" s="636"/>
      <c r="G195" s="196"/>
      <c r="H195" s="1641"/>
      <c r="I195" s="1641"/>
      <c r="J195" s="1646"/>
      <c r="K195" s="1643"/>
      <c r="L195" s="1652"/>
      <c r="M195" s="1643"/>
      <c r="N195" s="1265"/>
      <c r="P195" s="234"/>
    </row>
    <row r="196" spans="1:17" ht="16.5" customHeight="1">
      <c r="A196" s="429"/>
      <c r="B196" s="193"/>
      <c r="C196" s="242"/>
      <c r="D196" s="242"/>
      <c r="E196" s="242"/>
      <c r="F196" s="1467"/>
      <c r="G196" s="1468"/>
      <c r="H196" s="1653">
        <f>SUM(H152:H195)</f>
        <v>12877009.449999997</v>
      </c>
      <c r="I196" s="1653">
        <f>SUM(I152:I195)</f>
        <v>16611332.569999998</v>
      </c>
      <c r="J196" s="1848">
        <f>SUM(J152:J195)</f>
        <v>14744171.010000004</v>
      </c>
      <c r="K196" s="1654">
        <v>0</v>
      </c>
      <c r="L196" s="1655">
        <f>+J196*K196</f>
        <v>0</v>
      </c>
      <c r="M196" s="1656"/>
      <c r="N196" s="1469"/>
      <c r="P196" s="234"/>
    </row>
    <row r="197" spans="1:17" ht="16.5" customHeight="1" thickBot="1">
      <c r="A197" s="1287"/>
      <c r="B197" s="1288"/>
      <c r="C197" s="1288"/>
      <c r="D197" s="1288"/>
      <c r="E197" s="1288"/>
      <c r="F197" s="1289"/>
      <c r="G197" s="1672"/>
      <c r="H197" s="239"/>
      <c r="I197" s="239"/>
      <c r="J197" s="239"/>
      <c r="K197" s="1290"/>
      <c r="L197" s="1463">
        <f>(+L196+L149+L133)</f>
        <v>9989448.9664552491</v>
      </c>
      <c r="M197" s="1291"/>
      <c r="N197" s="1292"/>
      <c r="O197" s="234"/>
      <c r="P197" s="234"/>
      <c r="Q197" s="234"/>
    </row>
    <row r="198" spans="1:17" ht="16.5" customHeight="1">
      <c r="A198" s="234"/>
      <c r="B198" s="234"/>
      <c r="C198" s="234"/>
      <c r="D198" s="234"/>
      <c r="E198" s="234"/>
      <c r="F198" s="234"/>
      <c r="G198" s="234"/>
      <c r="H198" s="234"/>
      <c r="I198" s="234"/>
      <c r="J198" s="234"/>
      <c r="K198" s="412"/>
      <c r="L198" s="412"/>
      <c r="M198" s="412"/>
      <c r="N198" s="412"/>
      <c r="O198" s="234"/>
      <c r="P198" s="234"/>
      <c r="Q198" s="234"/>
    </row>
    <row r="199" spans="1:17" ht="16.5" customHeight="1" thickBot="1">
      <c r="A199" s="365" t="s">
        <v>795</v>
      </c>
      <c r="B199" s="174"/>
      <c r="C199" s="2"/>
      <c r="D199" s="635"/>
      <c r="E199" s="635"/>
      <c r="F199" s="234"/>
      <c r="G199" s="234"/>
      <c r="H199" s="234"/>
      <c r="I199" s="234"/>
      <c r="J199" s="234"/>
      <c r="K199" s="412"/>
      <c r="L199" s="412"/>
      <c r="M199" s="412"/>
      <c r="N199" s="412"/>
      <c r="O199" s="234"/>
      <c r="P199" s="234"/>
      <c r="Q199" s="234"/>
    </row>
    <row r="200" spans="1:17" ht="26.25" customHeight="1">
      <c r="A200" s="1293" t="s">
        <v>1088</v>
      </c>
      <c r="B200" s="923"/>
      <c r="C200" s="923"/>
      <c r="D200" s="892"/>
      <c r="E200" s="892"/>
      <c r="F200" s="894"/>
      <c r="G200" s="892"/>
      <c r="H200" s="1264"/>
      <c r="I200" s="529"/>
      <c r="J200" s="529" t="s">
        <v>416</v>
      </c>
      <c r="K200" s="529" t="s">
        <v>877</v>
      </c>
      <c r="L200" s="529" t="s">
        <v>280</v>
      </c>
      <c r="M200" s="529" t="s">
        <v>139</v>
      </c>
      <c r="N200" s="1231"/>
      <c r="O200" s="234"/>
      <c r="P200" s="234"/>
      <c r="Q200" s="234"/>
    </row>
    <row r="201" spans="1:17" ht="16.5" customHeight="1">
      <c r="A201" s="248">
        <f>+'ATT H-1 '!A75</f>
        <v>42</v>
      </c>
      <c r="B201" s="202" t="s">
        <v>795</v>
      </c>
      <c r="C201" s="244"/>
      <c r="D201" s="242"/>
      <c r="E201" s="242"/>
      <c r="F201" s="895"/>
      <c r="G201" s="242"/>
      <c r="H201" s="1294"/>
      <c r="I201" s="365"/>
      <c r="J201" s="368"/>
      <c r="K201" s="735"/>
      <c r="L201" s="249"/>
      <c r="M201" s="735"/>
      <c r="N201" s="741"/>
      <c r="O201" s="234"/>
      <c r="P201" s="234"/>
      <c r="Q201" s="234"/>
    </row>
    <row r="202" spans="1:17" ht="16.5" customHeight="1">
      <c r="A202" s="196"/>
      <c r="B202" s="209"/>
      <c r="C202" s="211" t="s">
        <v>129</v>
      </c>
      <c r="D202" s="211" t="s">
        <v>874</v>
      </c>
      <c r="E202" s="242"/>
      <c r="F202" s="895"/>
      <c r="G202" s="242"/>
      <c r="H202" s="841"/>
      <c r="I202" s="842"/>
      <c r="J202" s="1295">
        <f>'WKSHT2 - Prepaid'!W22</f>
        <v>42126418.906013988</v>
      </c>
      <c r="K202" s="1296">
        <f>+'ATT H-1 '!H13</f>
        <v>0.14184700966165151</v>
      </c>
      <c r="L202" s="745">
        <f>+J202*K202</f>
        <v>5975506.5495721446</v>
      </c>
      <c r="M202" s="717"/>
      <c r="N202" s="730"/>
      <c r="O202" s="234"/>
      <c r="P202" s="234"/>
      <c r="Q202" s="234"/>
    </row>
    <row r="203" spans="1:17" ht="16.5" customHeight="1">
      <c r="A203" s="196"/>
      <c r="B203" s="209"/>
      <c r="C203" s="242" t="s">
        <v>126</v>
      </c>
      <c r="D203" s="211" t="s">
        <v>874</v>
      </c>
      <c r="E203" s="242"/>
      <c r="F203" s="895"/>
      <c r="G203" s="242"/>
      <c r="H203" s="841"/>
      <c r="I203" s="842"/>
      <c r="J203" s="335">
        <f>'WKSHT2 - Prepaid'!V6</f>
        <v>388485.2699999999</v>
      </c>
      <c r="K203" s="1296">
        <f>+'ATT H-1 '!H26</f>
        <v>0.18826123213657034</v>
      </c>
      <c r="L203" s="745">
        <f>+J203*K203</f>
        <v>73136.715597108181</v>
      </c>
      <c r="M203" s="746"/>
      <c r="N203" s="747"/>
      <c r="O203" s="234"/>
      <c r="P203" s="234"/>
      <c r="Q203" s="234"/>
    </row>
    <row r="204" spans="1:17" ht="16.5" customHeight="1">
      <c r="A204" s="196"/>
      <c r="B204" s="209"/>
      <c r="C204" s="242" t="s">
        <v>271</v>
      </c>
      <c r="D204" s="211" t="s">
        <v>874</v>
      </c>
      <c r="E204" s="242"/>
      <c r="F204" s="895"/>
      <c r="G204" s="242"/>
      <c r="H204" s="841"/>
      <c r="I204" s="842"/>
      <c r="J204" s="335">
        <f>'WKSHT2 - Prepaid'!U27</f>
        <v>0</v>
      </c>
      <c r="K204" s="1296">
        <v>1</v>
      </c>
      <c r="L204" s="745">
        <f>+J204*K204</f>
        <v>0</v>
      </c>
      <c r="M204" s="746"/>
      <c r="N204" s="747"/>
      <c r="O204" s="234"/>
      <c r="P204" s="234"/>
      <c r="Q204" s="234"/>
    </row>
    <row r="205" spans="1:17">
      <c r="A205" s="196"/>
      <c r="B205" s="209"/>
      <c r="C205" s="242" t="s">
        <v>272</v>
      </c>
      <c r="D205" s="211" t="s">
        <v>874</v>
      </c>
      <c r="E205" s="242"/>
      <c r="F205" s="895"/>
      <c r="G205" s="242"/>
      <c r="H205" s="841"/>
      <c r="I205" s="842"/>
      <c r="J205" s="335">
        <f>'WKSHT2 - Prepaid'!T41</f>
        <v>7952827.6069230773</v>
      </c>
      <c r="K205" s="1296">
        <v>0</v>
      </c>
      <c r="L205" s="745">
        <f>+J205*K205</f>
        <v>0</v>
      </c>
      <c r="M205" s="746"/>
      <c r="N205" s="747"/>
      <c r="O205" s="234"/>
      <c r="P205" s="234"/>
      <c r="Q205" s="234"/>
    </row>
    <row r="206" spans="1:17" customFormat="1">
      <c r="A206" s="196"/>
      <c r="B206" s="209"/>
      <c r="C206" s="242"/>
      <c r="D206" s="242"/>
      <c r="E206" s="242"/>
      <c r="F206" s="895"/>
      <c r="G206" s="242"/>
      <c r="H206" s="246"/>
      <c r="I206" s="242"/>
      <c r="J206" s="1297"/>
      <c r="K206" s="740"/>
      <c r="L206" s="1298"/>
      <c r="M206" s="748"/>
      <c r="N206" s="730"/>
      <c r="O206" s="2"/>
      <c r="P206" s="234"/>
      <c r="Q206" s="2"/>
    </row>
    <row r="207" spans="1:17" customFormat="1" ht="13.5" thickBot="1">
      <c r="A207" s="205"/>
      <c r="B207" s="235"/>
      <c r="C207" s="1299"/>
      <c r="D207" s="236"/>
      <c r="E207" s="236"/>
      <c r="F207" s="1280"/>
      <c r="G207" s="236"/>
      <c r="H207" s="1300"/>
      <c r="I207" s="1301"/>
      <c r="J207" s="1301"/>
      <c r="K207" s="1302"/>
      <c r="L207" s="1303">
        <f>SUM(L202:L205)</f>
        <v>6048643.2651692526</v>
      </c>
      <c r="M207" s="733"/>
      <c r="N207" s="734"/>
      <c r="O207" s="2"/>
      <c r="P207" s="234"/>
      <c r="Q207" s="2"/>
    </row>
    <row r="208" spans="1:17">
      <c r="A208" s="531"/>
      <c r="B208" s="531"/>
      <c r="C208" s="531"/>
      <c r="D208" s="531"/>
      <c r="E208" s="531"/>
      <c r="F208" s="532"/>
      <c r="G208" s="532"/>
      <c r="H208" s="893"/>
      <c r="I208" s="740"/>
      <c r="J208" s="740"/>
      <c r="K208" s="740"/>
      <c r="L208" s="1284"/>
      <c r="M208" s="740"/>
      <c r="N208" s="740"/>
      <c r="O208" s="234"/>
      <c r="P208" s="234"/>
      <c r="Q208" s="234"/>
    </row>
    <row r="209" spans="1:18" ht="13.5" thickBot="1">
      <c r="A209" s="365" t="s">
        <v>244</v>
      </c>
      <c r="B209" s="234"/>
      <c r="C209" s="234"/>
      <c r="D209" s="234"/>
      <c r="E209" s="234"/>
      <c r="F209" s="242"/>
      <c r="G209" s="242"/>
      <c r="H209" s="242"/>
      <c r="I209" s="242"/>
      <c r="J209" s="234"/>
      <c r="K209" s="412"/>
      <c r="L209" s="412"/>
      <c r="M209" s="412"/>
      <c r="N209" s="412"/>
      <c r="O209" s="234"/>
      <c r="P209" s="234"/>
      <c r="Q209" s="234"/>
    </row>
    <row r="210" spans="1:18">
      <c r="A210" s="1293" t="s">
        <v>1088</v>
      </c>
      <c r="B210" s="923"/>
      <c r="C210" s="923"/>
      <c r="D210" s="892"/>
      <c r="E210" s="892"/>
      <c r="F210" s="892"/>
      <c r="G210" s="892"/>
      <c r="H210" s="529"/>
      <c r="I210" s="529"/>
      <c r="J210" s="529"/>
      <c r="K210" s="529"/>
      <c r="L210" s="529"/>
      <c r="M210" s="529"/>
      <c r="N210" s="1230"/>
      <c r="O210" s="892"/>
      <c r="P210" s="892"/>
      <c r="Q210" s="894"/>
    </row>
    <row r="211" spans="1:18">
      <c r="A211" s="248">
        <v>45</v>
      </c>
      <c r="B211" s="202" t="s">
        <v>793</v>
      </c>
      <c r="C211" s="244"/>
      <c r="D211" s="104"/>
      <c r="E211" s="104"/>
      <c r="F211" s="104"/>
      <c r="G211" s="104"/>
      <c r="H211" s="104"/>
      <c r="I211" s="104"/>
      <c r="J211" s="104"/>
      <c r="K211" s="104"/>
      <c r="L211" s="104"/>
      <c r="M211" s="104"/>
      <c r="N211" s="104"/>
      <c r="O211" s="104"/>
      <c r="P211" s="104"/>
      <c r="Q211" s="896" t="s">
        <v>712</v>
      </c>
    </row>
    <row r="212" spans="1:18">
      <c r="A212" s="246"/>
      <c r="B212" s="242"/>
      <c r="C212" s="242"/>
      <c r="D212" s="1304">
        <v>44561</v>
      </c>
      <c r="E212" s="1304">
        <v>44562</v>
      </c>
      <c r="F212" s="1304">
        <v>44594</v>
      </c>
      <c r="G212" s="1304">
        <v>44626</v>
      </c>
      <c r="H212" s="1304">
        <v>44658</v>
      </c>
      <c r="I212" s="1304">
        <v>44690</v>
      </c>
      <c r="J212" s="1304">
        <v>44722</v>
      </c>
      <c r="K212" s="1304">
        <v>44754</v>
      </c>
      <c r="L212" s="1304">
        <v>44786</v>
      </c>
      <c r="M212" s="1304">
        <v>44818</v>
      </c>
      <c r="N212" s="1304">
        <v>44850</v>
      </c>
      <c r="O212" s="1304">
        <v>44882</v>
      </c>
      <c r="P212" s="1304">
        <v>44914</v>
      </c>
      <c r="Q212" s="1305" t="s">
        <v>79</v>
      </c>
    </row>
    <row r="213" spans="1:18" ht="17.25" customHeight="1">
      <c r="A213" s="869" t="s">
        <v>411</v>
      </c>
      <c r="B213" s="740"/>
      <c r="C213" s="242"/>
      <c r="D213" s="1641">
        <v>631517</v>
      </c>
      <c r="E213" s="1641">
        <v>615462</v>
      </c>
      <c r="F213" s="1641">
        <v>625129</v>
      </c>
      <c r="G213" s="1641">
        <v>640459</v>
      </c>
      <c r="H213" s="1641">
        <v>645909</v>
      </c>
      <c r="I213" s="1641">
        <v>657920</v>
      </c>
      <c r="J213" s="1641">
        <v>657572</v>
      </c>
      <c r="K213" s="1641">
        <v>661367</v>
      </c>
      <c r="L213" s="1641">
        <v>666927</v>
      </c>
      <c r="M213" s="1641">
        <v>682177</v>
      </c>
      <c r="N213" s="1641">
        <v>706627</v>
      </c>
      <c r="O213" s="1641">
        <v>727517</v>
      </c>
      <c r="P213" s="1641">
        <v>709535</v>
      </c>
      <c r="Q213" s="1474">
        <f>AVERAGE(D213:P213)</f>
        <v>663701.38461538462</v>
      </c>
    </row>
    <row r="214" spans="1:18" ht="17.25" customHeight="1">
      <c r="A214" s="870" t="s">
        <v>412</v>
      </c>
      <c r="B214" s="531"/>
      <c r="C214" s="242"/>
      <c r="D214" s="1641">
        <v>1014122</v>
      </c>
      <c r="E214" s="1641">
        <v>902726</v>
      </c>
      <c r="F214" s="1641">
        <v>919687</v>
      </c>
      <c r="G214" s="1641">
        <v>1259837</v>
      </c>
      <c r="H214" s="1641">
        <v>1213466</v>
      </c>
      <c r="I214" s="1641">
        <v>1168580</v>
      </c>
      <c r="J214" s="1641">
        <v>805618</v>
      </c>
      <c r="K214" s="1641">
        <v>645671</v>
      </c>
      <c r="L214" s="1641">
        <v>85777</v>
      </c>
      <c r="M214" s="1641">
        <v>189927</v>
      </c>
      <c r="N214" s="1641">
        <v>156575</v>
      </c>
      <c r="O214" s="1641">
        <v>538224</v>
      </c>
      <c r="P214" s="1641">
        <v>156825</v>
      </c>
      <c r="Q214" s="1474">
        <f>AVERAGE(D214:P214)</f>
        <v>696695</v>
      </c>
    </row>
    <row r="215" spans="1:18" ht="17.25" customHeight="1" thickBot="1">
      <c r="A215" s="871" t="s">
        <v>851</v>
      </c>
      <c r="B215" s="872"/>
      <c r="C215" s="236"/>
      <c r="D215" s="873">
        <f t="shared" ref="D215:N215" si="3">SUM(D213:D214)</f>
        <v>1645639</v>
      </c>
      <c r="E215" s="873">
        <f t="shared" si="3"/>
        <v>1518188</v>
      </c>
      <c r="F215" s="873">
        <f t="shared" si="3"/>
        <v>1544816</v>
      </c>
      <c r="G215" s="873">
        <f t="shared" si="3"/>
        <v>1900296</v>
      </c>
      <c r="H215" s="873">
        <f t="shared" si="3"/>
        <v>1859375</v>
      </c>
      <c r="I215" s="873">
        <f t="shared" si="3"/>
        <v>1826500</v>
      </c>
      <c r="J215" s="873">
        <f t="shared" si="3"/>
        <v>1463190</v>
      </c>
      <c r="K215" s="873">
        <f t="shared" si="3"/>
        <v>1307038</v>
      </c>
      <c r="L215" s="873">
        <f t="shared" si="3"/>
        <v>752704</v>
      </c>
      <c r="M215" s="873">
        <f t="shared" si="3"/>
        <v>872104</v>
      </c>
      <c r="N215" s="874">
        <f t="shared" si="3"/>
        <v>863202</v>
      </c>
      <c r="O215" s="873">
        <f>SUM(O213:O214)</f>
        <v>1265741</v>
      </c>
      <c r="P215" s="873">
        <f>SUM(P213:P214)</f>
        <v>866360</v>
      </c>
      <c r="Q215" s="1306">
        <f>AVERAGE(D215:P215)</f>
        <v>1360396.3846153845</v>
      </c>
    </row>
    <row r="216" spans="1:18">
      <c r="A216" s="209"/>
      <c r="B216" s="209"/>
      <c r="C216" s="244"/>
      <c r="D216" s="242"/>
      <c r="E216" s="242"/>
      <c r="F216" s="242"/>
      <c r="G216" s="242"/>
      <c r="H216" s="1307"/>
      <c r="I216" s="1307"/>
      <c r="J216" s="1297"/>
      <c r="K216" s="1307"/>
      <c r="L216" s="1307"/>
      <c r="M216" s="717"/>
      <c r="N216" s="717"/>
      <c r="O216" s="234"/>
      <c r="P216" s="724"/>
      <c r="Q216" s="234"/>
    </row>
    <row r="217" spans="1:18" ht="13.5" thickBot="1">
      <c r="A217" s="365" t="s">
        <v>654</v>
      </c>
      <c r="B217" s="234"/>
      <c r="C217" s="234"/>
      <c r="D217" s="234"/>
      <c r="E217" s="234"/>
      <c r="F217" s="234"/>
      <c r="G217" s="234"/>
      <c r="H217" s="234"/>
      <c r="I217" s="234"/>
      <c r="J217" s="234"/>
      <c r="K217" s="412"/>
      <c r="L217" s="412"/>
      <c r="M217" s="412"/>
      <c r="N217" s="412"/>
      <c r="O217" s="234"/>
      <c r="P217" s="724"/>
      <c r="Q217" s="234"/>
      <c r="R217" s="193"/>
    </row>
    <row r="218" spans="1:18">
      <c r="A218" s="1989" t="s">
        <v>1088</v>
      </c>
      <c r="B218" s="1990"/>
      <c r="C218" s="1990"/>
      <c r="D218" s="1990"/>
      <c r="E218" s="1990"/>
      <c r="F218" s="1999"/>
      <c r="G218" s="923"/>
      <c r="H218" s="1264"/>
      <c r="I218" s="1991" t="s">
        <v>174</v>
      </c>
      <c r="J218" s="1992"/>
      <c r="K218" s="1992"/>
      <c r="L218" s="1992"/>
      <c r="M218" s="1992"/>
      <c r="N218" s="1993"/>
      <c r="O218" s="234"/>
      <c r="P218" s="1716"/>
      <c r="Q218" s="234"/>
      <c r="R218" s="193"/>
    </row>
    <row r="219" spans="1:18" ht="44.25" customHeight="1">
      <c r="A219" s="1117"/>
      <c r="B219" s="202" t="s">
        <v>140</v>
      </c>
      <c r="C219" s="1284"/>
      <c r="D219" s="365"/>
      <c r="E219" s="232"/>
      <c r="F219" s="1308"/>
      <c r="G219" s="368"/>
      <c r="H219" s="1309" t="s">
        <v>234</v>
      </c>
      <c r="I219" s="414" t="s">
        <v>235</v>
      </c>
      <c r="J219" s="414" t="s">
        <v>975</v>
      </c>
      <c r="K219" s="740"/>
      <c r="L219" s="740"/>
      <c r="M219" s="740"/>
      <c r="N219" s="1265"/>
      <c r="O219" s="234"/>
      <c r="P219" s="724"/>
      <c r="Q219" s="234"/>
      <c r="R219" s="193"/>
    </row>
    <row r="220" spans="1:18" ht="17.25" customHeight="1">
      <c r="A220" s="356">
        <f>+'ATT H-1 '!A96</f>
        <v>55</v>
      </c>
      <c r="B220" s="249"/>
      <c r="C220" s="1284" t="str">
        <f>+'ATT H-1 '!C96</f>
        <v>Outstanding Network Credits</v>
      </c>
      <c r="D220" s="209"/>
      <c r="E220" s="209"/>
      <c r="F220" s="204"/>
      <c r="G220" s="198"/>
      <c r="H220" s="1117"/>
      <c r="I220" s="1986" t="s">
        <v>173</v>
      </c>
      <c r="J220" s="1987"/>
      <c r="K220" s="1987"/>
      <c r="L220" s="1987"/>
      <c r="M220" s="1987"/>
      <c r="N220" s="1988"/>
      <c r="O220" s="234"/>
      <c r="P220" s="724"/>
      <c r="Q220" s="234"/>
      <c r="R220" s="193"/>
    </row>
    <row r="221" spans="1:18" ht="17.25" customHeight="1">
      <c r="A221" s="246"/>
      <c r="B221" s="242"/>
      <c r="C221" s="242" t="s">
        <v>184</v>
      </c>
      <c r="D221" s="194" t="s">
        <v>364</v>
      </c>
      <c r="E221" s="1712" t="s">
        <v>1326</v>
      </c>
      <c r="F221" s="1457">
        <v>0</v>
      </c>
      <c r="G221" s="210"/>
      <c r="H221" s="1310">
        <f>+F221</f>
        <v>0</v>
      </c>
      <c r="I221" s="250"/>
      <c r="J221" s="232"/>
      <c r="K221" s="717"/>
      <c r="L221" s="717"/>
      <c r="M221" s="717"/>
      <c r="N221" s="730"/>
      <c r="O221" s="234"/>
      <c r="P221" s="724"/>
      <c r="Q221" s="234"/>
      <c r="R221" s="193"/>
    </row>
    <row r="222" spans="1:18" ht="17.25" customHeight="1">
      <c r="A222" s="196"/>
      <c r="B222" s="190"/>
      <c r="C222" s="200" t="s">
        <v>184</v>
      </c>
      <c r="D222" s="201" t="s">
        <v>364</v>
      </c>
      <c r="E222" s="1713" t="s">
        <v>1325</v>
      </c>
      <c r="F222" s="1458">
        <v>0</v>
      </c>
      <c r="G222" s="210"/>
      <c r="H222" s="634"/>
      <c r="I222" s="334">
        <f>+F222</f>
        <v>0</v>
      </c>
      <c r="J222" s="334"/>
      <c r="K222" s="735"/>
      <c r="L222" s="735"/>
      <c r="M222" s="735"/>
      <c r="N222" s="741"/>
      <c r="O222" s="234"/>
      <c r="P222" s="724"/>
      <c r="Q222" s="242"/>
      <c r="R222" s="193"/>
    </row>
    <row r="223" spans="1:18" ht="17.25" customHeight="1">
      <c r="A223" s="196"/>
      <c r="B223" s="211"/>
      <c r="C223" s="198" t="s">
        <v>273</v>
      </c>
      <c r="D223" s="211"/>
      <c r="E223" s="232"/>
      <c r="F223" s="350">
        <f>AVERAGE(F221:F222)</f>
        <v>0</v>
      </c>
      <c r="G223" s="210"/>
      <c r="H223" s="1311"/>
      <c r="I223" s="334"/>
      <c r="J223" s="334">
        <f>+F223</f>
        <v>0</v>
      </c>
      <c r="K223" s="717"/>
      <c r="L223" s="717"/>
      <c r="M223" s="717"/>
      <c r="N223" s="730"/>
      <c r="O223" s="234"/>
      <c r="Q223" s="234"/>
    </row>
    <row r="224" spans="1:18" ht="17.25" customHeight="1">
      <c r="A224" s="196"/>
      <c r="B224" s="211"/>
      <c r="C224" s="198"/>
      <c r="D224" s="211"/>
      <c r="E224" s="232"/>
      <c r="F224" s="350"/>
      <c r="G224" s="210"/>
      <c r="H224" s="1311"/>
      <c r="I224" s="334"/>
      <c r="J224" s="334"/>
      <c r="K224" s="717"/>
      <c r="L224" s="717"/>
      <c r="M224" s="717"/>
      <c r="N224" s="730"/>
      <c r="O224" s="234"/>
      <c r="Q224" s="234"/>
    </row>
    <row r="225" spans="1:17" ht="17.25" customHeight="1">
      <c r="A225" s="331">
        <f>+'ATT H-1 '!A97</f>
        <v>56</v>
      </c>
      <c r="B225" s="244"/>
      <c r="C225" s="202" t="s">
        <v>274</v>
      </c>
      <c r="D225" s="211"/>
      <c r="E225" s="232"/>
      <c r="F225" s="350"/>
      <c r="G225" s="210"/>
      <c r="H225" s="1311"/>
      <c r="I225" s="334"/>
      <c r="J225" s="334"/>
      <c r="K225" s="717"/>
      <c r="L225" s="717"/>
      <c r="M225" s="717"/>
      <c r="N225" s="730"/>
      <c r="O225" s="234"/>
      <c r="Q225" s="234"/>
    </row>
    <row r="226" spans="1:17" ht="15">
      <c r="A226" s="246"/>
      <c r="B226" s="242"/>
      <c r="C226" s="242" t="s">
        <v>184</v>
      </c>
      <c r="D226" s="194" t="s">
        <v>364</v>
      </c>
      <c r="E226" s="1712" t="s">
        <v>1326</v>
      </c>
      <c r="F226" s="1457">
        <v>0</v>
      </c>
      <c r="G226" s="210"/>
      <c r="H226" s="1278">
        <f>+F226</f>
        <v>0</v>
      </c>
      <c r="I226" s="1286"/>
      <c r="J226" s="334"/>
      <c r="K226" s="717"/>
      <c r="L226" s="717"/>
      <c r="M226" s="717"/>
      <c r="N226" s="730"/>
      <c r="O226" s="234"/>
      <c r="Q226" s="234"/>
    </row>
    <row r="227" spans="1:17" ht="15">
      <c r="A227" s="196"/>
      <c r="B227" s="211"/>
      <c r="C227" s="200" t="s">
        <v>184</v>
      </c>
      <c r="D227" s="201" t="s">
        <v>364</v>
      </c>
      <c r="E227" s="1713" t="s">
        <v>1325</v>
      </c>
      <c r="F227" s="1458">
        <v>0</v>
      </c>
      <c r="G227" s="210"/>
      <c r="H227" s="1310"/>
      <c r="I227" s="1263">
        <f>+F227</f>
        <v>0</v>
      </c>
      <c r="J227" s="334"/>
      <c r="K227" s="717"/>
      <c r="L227" s="717"/>
      <c r="M227" s="717"/>
      <c r="N227" s="730"/>
      <c r="O227" s="234"/>
      <c r="Q227" s="1714"/>
    </row>
    <row r="228" spans="1:17">
      <c r="A228" s="246"/>
      <c r="B228" s="209"/>
      <c r="C228" s="198" t="str">
        <f>+C223</f>
        <v>Average Beginning and End of Year</v>
      </c>
      <c r="D228" s="209"/>
      <c r="E228" s="209"/>
      <c r="F228" s="350">
        <f>AVERAGE(F226:F227)</f>
        <v>0</v>
      </c>
      <c r="G228" s="210"/>
      <c r="H228" s="356"/>
      <c r="I228" s="245"/>
      <c r="J228" s="334">
        <f>+F228</f>
        <v>0</v>
      </c>
      <c r="K228" s="740"/>
      <c r="L228" s="740"/>
      <c r="M228" s="740"/>
      <c r="N228" s="1265"/>
      <c r="O228" s="234"/>
      <c r="Q228" s="234"/>
    </row>
    <row r="229" spans="1:17" ht="13.5" thickBot="1">
      <c r="A229" s="205"/>
      <c r="B229" s="235"/>
      <c r="C229" s="235"/>
      <c r="D229" s="235"/>
      <c r="E229" s="235"/>
      <c r="F229" s="351"/>
      <c r="G229" s="235"/>
      <c r="H229" s="330"/>
      <c r="I229" s="236"/>
      <c r="J229" s="236"/>
      <c r="K229" s="1281"/>
      <c r="L229" s="1282"/>
      <c r="M229" s="1281"/>
      <c r="N229" s="1283"/>
      <c r="O229" s="234"/>
      <c r="Q229" s="234"/>
    </row>
    <row r="230" spans="1:17">
      <c r="A230" s="209"/>
      <c r="B230" s="209"/>
      <c r="C230" s="209"/>
      <c r="D230" s="209"/>
      <c r="E230" s="209"/>
      <c r="F230" s="209"/>
      <c r="G230" s="209"/>
      <c r="H230" s="242"/>
      <c r="I230" s="242"/>
      <c r="J230" s="242"/>
      <c r="K230" s="740"/>
      <c r="L230" s="1284"/>
      <c r="M230" s="740"/>
      <c r="N230" s="740"/>
      <c r="O230" s="234"/>
      <c r="Q230" s="234"/>
    </row>
    <row r="231" spans="1:17" ht="13.5" thickBot="1">
      <c r="A231" s="365" t="s">
        <v>655</v>
      </c>
      <c r="B231" s="234"/>
      <c r="C231" s="234"/>
      <c r="D231" s="234"/>
      <c r="E231" s="234"/>
      <c r="F231" s="234"/>
      <c r="G231" s="234"/>
      <c r="H231" s="234"/>
      <c r="I231" s="234"/>
      <c r="J231" s="234"/>
      <c r="K231" s="412"/>
      <c r="L231" s="412"/>
      <c r="M231" s="412"/>
      <c r="N231" s="412"/>
      <c r="O231" s="412"/>
      <c r="Q231" s="234"/>
    </row>
    <row r="232" spans="1:17" ht="25.5">
      <c r="A232" s="1989" t="s">
        <v>1088</v>
      </c>
      <c r="B232" s="1990"/>
      <c r="C232" s="1990"/>
      <c r="D232" s="1990"/>
      <c r="E232" s="1990"/>
      <c r="F232" s="1990"/>
      <c r="G232" s="1312"/>
      <c r="H232" s="1264" t="str">
        <f>+C234</f>
        <v>Interest on Network Credits</v>
      </c>
      <c r="I232" s="1991" t="s">
        <v>245</v>
      </c>
      <c r="J232" s="1992"/>
      <c r="K232" s="1992"/>
      <c r="L232" s="1992"/>
      <c r="M232" s="1992"/>
      <c r="N232" s="1993"/>
      <c r="O232" s="234"/>
      <c r="Q232" s="234"/>
    </row>
    <row r="233" spans="1:17">
      <c r="A233" s="196"/>
      <c r="B233" s="202"/>
      <c r="C233" s="209"/>
      <c r="D233" s="209"/>
      <c r="E233" s="209"/>
      <c r="F233" s="209"/>
      <c r="G233" s="1104"/>
      <c r="H233" s="356" t="s">
        <v>246</v>
      </c>
      <c r="I233" s="242"/>
      <c r="J233" s="242"/>
      <c r="K233" s="740"/>
      <c r="L233" s="740"/>
      <c r="M233" s="740"/>
      <c r="N233" s="1265"/>
      <c r="O233" s="234"/>
      <c r="Q233" s="234"/>
    </row>
    <row r="234" spans="1:17">
      <c r="A234" s="249">
        <f>+'ATT H-1 '!A267</f>
        <v>164</v>
      </c>
      <c r="B234" s="249"/>
      <c r="C234" s="202" t="str">
        <f>+'ATT H-1 '!C267</f>
        <v>Interest on Network Credits</v>
      </c>
      <c r="D234" s="209"/>
      <c r="E234" s="209"/>
      <c r="F234" s="198"/>
      <c r="G234" s="1105"/>
      <c r="H234" s="1459">
        <v>0</v>
      </c>
      <c r="I234" s="1986" t="s">
        <v>173</v>
      </c>
      <c r="J234" s="1987"/>
      <c r="K234" s="1987"/>
      <c r="L234" s="1987"/>
      <c r="M234" s="1987"/>
      <c r="N234" s="1988"/>
      <c r="O234" s="234"/>
      <c r="Q234" s="234"/>
    </row>
    <row r="235" spans="1:17">
      <c r="A235" s="196"/>
      <c r="B235" s="209"/>
      <c r="C235" s="209"/>
      <c r="D235" s="209"/>
      <c r="E235" s="209"/>
      <c r="F235" s="209"/>
      <c r="G235" s="1104"/>
      <c r="H235" s="246"/>
      <c r="I235" s="211"/>
      <c r="J235" s="211"/>
      <c r="K235" s="735"/>
      <c r="L235" s="735"/>
      <c r="M235" s="735"/>
      <c r="N235" s="741"/>
      <c r="O235" s="234"/>
      <c r="Q235" s="234"/>
    </row>
    <row r="236" spans="1:17">
      <c r="A236" s="234"/>
      <c r="B236" s="234"/>
      <c r="C236" s="234"/>
      <c r="D236" s="234"/>
      <c r="E236" s="234"/>
      <c r="F236" s="234"/>
      <c r="G236" s="1313"/>
      <c r="H236" s="246"/>
      <c r="I236" s="242"/>
      <c r="J236" s="250"/>
      <c r="K236" s="749"/>
      <c r="L236" s="749"/>
      <c r="M236" s="749"/>
      <c r="N236" s="747"/>
      <c r="O236" s="412"/>
      <c r="Q236" s="234"/>
    </row>
    <row r="237" spans="1:17" ht="13.5" thickBot="1">
      <c r="A237" s="205"/>
      <c r="B237" s="235"/>
      <c r="C237" s="235"/>
      <c r="D237" s="235"/>
      <c r="E237" s="235"/>
      <c r="F237" s="235"/>
      <c r="G237" s="1106"/>
      <c r="H237" s="330"/>
      <c r="I237" s="236"/>
      <c r="J237" s="236"/>
      <c r="K237" s="1281"/>
      <c r="L237" s="1282" t="s">
        <v>172</v>
      </c>
      <c r="M237" s="1281"/>
      <c r="N237" s="1283"/>
      <c r="O237" s="234"/>
      <c r="Q237" s="234"/>
    </row>
    <row r="238" spans="1:17">
      <c r="A238" s="209"/>
      <c r="B238" s="209"/>
      <c r="C238" s="209"/>
      <c r="D238" s="209"/>
      <c r="E238" s="209"/>
      <c r="F238" s="209"/>
      <c r="G238" s="209"/>
      <c r="H238" s="242"/>
      <c r="I238" s="242"/>
      <c r="J238" s="242"/>
      <c r="K238" s="740"/>
      <c r="L238" s="1284"/>
      <c r="M238" s="740"/>
      <c r="N238" s="740"/>
      <c r="O238" s="234"/>
      <c r="Q238" s="234"/>
    </row>
    <row r="240" spans="1:17" ht="16.5" thickBot="1">
      <c r="A240" s="365" t="s">
        <v>247</v>
      </c>
      <c r="B240" s="100"/>
      <c r="C240" s="372"/>
      <c r="D240" s="100"/>
      <c r="E240" s="100"/>
      <c r="F240" s="100"/>
      <c r="G240" s="100"/>
      <c r="H240" s="88"/>
      <c r="I240" s="770"/>
      <c r="J240" s="771"/>
      <c r="K240" s="88"/>
      <c r="L240" s="88"/>
      <c r="M240" s="88"/>
      <c r="N240" s="481"/>
      <c r="Q240" s="242"/>
    </row>
    <row r="241" spans="1:17" ht="31.5">
      <c r="A241" s="1339">
        <f>'ATT H-1 '!A110</f>
        <v>63</v>
      </c>
      <c r="B241" s="1340"/>
      <c r="C241" s="1341" t="s">
        <v>247</v>
      </c>
      <c r="D241" s="875" t="s">
        <v>249</v>
      </c>
      <c r="E241" s="875"/>
      <c r="F241" s="888" t="s">
        <v>250</v>
      </c>
      <c r="G241" s="886" t="s">
        <v>253</v>
      </c>
      <c r="H241" s="886" t="s">
        <v>252</v>
      </c>
      <c r="I241" s="886" t="s">
        <v>254</v>
      </c>
      <c r="J241" s="876"/>
      <c r="K241" s="886" t="s">
        <v>251</v>
      </c>
      <c r="L241" s="877"/>
      <c r="M241" s="876"/>
      <c r="N241" s="878"/>
      <c r="Q241" s="242"/>
    </row>
    <row r="242" spans="1:17" ht="15.75">
      <c r="A242" s="879"/>
      <c r="B242" s="100"/>
      <c r="C242" s="372" t="s">
        <v>435</v>
      </c>
      <c r="D242" s="1852">
        <v>138545493.66</v>
      </c>
      <c r="E242" s="772"/>
      <c r="F242" s="1850">
        <v>7296</v>
      </c>
      <c r="G242" s="1850">
        <v>0</v>
      </c>
      <c r="H242" s="1850">
        <v>25472.77</v>
      </c>
      <c r="I242" s="1850"/>
      <c r="J242" s="774"/>
      <c r="K242" s="1808">
        <f>D242-F242-G242-H242-I242</f>
        <v>138512724.88999999</v>
      </c>
      <c r="L242" s="771"/>
      <c r="M242" s="88"/>
      <c r="N242" s="880"/>
      <c r="Q242" s="242"/>
    </row>
    <row r="243" spans="1:17" ht="15.75">
      <c r="A243" s="879"/>
      <c r="B243" s="100"/>
      <c r="C243" s="372" t="s">
        <v>437</v>
      </c>
      <c r="D243" s="1852">
        <v>5293740.13</v>
      </c>
      <c r="E243" s="772"/>
      <c r="F243" s="1851"/>
      <c r="G243" s="1851"/>
      <c r="H243" s="1851"/>
      <c r="I243" s="1851">
        <v>407175.13</v>
      </c>
      <c r="J243" s="774"/>
      <c r="K243" s="1808">
        <f>D243-F243-G243-H243-I243</f>
        <v>4886565</v>
      </c>
      <c r="L243" s="771"/>
      <c r="M243" s="88"/>
      <c r="N243" s="880"/>
      <c r="Q243" s="242"/>
    </row>
    <row r="244" spans="1:17" ht="15.75">
      <c r="A244" s="879"/>
      <c r="B244" s="100"/>
      <c r="C244" s="372" t="s">
        <v>438</v>
      </c>
      <c r="D244" s="1852">
        <v>1077188</v>
      </c>
      <c r="E244" s="772"/>
      <c r="F244" s="1851">
        <v>1077188</v>
      </c>
      <c r="G244" s="1851"/>
      <c r="H244" s="1851"/>
      <c r="I244" s="1851"/>
      <c r="J244" s="774"/>
      <c r="K244" s="1808">
        <f>D244-F244-G244-H244-I244</f>
        <v>0</v>
      </c>
      <c r="L244" s="771"/>
      <c r="M244" s="88"/>
      <c r="N244" s="880"/>
      <c r="Q244" s="242"/>
    </row>
    <row r="245" spans="1:17" ht="15.75">
      <c r="A245" s="879"/>
      <c r="B245" s="100"/>
      <c r="C245" s="372"/>
      <c r="D245" s="773"/>
      <c r="E245" s="772"/>
      <c r="F245" s="887"/>
      <c r="G245" s="887"/>
      <c r="H245" s="887"/>
      <c r="I245" s="887"/>
      <c r="J245" s="1314"/>
      <c r="K245" s="1809"/>
      <c r="L245" s="137"/>
      <c r="M245" s="1193"/>
      <c r="N245" s="1315"/>
      <c r="O245" s="234"/>
      <c r="Q245" s="242"/>
    </row>
    <row r="246" spans="1:17" ht="16.5" thickBot="1">
      <c r="A246" s="881"/>
      <c r="B246" s="882"/>
      <c r="C246" s="883" t="s">
        <v>248</v>
      </c>
      <c r="D246" s="884">
        <f>SUM(D242:D245)</f>
        <v>144916421.78999999</v>
      </c>
      <c r="E246" s="885"/>
      <c r="F246" s="889">
        <f>SUM(F242:F245)</f>
        <v>1084484</v>
      </c>
      <c r="G246" s="889">
        <f>SUM(G242:G245)</f>
        <v>0</v>
      </c>
      <c r="H246" s="889">
        <f>SUM(H242:H245)</f>
        <v>25472.77</v>
      </c>
      <c r="I246" s="889">
        <f>SUM(I242:I245)</f>
        <v>407175.13</v>
      </c>
      <c r="J246" s="1316"/>
      <c r="K246" s="1810">
        <f>SUM(K242:K245)</f>
        <v>143399289.88999999</v>
      </c>
      <c r="L246" s="1317"/>
      <c r="M246" s="1318"/>
      <c r="N246" s="1319"/>
      <c r="O246" s="234"/>
      <c r="Q246" s="242"/>
    </row>
    <row r="247" spans="1:17" ht="15.75">
      <c r="A247" s="100"/>
      <c r="B247" s="100"/>
      <c r="C247" s="372"/>
      <c r="D247" s="100"/>
      <c r="E247" s="100"/>
      <c r="F247" s="100"/>
      <c r="G247" s="100"/>
      <c r="H247" s="1193"/>
      <c r="I247" s="1193"/>
      <c r="J247" s="1320"/>
      <c r="K247" s="137"/>
      <c r="L247" s="1193"/>
      <c r="M247" s="1193"/>
      <c r="N247" s="1193"/>
      <c r="O247" s="234"/>
      <c r="Q247" s="242"/>
    </row>
    <row r="248" spans="1:17" ht="16.5" thickBot="1">
      <c r="A248" s="1870" t="s">
        <v>1243</v>
      </c>
      <c r="B248" s="882"/>
      <c r="C248" s="883"/>
      <c r="D248" s="882"/>
      <c r="E248" s="882"/>
      <c r="F248" s="882"/>
      <c r="G248" s="882"/>
      <c r="H248" s="1868"/>
      <c r="I248" s="1673"/>
      <c r="J248" s="1673"/>
      <c r="K248" s="1673"/>
      <c r="L248" s="184"/>
    </row>
    <row r="249" spans="1:17">
      <c r="A249" s="1350" t="s">
        <v>1088</v>
      </c>
      <c r="B249" s="418"/>
      <c r="C249" s="418"/>
      <c r="D249" s="418"/>
      <c r="E249" s="418"/>
      <c r="F249" s="1871" t="s">
        <v>877</v>
      </c>
      <c r="G249" s="418"/>
      <c r="H249" s="184"/>
      <c r="I249" s="413"/>
      <c r="J249" s="413"/>
    </row>
    <row r="250" spans="1:17">
      <c r="A250" s="418"/>
      <c r="B250" s="418"/>
      <c r="C250" s="418"/>
      <c r="D250" s="418"/>
      <c r="E250" s="1871" t="s">
        <v>851</v>
      </c>
      <c r="F250" s="1871" t="s">
        <v>126</v>
      </c>
      <c r="G250" s="418"/>
      <c r="H250" s="1871" t="s">
        <v>166</v>
      </c>
      <c r="I250" s="1673"/>
      <c r="J250" s="1673"/>
      <c r="K250" s="184"/>
      <c r="L250" s="184"/>
    </row>
    <row r="251" spans="1:17">
      <c r="A251" s="418"/>
      <c r="B251" s="418"/>
      <c r="C251" s="418" t="s">
        <v>1324</v>
      </c>
      <c r="D251" s="418" t="s">
        <v>1251</v>
      </c>
      <c r="E251" s="184">
        <f>-('WKSHT7 - EDIT'!K11+'WKSHT7 - EDIT'!K12)</f>
        <v>-21843875.548998144</v>
      </c>
      <c r="F251" s="1872">
        <f>'ATT H-1 '!H23</f>
        <v>0.16665248111147754</v>
      </c>
      <c r="G251" s="418"/>
      <c r="H251" s="184">
        <f>E251*F251</f>
        <v>-3640336.0573308794</v>
      </c>
      <c r="L251" s="184"/>
    </row>
    <row r="252" spans="1:17">
      <c r="A252" s="418"/>
      <c r="B252" s="418"/>
      <c r="C252" s="418" t="s">
        <v>1252</v>
      </c>
      <c r="D252" s="418"/>
      <c r="E252" s="1852">
        <v>3048533</v>
      </c>
      <c r="F252" s="1873">
        <f>F251</f>
        <v>0.16665248111147754</v>
      </c>
      <c r="G252" s="418"/>
      <c r="H252" s="184">
        <f t="shared" ref="H252" si="4">E252*F252</f>
        <v>508045.58820021595</v>
      </c>
      <c r="L252" s="184"/>
    </row>
    <row r="253" spans="1:17">
      <c r="A253" s="418"/>
      <c r="B253" s="418"/>
      <c r="C253" s="418"/>
      <c r="D253" s="418"/>
      <c r="E253" s="184"/>
      <c r="F253" s="1869"/>
      <c r="G253" s="418"/>
      <c r="H253" s="184"/>
      <c r="L253" s="184"/>
    </row>
    <row r="254" spans="1:17">
      <c r="A254" s="418" t="s">
        <v>1244</v>
      </c>
      <c r="B254" s="418"/>
      <c r="C254" s="418" t="s">
        <v>1260</v>
      </c>
      <c r="D254" s="418"/>
      <c r="E254" s="1374">
        <f>SUM(E251:E253)</f>
        <v>-18795342.548998144</v>
      </c>
      <c r="F254" s="418"/>
      <c r="G254" s="418"/>
      <c r="H254" s="1374">
        <f>SUM(H251:H253)</f>
        <v>-3132290.4691306632</v>
      </c>
      <c r="L254" s="184"/>
    </row>
    <row r="255" spans="1:17">
      <c r="A255" s="418"/>
      <c r="B255" s="418"/>
      <c r="C255" s="418"/>
      <c r="D255" s="418"/>
      <c r="E255" s="418"/>
      <c r="F255" s="418"/>
      <c r="G255" s="418"/>
      <c r="H255" s="418"/>
      <c r="J255" s="413"/>
      <c r="L255" s="184"/>
    </row>
    <row r="256" spans="1:17" ht="28.5" customHeight="1">
      <c r="C256" s="1985" t="s">
        <v>1253</v>
      </c>
      <c r="D256" s="1985"/>
      <c r="E256" s="1985"/>
      <c r="L256" s="184"/>
    </row>
    <row r="257" spans="9:12">
      <c r="I257" s="1674"/>
      <c r="L257" s="184"/>
    </row>
    <row r="258" spans="9:12">
      <c r="L258" s="184"/>
    </row>
    <row r="259" spans="9:12">
      <c r="L259" s="184"/>
    </row>
    <row r="260" spans="9:12">
      <c r="J260" s="413"/>
      <c r="L260" s="184"/>
    </row>
    <row r="261" spans="9:12">
      <c r="J261" s="413"/>
      <c r="L261" s="184"/>
    </row>
    <row r="262" spans="9:12">
      <c r="L262" s="184"/>
    </row>
    <row r="263" spans="9:12">
      <c r="L263" s="184"/>
    </row>
    <row r="264" spans="9:12">
      <c r="J264" s="413"/>
      <c r="L264" s="184"/>
    </row>
    <row r="265" spans="9:12">
      <c r="J265" s="413"/>
      <c r="L265" s="184"/>
    </row>
    <row r="266" spans="9:12">
      <c r="J266" s="413"/>
      <c r="L266" s="184"/>
    </row>
    <row r="267" spans="9:12">
      <c r="J267" s="413"/>
      <c r="L267" s="184"/>
    </row>
    <row r="268" spans="9:12">
      <c r="J268" s="413"/>
      <c r="L268" s="184"/>
    </row>
    <row r="269" spans="9:12">
      <c r="J269" s="413"/>
      <c r="L269" s="184"/>
    </row>
    <row r="270" spans="9:12">
      <c r="L270" s="184"/>
    </row>
    <row r="271" spans="9:12">
      <c r="K271" s="189"/>
    </row>
  </sheetData>
  <mergeCells count="33">
    <mergeCell ref="R17:S17"/>
    <mergeCell ref="A66:F66"/>
    <mergeCell ref="K36:N36"/>
    <mergeCell ref="R18:S18"/>
    <mergeCell ref="R19:S19"/>
    <mergeCell ref="P7:Q7"/>
    <mergeCell ref="A36:F36"/>
    <mergeCell ref="A118:F118"/>
    <mergeCell ref="I118:N118"/>
    <mergeCell ref="A82:F82"/>
    <mergeCell ref="A112:F112"/>
    <mergeCell ref="K78:M78"/>
    <mergeCell ref="K91:N91"/>
    <mergeCell ref="A75:F75"/>
    <mergeCell ref="K75:N75"/>
    <mergeCell ref="L112:N112"/>
    <mergeCell ref="K93:N93"/>
    <mergeCell ref="K82:N82"/>
    <mergeCell ref="A91:F91"/>
    <mergeCell ref="K92:N92"/>
    <mergeCell ref="A1:N1"/>
    <mergeCell ref="A3:N3"/>
    <mergeCell ref="A7:F7"/>
    <mergeCell ref="K7:N7"/>
    <mergeCell ref="A218:F218"/>
    <mergeCell ref="A127:F127"/>
    <mergeCell ref="I218:N218"/>
    <mergeCell ref="I120:N120"/>
    <mergeCell ref="C256:E256"/>
    <mergeCell ref="I234:N234"/>
    <mergeCell ref="I220:N220"/>
    <mergeCell ref="A232:F232"/>
    <mergeCell ref="I232:N232"/>
  </mergeCells>
  <phoneticPr fontId="49" type="noConversion"/>
  <pageMargins left="0.25" right="0.25" top="0.75" bottom="0.75" header="0.3" footer="0.3"/>
  <pageSetup scale="42" fitToHeight="7" orientation="landscape" r:id="rId1"/>
  <headerFooter alignWithMargins="0"/>
  <rowBreaks count="4" manualBreakCount="4">
    <brk id="33" max="16" man="1"/>
    <brk id="73" max="16383" man="1"/>
    <brk id="125" max="16" man="1"/>
    <brk id="197"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221"/>
  <sheetViews>
    <sheetView topLeftCell="A145" zoomScale="75" zoomScaleNormal="75" zoomScaleSheetLayoutView="75" workbookViewId="0">
      <selection activeCell="C170" sqref="C170"/>
    </sheetView>
  </sheetViews>
  <sheetFormatPr defaultRowHeight="12.75"/>
  <cols>
    <col min="1" max="1" width="18.140625" customWidth="1"/>
    <col min="3" max="3" width="18.28515625" customWidth="1"/>
    <col min="4" max="4" width="22.5703125" customWidth="1"/>
    <col min="5" max="5" width="23.140625" customWidth="1"/>
    <col min="6" max="6" width="15.28515625" customWidth="1"/>
    <col min="7" max="7" width="33" customWidth="1"/>
    <col min="8" max="8" width="12.42578125" customWidth="1"/>
    <col min="9" max="9" width="13.28515625" customWidth="1"/>
    <col min="10" max="10" width="12.7109375" customWidth="1"/>
    <col min="11" max="11" width="12.140625" customWidth="1"/>
    <col min="12" max="12" width="15.42578125" customWidth="1"/>
    <col min="13" max="13" width="11.7109375" customWidth="1"/>
    <col min="14" max="14" width="21.5703125" customWidth="1"/>
    <col min="15" max="15" width="23.5703125" customWidth="1"/>
    <col min="16" max="16" width="14" bestFit="1" customWidth="1"/>
  </cols>
  <sheetData>
    <row r="2" spans="1:20" ht="15">
      <c r="J2" s="12" t="s">
        <v>447</v>
      </c>
    </row>
    <row r="3" spans="1:20" ht="18">
      <c r="A3" s="1431" t="s">
        <v>353</v>
      </c>
      <c r="B3" s="569"/>
      <c r="C3" s="569"/>
      <c r="D3" s="569"/>
      <c r="E3" s="569"/>
      <c r="F3" s="569"/>
      <c r="G3" s="569"/>
      <c r="H3" s="569"/>
      <c r="I3" s="570"/>
      <c r="J3" s="570"/>
      <c r="K3" s="421"/>
      <c r="L3" s="421"/>
      <c r="M3" s="421"/>
      <c r="N3" s="421"/>
      <c r="O3" s="421"/>
    </row>
    <row r="4" spans="1:20">
      <c r="A4" s="421"/>
      <c r="B4" s="421"/>
      <c r="C4" s="421"/>
      <c r="D4" s="421"/>
      <c r="E4" s="1771" t="s">
        <v>1106</v>
      </c>
      <c r="F4" s="1772">
        <v>2020</v>
      </c>
      <c r="G4" s="421"/>
      <c r="H4" s="421"/>
      <c r="I4" s="421"/>
      <c r="J4" s="421"/>
      <c r="K4" s="421"/>
      <c r="L4" s="421"/>
      <c r="M4" s="421"/>
      <c r="N4" s="421"/>
      <c r="O4" s="421"/>
    </row>
    <row r="5" spans="1:20" ht="16.5">
      <c r="A5" s="420"/>
      <c r="B5" s="420"/>
      <c r="C5" s="420"/>
      <c r="D5" s="419"/>
      <c r="E5" s="1771" t="s">
        <v>1107</v>
      </c>
      <c r="F5" s="1773">
        <v>2021</v>
      </c>
      <c r="G5" s="419"/>
      <c r="H5" s="419"/>
      <c r="I5" s="419"/>
      <c r="J5" s="571"/>
      <c r="K5" s="419"/>
      <c r="L5" s="419"/>
      <c r="M5" s="419"/>
      <c r="N5" s="419"/>
      <c r="O5" s="419"/>
    </row>
    <row r="6" spans="1:20" ht="13.5">
      <c r="A6" s="572" t="s">
        <v>621</v>
      </c>
      <c r="B6" s="572" t="s">
        <v>622</v>
      </c>
      <c r="C6" s="572" t="s">
        <v>623</v>
      </c>
      <c r="D6" s="572" t="s">
        <v>624</v>
      </c>
      <c r="E6" s="1771" t="s">
        <v>1108</v>
      </c>
      <c r="F6" s="1773">
        <v>2022</v>
      </c>
      <c r="G6" s="573"/>
      <c r="H6" s="573"/>
      <c r="I6" s="573"/>
      <c r="J6" s="573"/>
      <c r="K6" s="573"/>
      <c r="L6" s="573"/>
      <c r="M6" s="573"/>
      <c r="N6" s="573"/>
      <c r="O6" s="573"/>
      <c r="P6" s="573"/>
      <c r="Q6" s="573"/>
      <c r="R6" s="573"/>
      <c r="S6" s="573"/>
    </row>
    <row r="7" spans="1:20" ht="13.5">
      <c r="A7" s="420"/>
      <c r="B7" s="572"/>
      <c r="C7" s="572"/>
      <c r="D7" s="573"/>
      <c r="E7" s="573"/>
      <c r="F7" s="573"/>
      <c r="G7" s="573"/>
      <c r="H7" s="573"/>
      <c r="I7" s="573"/>
      <c r="J7" s="573"/>
      <c r="K7" s="573"/>
      <c r="L7" s="573"/>
      <c r="M7" s="573"/>
      <c r="N7" s="573"/>
      <c r="O7" s="573"/>
      <c r="P7" s="577"/>
      <c r="Q7" s="577"/>
      <c r="R7" s="577"/>
      <c r="S7" s="577"/>
    </row>
    <row r="8" spans="1:20" ht="13.5">
      <c r="A8" s="574" t="s">
        <v>625</v>
      </c>
      <c r="B8" s="572"/>
      <c r="C8" s="572"/>
      <c r="D8" s="573"/>
      <c r="E8" s="573"/>
      <c r="F8" s="573"/>
      <c r="G8" s="573"/>
      <c r="H8" s="573"/>
      <c r="I8" s="573"/>
      <c r="J8" s="573"/>
      <c r="K8" s="573"/>
      <c r="L8" s="573"/>
      <c r="M8" s="573"/>
      <c r="N8" s="573"/>
      <c r="P8" s="577"/>
      <c r="Q8" s="577"/>
      <c r="R8" s="577"/>
      <c r="S8" s="577"/>
    </row>
    <row r="9" spans="1:20" ht="13.5">
      <c r="A9" s="575">
        <v>1</v>
      </c>
      <c r="B9" s="575" t="s">
        <v>626</v>
      </c>
      <c r="C9" s="575" t="s">
        <v>601</v>
      </c>
      <c r="D9" s="576" t="s">
        <v>1093</v>
      </c>
      <c r="E9" s="577"/>
      <c r="F9" s="577"/>
      <c r="G9" s="577"/>
      <c r="H9" s="577"/>
      <c r="I9" s="577"/>
      <c r="J9" s="577"/>
      <c r="K9" s="577"/>
      <c r="L9" s="577"/>
      <c r="M9" s="577"/>
      <c r="N9" s="577"/>
      <c r="P9" s="577"/>
      <c r="Q9" s="625"/>
      <c r="R9" s="625"/>
      <c r="S9" s="609"/>
    </row>
    <row r="10" spans="1:20" ht="13.5">
      <c r="A10" s="575">
        <v>2</v>
      </c>
      <c r="B10" s="575" t="s">
        <v>626</v>
      </c>
      <c r="C10" s="575" t="s">
        <v>601</v>
      </c>
      <c r="D10" s="576" t="s">
        <v>1094</v>
      </c>
      <c r="E10" s="577"/>
      <c r="F10" s="577"/>
      <c r="G10" s="577"/>
      <c r="H10" s="577"/>
      <c r="I10" s="577"/>
      <c r="J10" s="577"/>
      <c r="K10" s="577"/>
      <c r="L10" s="577"/>
      <c r="M10" s="577"/>
      <c r="N10" s="577"/>
      <c r="P10" s="577"/>
      <c r="Q10" s="625"/>
      <c r="R10" s="625"/>
      <c r="S10" s="609"/>
    </row>
    <row r="11" spans="1:20" ht="13.5">
      <c r="A11" s="575">
        <v>3</v>
      </c>
      <c r="B11" s="575" t="s">
        <v>626</v>
      </c>
      <c r="C11" s="575" t="s">
        <v>601</v>
      </c>
      <c r="D11" s="576" t="s">
        <v>1095</v>
      </c>
      <c r="E11" s="577"/>
      <c r="F11" s="577"/>
      <c r="G11" s="577"/>
      <c r="H11" s="577"/>
      <c r="I11" s="577"/>
      <c r="J11" s="577"/>
      <c r="K11" s="577"/>
      <c r="L11" s="577"/>
      <c r="M11" s="577"/>
      <c r="N11" s="577"/>
      <c r="P11" s="577"/>
      <c r="Q11" s="625"/>
      <c r="R11" s="625"/>
      <c r="S11" s="609"/>
    </row>
    <row r="12" spans="1:20" ht="13.5">
      <c r="A12" s="575">
        <v>4</v>
      </c>
      <c r="B12" s="575" t="s">
        <v>627</v>
      </c>
      <c r="C12" s="575" t="s">
        <v>601</v>
      </c>
      <c r="D12" s="576" t="s">
        <v>962</v>
      </c>
      <c r="E12" s="577"/>
      <c r="F12" s="577"/>
      <c r="G12" s="577"/>
      <c r="H12" s="577"/>
      <c r="I12" s="577"/>
      <c r="J12" s="577"/>
      <c r="K12" s="577"/>
      <c r="L12" s="577"/>
      <c r="M12" s="577"/>
      <c r="N12" s="577"/>
      <c r="P12" s="573"/>
      <c r="Q12" s="626"/>
      <c r="R12" s="626"/>
      <c r="S12" s="609"/>
    </row>
    <row r="13" spans="1:20" ht="13.5">
      <c r="A13" s="575">
        <v>5</v>
      </c>
      <c r="B13" s="578" t="s">
        <v>628</v>
      </c>
      <c r="C13" s="575" t="s">
        <v>601</v>
      </c>
      <c r="D13" s="576" t="s">
        <v>1096</v>
      </c>
      <c r="E13" s="577"/>
      <c r="F13" s="577"/>
      <c r="G13" s="577"/>
      <c r="H13" s="577"/>
      <c r="I13" s="577"/>
      <c r="J13" s="577"/>
      <c r="K13" s="577"/>
      <c r="L13" s="577"/>
      <c r="M13" s="577"/>
      <c r="N13" s="577"/>
      <c r="P13" s="573"/>
      <c r="Q13" s="626"/>
      <c r="R13" s="626"/>
      <c r="S13" s="609"/>
    </row>
    <row r="14" spans="1:20" ht="13.5">
      <c r="A14" s="572">
        <v>6</v>
      </c>
      <c r="B14" s="572" t="s">
        <v>626</v>
      </c>
      <c r="C14" s="575" t="s">
        <v>602</v>
      </c>
      <c r="D14" s="579" t="s">
        <v>1097</v>
      </c>
      <c r="E14" s="573"/>
      <c r="F14" s="573"/>
      <c r="G14" s="573"/>
      <c r="H14" s="573"/>
      <c r="I14" s="573"/>
      <c r="J14" s="573"/>
      <c r="K14" s="573"/>
      <c r="L14" s="573"/>
      <c r="M14" s="573"/>
      <c r="N14" s="573"/>
      <c r="P14" s="573"/>
      <c r="Q14" s="626"/>
      <c r="R14" s="626"/>
      <c r="S14" s="609"/>
    </row>
    <row r="15" spans="1:20" ht="13.5">
      <c r="A15" s="572">
        <v>7</v>
      </c>
      <c r="B15" s="572" t="s">
        <v>626</v>
      </c>
      <c r="C15" s="575" t="s">
        <v>602</v>
      </c>
      <c r="D15" s="579" t="str">
        <f>+D65</f>
        <v>Reconciliation</v>
      </c>
      <c r="E15" s="580"/>
      <c r="F15" s="580"/>
      <c r="G15" s="580"/>
      <c r="H15" s="580"/>
      <c r="I15" s="580"/>
      <c r="J15" s="580"/>
      <c r="K15" s="573"/>
      <c r="L15" s="573"/>
      <c r="M15" s="573"/>
      <c r="N15" s="573"/>
      <c r="P15" s="573"/>
      <c r="Q15" s="626"/>
      <c r="R15" s="626"/>
      <c r="S15" s="609"/>
    </row>
    <row r="16" spans="1:20" ht="13.5">
      <c r="A16" s="572">
        <v>8</v>
      </c>
      <c r="B16" s="572" t="s">
        <v>626</v>
      </c>
      <c r="C16" s="575" t="s">
        <v>602</v>
      </c>
      <c r="D16" s="579" t="str">
        <f>+D75</f>
        <v>True-Up Adjustment</v>
      </c>
      <c r="E16" s="573"/>
      <c r="F16" s="573"/>
      <c r="G16" s="573"/>
      <c r="H16" s="573"/>
      <c r="I16" s="573"/>
      <c r="J16" s="573"/>
      <c r="K16" s="573"/>
      <c r="L16" s="573"/>
      <c r="M16" s="1879"/>
      <c r="N16" s="573"/>
      <c r="P16" s="573"/>
      <c r="Q16" s="848"/>
      <c r="R16" s="848"/>
      <c r="S16" s="847"/>
      <c r="T16" s="97"/>
    </row>
    <row r="17" spans="1:20" ht="13.5">
      <c r="A17" s="572">
        <v>9</v>
      </c>
      <c r="B17" s="572" t="s">
        <v>626</v>
      </c>
      <c r="C17" s="575" t="s">
        <v>602</v>
      </c>
      <c r="D17" s="579" t="s">
        <v>1098</v>
      </c>
      <c r="E17" s="573"/>
      <c r="F17" s="573"/>
      <c r="G17" s="573"/>
      <c r="H17" s="573"/>
      <c r="I17" s="573"/>
      <c r="J17" s="573"/>
      <c r="K17" s="573"/>
      <c r="L17" s="573"/>
      <c r="M17" s="573"/>
      <c r="N17" s="573"/>
      <c r="P17" s="573"/>
      <c r="Q17" s="848"/>
      <c r="R17" s="848"/>
      <c r="S17" s="847"/>
      <c r="T17" s="97"/>
    </row>
    <row r="18" spans="1:20" ht="13.5">
      <c r="A18" s="572">
        <v>10</v>
      </c>
      <c r="B18" s="572" t="s">
        <v>627</v>
      </c>
      <c r="C18" s="575" t="s">
        <v>602</v>
      </c>
      <c r="D18" s="579" t="s">
        <v>460</v>
      </c>
      <c r="E18" s="573"/>
      <c r="F18" s="573"/>
      <c r="G18" s="573"/>
      <c r="H18" s="573"/>
      <c r="I18" s="573"/>
      <c r="J18" s="573"/>
      <c r="K18" s="573"/>
      <c r="L18" s="573"/>
      <c r="M18" s="573"/>
      <c r="N18" s="573"/>
      <c r="P18" s="573"/>
      <c r="Q18" s="848"/>
      <c r="R18" s="848"/>
      <c r="S18" s="847"/>
      <c r="T18" s="97"/>
    </row>
    <row r="19" spans="1:20" ht="13.5">
      <c r="A19" s="572">
        <v>11</v>
      </c>
      <c r="B19" s="581" t="s">
        <v>628</v>
      </c>
      <c r="C19" s="575" t="s">
        <v>602</v>
      </c>
      <c r="D19" s="576" t="s">
        <v>1099</v>
      </c>
      <c r="E19" s="577"/>
      <c r="F19" s="577"/>
      <c r="G19" s="577"/>
      <c r="H19" s="577"/>
      <c r="I19" s="577"/>
      <c r="J19" s="577"/>
      <c r="K19" s="573"/>
      <c r="L19" s="573"/>
      <c r="M19" s="573"/>
      <c r="N19" s="573"/>
      <c r="P19" s="573"/>
      <c r="Q19" s="848"/>
      <c r="R19" s="848"/>
      <c r="S19" s="848"/>
      <c r="T19" s="97"/>
    </row>
    <row r="20" spans="1:20" ht="13.5">
      <c r="A20" s="572"/>
      <c r="B20" s="581"/>
      <c r="C20" s="572"/>
      <c r="D20" s="579"/>
      <c r="E20" s="573"/>
      <c r="F20" s="573"/>
      <c r="G20" s="573"/>
      <c r="H20" s="573"/>
      <c r="I20" s="573"/>
      <c r="J20" s="573"/>
      <c r="K20" s="573"/>
      <c r="L20" s="573"/>
      <c r="M20" s="573"/>
      <c r="N20" s="573"/>
      <c r="P20" s="573"/>
      <c r="Q20" s="597"/>
      <c r="R20" s="597"/>
      <c r="S20" s="597"/>
      <c r="T20" s="97"/>
    </row>
    <row r="21" spans="1:20" ht="13.5">
      <c r="A21" s="582"/>
      <c r="B21" s="575"/>
      <c r="C21" s="572"/>
      <c r="D21" s="583"/>
      <c r="E21" s="573"/>
      <c r="F21" s="573"/>
      <c r="G21" s="573"/>
      <c r="H21" s="573"/>
      <c r="I21" s="1740"/>
      <c r="J21" s="573"/>
      <c r="K21" s="573"/>
      <c r="L21" s="573"/>
      <c r="M21" s="573"/>
      <c r="N21" s="573"/>
      <c r="P21" s="573"/>
      <c r="Q21" s="597"/>
      <c r="R21" s="597"/>
      <c r="S21" s="597"/>
      <c r="T21" s="97"/>
    </row>
    <row r="22" spans="1:20" ht="13.5">
      <c r="A22" s="572">
        <v>1</v>
      </c>
      <c r="B22" s="572" t="s">
        <v>626</v>
      </c>
      <c r="C22" s="572" t="s">
        <v>601</v>
      </c>
      <c r="D22" s="573" t="s">
        <v>1100</v>
      </c>
      <c r="E22" s="573"/>
      <c r="F22" s="573"/>
      <c r="G22" s="573"/>
      <c r="H22" s="573"/>
      <c r="I22" s="573"/>
      <c r="J22" s="419"/>
      <c r="K22" s="573"/>
      <c r="L22" s="573"/>
      <c r="M22" s="573"/>
      <c r="N22" s="573"/>
      <c r="Q22" s="97"/>
      <c r="R22" s="97"/>
      <c r="S22" s="97"/>
      <c r="T22" s="97"/>
    </row>
    <row r="23" spans="1:20" ht="13.5">
      <c r="A23" s="572"/>
      <c r="B23" s="572"/>
      <c r="C23" s="572"/>
      <c r="D23" s="584"/>
      <c r="E23" s="573" t="s">
        <v>366</v>
      </c>
      <c r="F23" s="573"/>
      <c r="G23" s="585" t="s">
        <v>1090</v>
      </c>
      <c r="H23" s="573"/>
      <c r="I23" s="573"/>
      <c r="J23" s="573"/>
      <c r="L23" s="573"/>
      <c r="M23" s="573"/>
      <c r="N23" s="573"/>
      <c r="Q23" s="97"/>
      <c r="R23" s="97"/>
      <c r="S23" s="97"/>
      <c r="T23" s="97"/>
    </row>
    <row r="24" spans="1:20" ht="13.5">
      <c r="A24" s="572"/>
      <c r="B24" s="572"/>
      <c r="C24" s="572"/>
      <c r="D24" s="586"/>
      <c r="E24" s="573"/>
      <c r="F24" s="573"/>
      <c r="G24" s="573"/>
      <c r="H24" s="573"/>
      <c r="I24" s="573"/>
      <c r="J24" s="573"/>
      <c r="K24" s="573"/>
      <c r="L24" s="573"/>
      <c r="M24" s="573"/>
      <c r="N24" s="573"/>
      <c r="O24" s="573"/>
    </row>
    <row r="25" spans="1:20" ht="13.5">
      <c r="A25" s="572">
        <v>2</v>
      </c>
      <c r="B25" s="572" t="s">
        <v>626</v>
      </c>
      <c r="C25" s="572" t="s">
        <v>601</v>
      </c>
      <c r="D25" s="579" t="s">
        <v>1094</v>
      </c>
      <c r="E25" s="573"/>
      <c r="F25" s="573"/>
      <c r="G25" s="573"/>
      <c r="H25" s="573"/>
      <c r="I25" s="573"/>
      <c r="J25" s="419"/>
      <c r="K25" s="573"/>
      <c r="L25" s="573"/>
      <c r="M25" s="573"/>
      <c r="N25" s="573"/>
      <c r="O25" s="573"/>
    </row>
    <row r="26" spans="1:20" ht="13.5">
      <c r="A26" s="572"/>
      <c r="C26" s="572"/>
      <c r="D26" s="579"/>
      <c r="E26" s="573"/>
      <c r="F26" s="573"/>
      <c r="G26" s="573"/>
      <c r="H26" s="573"/>
      <c r="I26" s="573"/>
      <c r="J26" s="419"/>
      <c r="K26" s="573"/>
      <c r="L26" s="573"/>
      <c r="M26" s="573"/>
      <c r="N26" s="573"/>
      <c r="O26" s="573"/>
    </row>
    <row r="27" spans="1:20" ht="13.5">
      <c r="A27" s="572"/>
      <c r="B27" s="419"/>
      <c r="C27" s="479" t="s">
        <v>263</v>
      </c>
      <c r="D27" s="479" t="s">
        <v>264</v>
      </c>
      <c r="E27" s="479" t="s">
        <v>356</v>
      </c>
      <c r="F27" s="479" t="s">
        <v>265</v>
      </c>
      <c r="G27" s="479" t="s">
        <v>266</v>
      </c>
      <c r="I27" s="479" t="s">
        <v>262</v>
      </c>
      <c r="J27" s="479" t="s">
        <v>355</v>
      </c>
      <c r="K27" s="479" t="s">
        <v>570</v>
      </c>
      <c r="L27" s="479" t="s">
        <v>571</v>
      </c>
      <c r="M27" s="479" t="s">
        <v>963</v>
      </c>
      <c r="O27" s="575"/>
    </row>
    <row r="28" spans="1:20" ht="13.5">
      <c r="A28" s="572"/>
      <c r="B28" s="419"/>
      <c r="C28" s="572" t="s">
        <v>219</v>
      </c>
      <c r="D28" s="572" t="s">
        <v>219</v>
      </c>
      <c r="E28" s="572" t="s">
        <v>219</v>
      </c>
      <c r="F28" s="572" t="s">
        <v>219</v>
      </c>
      <c r="G28" s="572" t="s">
        <v>219</v>
      </c>
      <c r="H28" s="572"/>
      <c r="I28" s="572" t="s">
        <v>72</v>
      </c>
      <c r="J28" s="572" t="s">
        <v>72</v>
      </c>
      <c r="K28" s="572" t="s">
        <v>72</v>
      </c>
      <c r="L28" s="572" t="s">
        <v>72</v>
      </c>
      <c r="M28" s="572" t="s">
        <v>72</v>
      </c>
      <c r="O28" s="572"/>
    </row>
    <row r="29" spans="1:20" ht="13.5">
      <c r="A29" s="572"/>
      <c r="B29" s="573"/>
      <c r="C29" s="572" t="s">
        <v>68</v>
      </c>
      <c r="D29" s="572" t="s">
        <v>68</v>
      </c>
      <c r="E29" s="572" t="s">
        <v>68</v>
      </c>
      <c r="F29" s="623"/>
      <c r="G29" s="623"/>
      <c r="H29" s="572"/>
      <c r="I29" s="572" t="s">
        <v>73</v>
      </c>
      <c r="J29" s="572" t="s">
        <v>75</v>
      </c>
      <c r="K29" s="572" t="s">
        <v>76</v>
      </c>
      <c r="L29" s="572" t="s">
        <v>77</v>
      </c>
      <c r="M29" s="572" t="s">
        <v>78</v>
      </c>
      <c r="O29" s="572"/>
    </row>
    <row r="30" spans="1:20" ht="13.5">
      <c r="A30" s="572"/>
      <c r="B30" s="573"/>
      <c r="C30" s="572" t="s">
        <v>569</v>
      </c>
      <c r="D30" s="572"/>
      <c r="E30" s="572"/>
      <c r="F30" s="572" t="s">
        <v>69</v>
      </c>
      <c r="G30" s="572" t="s">
        <v>70</v>
      </c>
      <c r="H30" s="572"/>
      <c r="I30" s="572"/>
      <c r="J30" s="572"/>
      <c r="K30" s="572"/>
      <c r="L30" s="572"/>
      <c r="M30" s="572"/>
    </row>
    <row r="31" spans="1:20" ht="13.5">
      <c r="A31" s="572"/>
      <c r="B31" s="573"/>
      <c r="C31" s="572"/>
      <c r="D31" s="587"/>
      <c r="E31" s="587"/>
      <c r="F31" s="572"/>
      <c r="G31" s="572"/>
      <c r="H31" s="622"/>
      <c r="I31" s="572"/>
      <c r="J31" s="588"/>
      <c r="K31" s="572"/>
      <c r="L31" s="572"/>
      <c r="M31" s="583"/>
    </row>
    <row r="32" spans="1:20" ht="13.5">
      <c r="A32" s="572"/>
      <c r="B32" s="573" t="s">
        <v>629</v>
      </c>
      <c r="C32" s="1844"/>
      <c r="D32" s="589"/>
      <c r="E32" s="589"/>
      <c r="F32" s="589"/>
      <c r="G32" s="589"/>
      <c r="H32" s="622"/>
      <c r="I32" s="588">
        <f>C32</f>
        <v>0</v>
      </c>
      <c r="J32" s="588">
        <f>D32</f>
        <v>0</v>
      </c>
      <c r="K32" s="588">
        <f>E32</f>
        <v>0</v>
      </c>
      <c r="L32" s="588">
        <f>F32</f>
        <v>0</v>
      </c>
      <c r="M32" s="588">
        <f>G32</f>
        <v>0</v>
      </c>
      <c r="O32" s="588"/>
    </row>
    <row r="33" spans="1:15" ht="13.5">
      <c r="A33" s="572"/>
      <c r="B33" s="573" t="s">
        <v>630</v>
      </c>
      <c r="C33" s="1844"/>
      <c r="D33" s="589"/>
      <c r="E33" s="589"/>
      <c r="F33" s="589"/>
      <c r="G33" s="589"/>
      <c r="H33" s="622"/>
      <c r="I33" s="588">
        <f t="shared" ref="I33:I43" si="0">I32+C33</f>
        <v>0</v>
      </c>
      <c r="J33" s="588">
        <f t="shared" ref="J33:J43" si="1">J32+D33</f>
        <v>0</v>
      </c>
      <c r="K33" s="588">
        <f t="shared" ref="K33:K43" si="2">K32+E33</f>
        <v>0</v>
      </c>
      <c r="L33" s="588">
        <f t="shared" ref="L33:L43" si="3">L32+F33</f>
        <v>0</v>
      </c>
      <c r="M33" s="588">
        <f t="shared" ref="M33:M43" si="4">M32+G33</f>
        <v>0</v>
      </c>
      <c r="O33" s="588"/>
    </row>
    <row r="34" spans="1:15" ht="13.5">
      <c r="A34" s="572"/>
      <c r="B34" s="573" t="s">
        <v>631</v>
      </c>
      <c r="C34" s="1844"/>
      <c r="D34" s="589"/>
      <c r="E34" s="589"/>
      <c r="F34" s="589"/>
      <c r="G34" s="589"/>
      <c r="H34" s="622"/>
      <c r="I34" s="588">
        <f t="shared" si="0"/>
        <v>0</v>
      </c>
      <c r="J34" s="588">
        <f t="shared" si="1"/>
        <v>0</v>
      </c>
      <c r="K34" s="588">
        <f t="shared" si="2"/>
        <v>0</v>
      </c>
      <c r="L34" s="588">
        <f t="shared" si="3"/>
        <v>0</v>
      </c>
      <c r="M34" s="588">
        <f t="shared" si="4"/>
        <v>0</v>
      </c>
      <c r="O34" s="588"/>
    </row>
    <row r="35" spans="1:15" ht="13.5">
      <c r="A35" s="572"/>
      <c r="B35" s="573" t="s">
        <v>632</v>
      </c>
      <c r="C35" s="1844"/>
      <c r="D35" s="589"/>
      <c r="E35" s="589"/>
      <c r="F35" s="589"/>
      <c r="G35" s="589"/>
      <c r="H35" s="622"/>
      <c r="I35" s="588">
        <f t="shared" si="0"/>
        <v>0</v>
      </c>
      <c r="J35" s="588">
        <f t="shared" si="1"/>
        <v>0</v>
      </c>
      <c r="K35" s="588">
        <f t="shared" si="2"/>
        <v>0</v>
      </c>
      <c r="L35" s="588">
        <f t="shared" si="3"/>
        <v>0</v>
      </c>
      <c r="M35" s="588">
        <f t="shared" si="4"/>
        <v>0</v>
      </c>
      <c r="O35" s="588"/>
    </row>
    <row r="36" spans="1:15" ht="13.5">
      <c r="A36" s="572"/>
      <c r="B36" s="573" t="s">
        <v>627</v>
      </c>
      <c r="C36" s="1844"/>
      <c r="D36" s="589"/>
      <c r="E36" s="589"/>
      <c r="F36" s="589"/>
      <c r="G36" s="589"/>
      <c r="H36" s="622"/>
      <c r="I36" s="588">
        <f t="shared" si="0"/>
        <v>0</v>
      </c>
      <c r="J36" s="588">
        <f t="shared" si="1"/>
        <v>0</v>
      </c>
      <c r="K36" s="588">
        <f t="shared" si="2"/>
        <v>0</v>
      </c>
      <c r="L36" s="588">
        <f t="shared" si="3"/>
        <v>0</v>
      </c>
      <c r="M36" s="588">
        <f t="shared" si="4"/>
        <v>0</v>
      </c>
      <c r="O36" s="588"/>
    </row>
    <row r="37" spans="1:15" ht="13.5">
      <c r="A37" s="572"/>
      <c r="B37" s="573" t="s">
        <v>633</v>
      </c>
      <c r="C37" s="1844"/>
      <c r="D37" s="589"/>
      <c r="E37" s="589"/>
      <c r="F37" s="589"/>
      <c r="G37" s="589"/>
      <c r="H37" s="622"/>
      <c r="I37" s="588">
        <f t="shared" si="0"/>
        <v>0</v>
      </c>
      <c r="J37" s="588">
        <f t="shared" si="1"/>
        <v>0</v>
      </c>
      <c r="K37" s="588">
        <f t="shared" si="2"/>
        <v>0</v>
      </c>
      <c r="L37" s="588">
        <f t="shared" si="3"/>
        <v>0</v>
      </c>
      <c r="M37" s="588">
        <f t="shared" si="4"/>
        <v>0</v>
      </c>
      <c r="O37" s="588"/>
    </row>
    <row r="38" spans="1:15" ht="13.5">
      <c r="A38" s="572"/>
      <c r="B38" s="573" t="s">
        <v>634</v>
      </c>
      <c r="C38" s="1844"/>
      <c r="D38" s="589"/>
      <c r="E38" s="589"/>
      <c r="F38" s="589"/>
      <c r="G38" s="589"/>
      <c r="H38" s="622"/>
      <c r="I38" s="588">
        <f t="shared" si="0"/>
        <v>0</v>
      </c>
      <c r="J38" s="588">
        <f t="shared" si="1"/>
        <v>0</v>
      </c>
      <c r="K38" s="588">
        <f t="shared" si="2"/>
        <v>0</v>
      </c>
      <c r="L38" s="588">
        <f t="shared" si="3"/>
        <v>0</v>
      </c>
      <c r="M38" s="588">
        <f t="shared" si="4"/>
        <v>0</v>
      </c>
      <c r="O38" s="588"/>
    </row>
    <row r="39" spans="1:15" ht="13.5">
      <c r="A39" s="572"/>
      <c r="B39" s="573" t="s">
        <v>635</v>
      </c>
      <c r="C39" s="1844"/>
      <c r="D39" s="589"/>
      <c r="E39" s="589"/>
      <c r="F39" s="589"/>
      <c r="G39" s="589"/>
      <c r="H39" s="622"/>
      <c r="I39" s="588">
        <f t="shared" si="0"/>
        <v>0</v>
      </c>
      <c r="J39" s="588">
        <f t="shared" si="1"/>
        <v>0</v>
      </c>
      <c r="K39" s="588">
        <f t="shared" si="2"/>
        <v>0</v>
      </c>
      <c r="L39" s="588">
        <f t="shared" si="3"/>
        <v>0</v>
      </c>
      <c r="M39" s="588">
        <f t="shared" si="4"/>
        <v>0</v>
      </c>
      <c r="O39" s="588"/>
    </row>
    <row r="40" spans="1:15" ht="13.5">
      <c r="A40" s="572"/>
      <c r="B40" s="573" t="s">
        <v>636</v>
      </c>
      <c r="C40" s="1844"/>
      <c r="D40" s="589"/>
      <c r="E40" s="589"/>
      <c r="F40" s="589"/>
      <c r="G40" s="589"/>
      <c r="H40" s="622"/>
      <c r="I40" s="588">
        <f t="shared" si="0"/>
        <v>0</v>
      </c>
      <c r="J40" s="588">
        <f t="shared" si="1"/>
        <v>0</v>
      </c>
      <c r="K40" s="588">
        <f t="shared" si="2"/>
        <v>0</v>
      </c>
      <c r="L40" s="588">
        <f t="shared" si="3"/>
        <v>0</v>
      </c>
      <c r="M40" s="588">
        <f t="shared" si="4"/>
        <v>0</v>
      </c>
      <c r="O40" s="588"/>
    </row>
    <row r="41" spans="1:15" ht="13.5">
      <c r="A41" s="572"/>
      <c r="B41" s="573" t="s">
        <v>637</v>
      </c>
      <c r="C41" s="1844"/>
      <c r="D41" s="589"/>
      <c r="E41" s="589"/>
      <c r="F41" s="589"/>
      <c r="G41" s="589"/>
      <c r="H41" s="622"/>
      <c r="I41" s="588">
        <f t="shared" si="0"/>
        <v>0</v>
      </c>
      <c r="J41" s="588">
        <f t="shared" si="1"/>
        <v>0</v>
      </c>
      <c r="K41" s="588">
        <f t="shared" si="2"/>
        <v>0</v>
      </c>
      <c r="L41" s="588">
        <f t="shared" si="3"/>
        <v>0</v>
      </c>
      <c r="M41" s="588">
        <f t="shared" si="4"/>
        <v>0</v>
      </c>
      <c r="O41" s="588"/>
    </row>
    <row r="42" spans="1:15" ht="13.5">
      <c r="A42" s="572"/>
      <c r="B42" s="573" t="s">
        <v>638</v>
      </c>
      <c r="C42" s="1844"/>
      <c r="D42" s="589"/>
      <c r="E42" s="589"/>
      <c r="F42" s="589"/>
      <c r="G42" s="589"/>
      <c r="H42" s="622"/>
      <c r="I42" s="588">
        <f t="shared" si="0"/>
        <v>0</v>
      </c>
      <c r="J42" s="588">
        <f t="shared" si="1"/>
        <v>0</v>
      </c>
      <c r="K42" s="588">
        <f t="shared" si="2"/>
        <v>0</v>
      </c>
      <c r="L42" s="588">
        <f t="shared" si="3"/>
        <v>0</v>
      </c>
      <c r="M42" s="588">
        <f t="shared" si="4"/>
        <v>0</v>
      </c>
      <c r="O42" s="588"/>
    </row>
    <row r="43" spans="1:15" ht="13.5">
      <c r="A43" s="572"/>
      <c r="B43" s="573" t="s">
        <v>639</v>
      </c>
      <c r="C43" s="1844"/>
      <c r="D43" s="589"/>
      <c r="E43" s="589"/>
      <c r="F43" s="589"/>
      <c r="G43" s="589"/>
      <c r="H43" s="622"/>
      <c r="I43" s="588">
        <f t="shared" si="0"/>
        <v>0</v>
      </c>
      <c r="J43" s="588">
        <f t="shared" si="1"/>
        <v>0</v>
      </c>
      <c r="K43" s="588">
        <f t="shared" si="2"/>
        <v>0</v>
      </c>
      <c r="L43" s="588">
        <f t="shared" si="3"/>
        <v>0</v>
      </c>
      <c r="M43" s="588">
        <f t="shared" si="4"/>
        <v>0</v>
      </c>
      <c r="O43" s="588"/>
    </row>
    <row r="44" spans="1:15" ht="13.5">
      <c r="A44" s="572"/>
      <c r="B44" s="573" t="s">
        <v>851</v>
      </c>
      <c r="C44" s="588">
        <f>SUM(C32:C43)</f>
        <v>0</v>
      </c>
      <c r="D44" s="588">
        <v>0</v>
      </c>
      <c r="E44" s="588">
        <v>0</v>
      </c>
      <c r="F44" s="588">
        <v>0</v>
      </c>
      <c r="G44" s="588">
        <v>0</v>
      </c>
      <c r="H44" s="588" t="s">
        <v>79</v>
      </c>
      <c r="I44" s="588">
        <f>AVERAGE(I32:I43)</f>
        <v>0</v>
      </c>
      <c r="J44" s="588">
        <f>AVERAGE(J32:J43)</f>
        <v>0</v>
      </c>
      <c r="K44" s="588">
        <f>AVERAGE(K32:K43)</f>
        <v>0</v>
      </c>
      <c r="L44" s="588">
        <f>AVERAGE(L32:L43)</f>
        <v>0</v>
      </c>
      <c r="M44" s="588">
        <f>AVERAGE(M32:M43)</f>
        <v>0</v>
      </c>
      <c r="O44" s="588"/>
    </row>
    <row r="45" spans="1:15" ht="13.5">
      <c r="A45" s="572"/>
      <c r="C45" s="573"/>
      <c r="D45" s="419"/>
      <c r="E45" s="419"/>
      <c r="F45" s="419"/>
      <c r="G45" s="419"/>
      <c r="H45" s="419"/>
      <c r="I45" s="419"/>
      <c r="J45" s="419"/>
      <c r="K45" s="590"/>
      <c r="L45" s="573"/>
      <c r="M45" s="573"/>
      <c r="N45" s="573"/>
    </row>
    <row r="46" spans="1:15" ht="13.5">
      <c r="A46" s="572"/>
      <c r="B46" s="573" t="s">
        <v>81</v>
      </c>
      <c r="C46" s="573"/>
      <c r="D46" s="419"/>
      <c r="E46" s="419"/>
      <c r="F46" s="419"/>
      <c r="G46" s="419"/>
      <c r="H46" s="419"/>
      <c r="I46" s="419"/>
      <c r="K46" s="1386" t="s">
        <v>80</v>
      </c>
      <c r="L46" s="588">
        <f>SUM(I44:M44)</f>
        <v>0</v>
      </c>
      <c r="M46" s="588"/>
      <c r="N46" s="588"/>
    </row>
    <row r="47" spans="1:15" ht="13.5">
      <c r="A47" s="1734"/>
      <c r="B47" s="573"/>
      <c r="C47" s="573"/>
      <c r="D47" s="419"/>
      <c r="E47" s="419"/>
      <c r="F47" s="419"/>
      <c r="G47" s="419"/>
      <c r="H47" s="419"/>
      <c r="I47" s="419"/>
      <c r="J47" s="573"/>
      <c r="K47" s="573"/>
      <c r="L47" s="419"/>
      <c r="M47" s="588"/>
      <c r="N47" s="573"/>
      <c r="O47" s="588"/>
    </row>
    <row r="48" spans="1:15" ht="13.5">
      <c r="A48" s="572"/>
      <c r="B48" s="572"/>
      <c r="C48" s="572"/>
      <c r="D48" s="573"/>
      <c r="E48" s="573"/>
      <c r="F48" s="419"/>
      <c r="G48" s="419"/>
      <c r="H48" s="419"/>
      <c r="I48" s="419"/>
      <c r="J48" s="573"/>
      <c r="L48" s="419"/>
      <c r="M48" s="591"/>
      <c r="N48" s="591"/>
      <c r="O48" s="592"/>
    </row>
    <row r="49" spans="1:15" ht="13.5">
      <c r="A49" s="572">
        <v>3</v>
      </c>
      <c r="B49" s="572" t="s">
        <v>626</v>
      </c>
      <c r="C49" s="572" t="s">
        <v>601</v>
      </c>
      <c r="D49" s="579" t="s">
        <v>1095</v>
      </c>
      <c r="E49" s="573"/>
      <c r="F49" s="573"/>
      <c r="G49" s="573"/>
      <c r="H49" s="573"/>
      <c r="I49" s="573"/>
      <c r="J49" s="573"/>
      <c r="K49" s="573"/>
      <c r="L49" s="588"/>
      <c r="M49" s="573"/>
      <c r="N49" s="573"/>
      <c r="O49" s="573"/>
    </row>
    <row r="50" spans="1:15" ht="13.5">
      <c r="A50" s="572"/>
      <c r="B50" s="572"/>
      <c r="C50" s="572"/>
      <c r="D50" s="593"/>
      <c r="E50" s="586"/>
      <c r="F50" s="588"/>
      <c r="G50" s="585" t="s">
        <v>1089</v>
      </c>
      <c r="H50" s="588"/>
      <c r="I50" s="573"/>
      <c r="J50" s="573"/>
      <c r="L50" s="588"/>
      <c r="M50" s="1740"/>
      <c r="N50" s="577"/>
      <c r="O50" s="591"/>
    </row>
    <row r="51" spans="1:15" ht="13.5">
      <c r="A51" s="572"/>
      <c r="B51" s="572"/>
      <c r="C51" s="572"/>
      <c r="D51" s="594"/>
      <c r="E51" s="572"/>
      <c r="F51" s="588"/>
      <c r="G51" s="1530"/>
      <c r="H51" s="588"/>
      <c r="I51" s="573"/>
      <c r="J51" s="573"/>
      <c r="K51" s="573"/>
      <c r="L51" s="573"/>
      <c r="M51" s="573"/>
      <c r="N51" s="573"/>
      <c r="O51" s="573"/>
    </row>
    <row r="52" spans="1:15" ht="13.5">
      <c r="A52" s="572">
        <v>4</v>
      </c>
      <c r="B52" s="572" t="s">
        <v>627</v>
      </c>
      <c r="C52" s="572" t="s">
        <v>601</v>
      </c>
      <c r="D52" s="573" t="s">
        <v>962</v>
      </c>
      <c r="E52" s="573"/>
      <c r="F52" s="573"/>
      <c r="G52" s="1531"/>
      <c r="H52" s="573"/>
      <c r="I52" s="573"/>
      <c r="J52" s="573"/>
      <c r="K52" s="573"/>
      <c r="L52" s="573"/>
      <c r="M52" s="573"/>
      <c r="N52" s="573"/>
      <c r="O52" s="573"/>
    </row>
    <row r="53" spans="1:15" ht="13.5">
      <c r="A53" s="572"/>
      <c r="B53" s="572"/>
      <c r="C53" s="572"/>
      <c r="D53" s="584"/>
      <c r="E53" s="419"/>
      <c r="F53" s="594"/>
      <c r="G53" s="585" t="s">
        <v>1089</v>
      </c>
      <c r="H53" s="573"/>
      <c r="I53" s="573"/>
      <c r="J53" s="573"/>
      <c r="K53" s="573"/>
      <c r="L53" s="573"/>
      <c r="M53" s="573"/>
      <c r="N53" s="573"/>
      <c r="O53" s="573"/>
    </row>
    <row r="54" spans="1:15" ht="13.5">
      <c r="A54" s="572"/>
      <c r="B54" s="572"/>
      <c r="C54" s="572"/>
      <c r="D54" s="595"/>
      <c r="E54" s="573"/>
      <c r="F54" s="573"/>
      <c r="G54" s="573"/>
      <c r="H54" s="573"/>
      <c r="I54" s="573"/>
      <c r="J54" s="573"/>
      <c r="K54" s="573"/>
      <c r="L54" s="573"/>
      <c r="M54" s="573"/>
      <c r="N54" s="573"/>
      <c r="O54" s="573"/>
    </row>
    <row r="55" spans="1:15" ht="13.5">
      <c r="A55" s="572">
        <v>5</v>
      </c>
      <c r="B55" s="572" t="s">
        <v>628</v>
      </c>
      <c r="C55" s="572" t="s">
        <v>601</v>
      </c>
      <c r="D55" s="579" t="s">
        <v>1096</v>
      </c>
      <c r="E55" s="573"/>
      <c r="F55" s="573"/>
      <c r="G55" s="573"/>
      <c r="H55" s="573"/>
      <c r="I55" s="573"/>
      <c r="J55" s="573"/>
      <c r="K55" s="573"/>
      <c r="L55" s="573"/>
      <c r="M55" s="573"/>
      <c r="N55" s="573"/>
      <c r="O55" s="573"/>
    </row>
    <row r="56" spans="1:15" ht="13.5">
      <c r="A56" s="572"/>
      <c r="B56" s="572"/>
      <c r="C56" s="572"/>
      <c r="D56" s="593">
        <v>1155666</v>
      </c>
      <c r="E56" s="573"/>
      <c r="F56" s="573"/>
      <c r="G56" s="573"/>
      <c r="H56" s="573"/>
      <c r="I56" s="573"/>
      <c r="J56" s="573"/>
      <c r="K56" s="573"/>
      <c r="L56" s="573"/>
      <c r="M56" s="573"/>
      <c r="N56" s="573"/>
      <c r="O56" s="573"/>
    </row>
    <row r="57" spans="1:15" ht="13.5">
      <c r="A57" s="596"/>
      <c r="B57" s="596"/>
      <c r="C57" s="596"/>
      <c r="D57" s="597"/>
      <c r="E57" s="597"/>
      <c r="F57" s="597"/>
      <c r="G57" s="597"/>
      <c r="H57" s="597"/>
      <c r="I57" s="597"/>
      <c r="J57" s="597"/>
      <c r="K57" s="597"/>
      <c r="L57" s="573"/>
      <c r="M57" s="573"/>
      <c r="N57" s="573"/>
      <c r="O57" s="573"/>
    </row>
    <row r="58" spans="1:15" ht="15.75">
      <c r="A58" s="596"/>
      <c r="B58" s="596"/>
      <c r="C58" s="596"/>
      <c r="D58" s="597"/>
      <c r="E58" s="597"/>
      <c r="F58" s="597"/>
      <c r="G58" s="597"/>
      <c r="H58" s="597"/>
      <c r="I58" s="597"/>
      <c r="J58" s="598"/>
      <c r="K58" s="597"/>
      <c r="L58" s="573"/>
      <c r="M58" s="573"/>
      <c r="N58" s="573"/>
      <c r="O58" s="573"/>
    </row>
    <row r="59" spans="1:15" ht="15.75">
      <c r="A59" s="596"/>
      <c r="B59" s="596"/>
      <c r="C59" s="596"/>
      <c r="D59" s="597"/>
      <c r="E59" s="597"/>
      <c r="F59" s="597"/>
      <c r="G59" s="597"/>
      <c r="H59" s="597"/>
      <c r="I59" s="597"/>
      <c r="J59" s="598"/>
      <c r="K59" s="597"/>
      <c r="L59" s="573"/>
      <c r="M59" s="577"/>
      <c r="N59" s="573"/>
      <c r="O59" s="573"/>
    </row>
    <row r="60" spans="1:15" ht="13.5">
      <c r="A60" s="572">
        <v>6</v>
      </c>
      <c r="B60" s="572" t="s">
        <v>626</v>
      </c>
      <c r="C60" s="572" t="s">
        <v>602</v>
      </c>
      <c r="D60" s="579" t="s">
        <v>1097</v>
      </c>
      <c r="E60" s="573"/>
      <c r="F60" s="573"/>
      <c r="G60" s="573"/>
      <c r="H60" s="573"/>
      <c r="I60" s="573"/>
      <c r="J60" s="573"/>
      <c r="K60" s="573"/>
      <c r="L60" s="573"/>
      <c r="M60" s="577"/>
      <c r="N60" s="573"/>
      <c r="O60" s="573"/>
    </row>
    <row r="61" spans="1:15" ht="13.5">
      <c r="A61" s="572"/>
      <c r="B61" s="572"/>
      <c r="C61" s="572"/>
      <c r="D61" s="599">
        <v>1155666</v>
      </c>
      <c r="E61" s="573" t="s">
        <v>657</v>
      </c>
      <c r="F61" s="573"/>
      <c r="G61" s="585" t="s">
        <v>1091</v>
      </c>
      <c r="H61" s="573"/>
      <c r="I61" s="573"/>
      <c r="J61" s="419"/>
      <c r="K61" s="573"/>
      <c r="L61" s="573"/>
      <c r="M61" s="577"/>
      <c r="N61" s="573"/>
      <c r="O61" s="573"/>
    </row>
    <row r="62" spans="1:15" ht="13.5">
      <c r="A62" s="572"/>
      <c r="B62" s="572"/>
      <c r="C62" s="572"/>
      <c r="D62" s="600"/>
      <c r="E62" s="626"/>
      <c r="F62" s="625"/>
      <c r="G62" s="626"/>
      <c r="H62" s="626"/>
      <c r="J62" s="573"/>
      <c r="K62" s="573"/>
      <c r="L62" s="573"/>
      <c r="M62" s="1740"/>
      <c r="N62" s="573"/>
      <c r="O62" s="573"/>
    </row>
    <row r="63" spans="1:15" ht="13.5">
      <c r="A63" s="572"/>
      <c r="B63" s="572"/>
      <c r="C63" s="572"/>
      <c r="D63" s="601"/>
      <c r="E63" s="573"/>
      <c r="F63" s="573"/>
      <c r="G63" s="573"/>
      <c r="H63" s="573"/>
      <c r="I63" s="573"/>
      <c r="J63" s="573"/>
      <c r="K63" s="573"/>
      <c r="L63" s="573"/>
      <c r="M63" s="577"/>
      <c r="N63" s="573"/>
      <c r="O63" s="573"/>
    </row>
    <row r="64" spans="1:15" ht="13.5">
      <c r="A64" s="572"/>
      <c r="B64" s="572"/>
      <c r="C64" s="572"/>
      <c r="D64" s="1794"/>
      <c r="E64" s="573"/>
      <c r="F64" s="573"/>
      <c r="G64" s="573"/>
      <c r="H64" s="588"/>
      <c r="I64" s="573"/>
      <c r="J64" s="573"/>
      <c r="K64" s="573"/>
      <c r="L64" s="573"/>
      <c r="M64" s="577"/>
      <c r="N64" s="626"/>
      <c r="O64" s="626"/>
    </row>
    <row r="65" spans="1:15" ht="13.5">
      <c r="A65" s="572">
        <v>7</v>
      </c>
      <c r="B65" s="572" t="s">
        <v>626</v>
      </c>
      <c r="C65" s="572" t="s">
        <v>602</v>
      </c>
      <c r="D65" s="579" t="s">
        <v>995</v>
      </c>
      <c r="E65" s="580"/>
      <c r="F65" s="580"/>
      <c r="G65" s="580"/>
      <c r="H65" s="580"/>
      <c r="I65" s="580"/>
      <c r="J65" s="580"/>
      <c r="K65" s="573"/>
      <c r="L65" s="573"/>
      <c r="M65" s="577"/>
      <c r="N65" s="626"/>
      <c r="O65" s="626"/>
    </row>
    <row r="66" spans="1:15" ht="13.5">
      <c r="A66" s="572"/>
      <c r="B66" s="572"/>
      <c r="C66" s="572"/>
      <c r="D66" s="602"/>
      <c r="E66" s="603"/>
      <c r="F66" s="603"/>
      <c r="G66" s="603"/>
      <c r="H66" s="580"/>
      <c r="I66" s="580"/>
      <c r="J66" s="580"/>
      <c r="K66" s="573"/>
      <c r="L66" s="573"/>
      <c r="M66" s="577"/>
      <c r="N66" s="626"/>
      <c r="O66" s="626"/>
    </row>
    <row r="67" spans="1:15" ht="13.5">
      <c r="A67" s="572"/>
      <c r="B67" s="572"/>
      <c r="C67" s="572"/>
      <c r="D67" s="604"/>
      <c r="E67" s="604"/>
      <c r="F67" s="604"/>
      <c r="G67" s="604"/>
      <c r="H67" s="604"/>
      <c r="I67" s="604"/>
      <c r="J67" s="604"/>
      <c r="K67" s="573"/>
      <c r="L67" s="594"/>
      <c r="M67" s="577"/>
      <c r="N67" s="626"/>
      <c r="O67" s="626"/>
    </row>
    <row r="68" spans="1:15" ht="13.5">
      <c r="A68" s="572"/>
      <c r="B68" s="573"/>
      <c r="C68" s="573"/>
      <c r="D68" s="419"/>
      <c r="E68" s="419"/>
      <c r="F68" s="419"/>
      <c r="G68" s="419"/>
      <c r="H68" s="419"/>
      <c r="I68" s="419"/>
      <c r="J68" s="573"/>
      <c r="K68" s="573"/>
      <c r="L68" s="588"/>
      <c r="M68" s="577"/>
      <c r="N68" s="1668"/>
      <c r="O68" s="626"/>
    </row>
    <row r="69" spans="1:15" ht="15.75">
      <c r="A69" s="572"/>
      <c r="B69" s="572"/>
      <c r="C69" s="572"/>
      <c r="D69" s="1944">
        <v>113406282</v>
      </c>
      <c r="E69" s="605" t="s">
        <v>980</v>
      </c>
      <c r="F69" s="573"/>
      <c r="G69" s="585" t="s">
        <v>1092</v>
      </c>
      <c r="H69" s="573"/>
      <c r="I69" s="573"/>
      <c r="J69" s="573"/>
      <c r="K69" s="573"/>
      <c r="L69" s="588"/>
      <c r="M69" s="577"/>
      <c r="N69" s="1668"/>
      <c r="O69" s="1669"/>
    </row>
    <row r="70" spans="1:15" ht="15.75">
      <c r="A70" s="420"/>
      <c r="B70" s="572"/>
      <c r="C70" s="572"/>
      <c r="D70" s="1945"/>
      <c r="E70" s="573" t="s">
        <v>1000</v>
      </c>
      <c r="F70" s="573"/>
      <c r="G70" s="577"/>
      <c r="H70" s="609"/>
      <c r="I70" s="577"/>
      <c r="J70" s="573"/>
      <c r="K70" s="573"/>
      <c r="L70" s="573"/>
      <c r="M70" s="577"/>
      <c r="N70" s="573"/>
      <c r="O70" s="573"/>
    </row>
    <row r="71" spans="1:15" ht="15.75">
      <c r="A71" s="572"/>
      <c r="B71" s="572"/>
      <c r="C71" s="572"/>
      <c r="D71" s="1946"/>
      <c r="E71" s="573"/>
      <c r="F71" s="573"/>
      <c r="G71" s="577"/>
      <c r="H71" s="609"/>
      <c r="I71" s="577"/>
      <c r="J71" s="573"/>
      <c r="K71" s="573"/>
      <c r="L71" s="573"/>
      <c r="M71" s="1740"/>
      <c r="N71" s="626"/>
      <c r="O71" s="626"/>
    </row>
    <row r="72" spans="1:15" ht="15.75">
      <c r="A72" s="420"/>
      <c r="B72" s="572"/>
      <c r="C72" s="572"/>
      <c r="D72" s="1944"/>
      <c r="E72" s="573" t="s">
        <v>421</v>
      </c>
      <c r="F72" s="573"/>
      <c r="G72" s="577"/>
      <c r="H72" s="609"/>
      <c r="I72" s="577"/>
      <c r="J72" s="573"/>
      <c r="K72" s="573"/>
      <c r="L72" s="573"/>
      <c r="M72" s="577"/>
      <c r="N72" s="626"/>
      <c r="O72" s="626"/>
    </row>
    <row r="73" spans="1:15" ht="13.5">
      <c r="A73" s="420"/>
      <c r="B73" s="572"/>
      <c r="C73" s="572"/>
      <c r="D73" s="419"/>
      <c r="E73" s="665"/>
      <c r="F73" s="573"/>
      <c r="G73" s="577"/>
      <c r="H73" s="609"/>
      <c r="I73" s="577"/>
      <c r="J73" s="573"/>
      <c r="K73" s="573"/>
      <c r="L73" s="573"/>
      <c r="M73" s="573"/>
      <c r="N73" s="588"/>
      <c r="O73" s="573"/>
    </row>
    <row r="74" spans="1:15" ht="13.5">
      <c r="A74" s="572"/>
      <c r="B74" s="572"/>
      <c r="C74" s="572"/>
      <c r="D74" s="605"/>
      <c r="E74" s="573"/>
      <c r="F74" s="573"/>
      <c r="G74" s="577"/>
      <c r="H74" s="609"/>
      <c r="I74" s="577"/>
      <c r="J74" s="573"/>
      <c r="K74" s="573"/>
      <c r="L74" s="573"/>
      <c r="M74" s="573"/>
      <c r="N74" s="573"/>
      <c r="O74" s="573"/>
    </row>
    <row r="75" spans="1:15" ht="13.5">
      <c r="A75" s="572">
        <v>8</v>
      </c>
      <c r="B75" s="572" t="s">
        <v>626</v>
      </c>
      <c r="C75" s="572" t="s">
        <v>602</v>
      </c>
      <c r="D75" s="579" t="s">
        <v>981</v>
      </c>
      <c r="E75" s="573"/>
      <c r="F75" s="573"/>
      <c r="G75" s="573"/>
      <c r="H75" s="573"/>
      <c r="I75" s="573"/>
      <c r="J75" s="1740"/>
      <c r="K75" s="573"/>
      <c r="L75" s="573"/>
      <c r="M75" s="1744"/>
      <c r="N75" s="573"/>
      <c r="O75" s="573"/>
    </row>
    <row r="76" spans="1:15" ht="13.5">
      <c r="A76" s="572"/>
      <c r="B76" s="572"/>
      <c r="C76" s="572"/>
      <c r="D76" s="579"/>
      <c r="E76" s="573"/>
      <c r="F76" s="573"/>
      <c r="G76" s="573"/>
      <c r="H76" s="573"/>
      <c r="I76" s="573"/>
      <c r="J76" s="573"/>
      <c r="K76" s="573"/>
      <c r="L76" s="573"/>
      <c r="M76" s="573"/>
      <c r="N76" s="573"/>
      <c r="O76" s="573"/>
    </row>
    <row r="77" spans="1:15" ht="13.5">
      <c r="A77" s="575"/>
      <c r="B77" s="575"/>
      <c r="C77" s="572"/>
      <c r="D77" s="418" t="s">
        <v>944</v>
      </c>
      <c r="E77" s="419"/>
      <c r="F77" s="419"/>
      <c r="G77" s="419"/>
      <c r="H77" s="419"/>
      <c r="I77" s="419"/>
      <c r="K77" s="419"/>
      <c r="L77" s="573"/>
      <c r="M77" s="573"/>
      <c r="N77" s="573"/>
      <c r="O77" s="573"/>
    </row>
    <row r="78" spans="1:15" ht="13.5">
      <c r="A78" s="575"/>
      <c r="B78" s="575"/>
      <c r="C78" s="572"/>
      <c r="D78" s="419"/>
      <c r="E78" s="573" t="s">
        <v>1001</v>
      </c>
      <c r="F78" s="573"/>
      <c r="G78" s="573"/>
      <c r="H78" s="573"/>
      <c r="I78" s="573"/>
      <c r="J78" s="573"/>
      <c r="K78" s="419"/>
      <c r="L78" s="573"/>
      <c r="M78" s="573"/>
      <c r="N78" s="573"/>
      <c r="O78" s="573"/>
    </row>
    <row r="79" spans="1:15" ht="27">
      <c r="A79" s="575"/>
      <c r="B79" s="575"/>
      <c r="C79" s="572"/>
      <c r="D79" s="419"/>
      <c r="E79" s="828" t="s">
        <v>622</v>
      </c>
      <c r="F79" s="828" t="s">
        <v>1002</v>
      </c>
      <c r="G79" s="828" t="s">
        <v>1003</v>
      </c>
      <c r="H79" s="828" t="s">
        <v>1004</v>
      </c>
      <c r="I79" s="828" t="s">
        <v>1005</v>
      </c>
      <c r="J79" s="828" t="s">
        <v>1006</v>
      </c>
      <c r="K79" s="604"/>
      <c r="L79" s="573"/>
      <c r="M79" s="1762" t="s">
        <v>1101</v>
      </c>
      <c r="N79" s="625"/>
      <c r="O79" s="573"/>
    </row>
    <row r="80" spans="1:15" ht="13.5">
      <c r="A80" s="1745"/>
      <c r="B80" s="575"/>
      <c r="C80" s="572"/>
      <c r="D80" s="419"/>
      <c r="E80" s="573" t="s">
        <v>629</v>
      </c>
      <c r="F80" s="843">
        <v>2.2825944411654668</v>
      </c>
      <c r="G80" s="1348">
        <f>'WKSHT4 - Monthly Tx System Peak'!C9</f>
        <v>4922.5800847127593</v>
      </c>
      <c r="H80" s="626">
        <f>+F80*G80*1000</f>
        <v>11236253.937557178</v>
      </c>
      <c r="I80" s="1348">
        <f t="shared" ref="I80:I84" si="5">12722413/12</f>
        <v>1060201.0833333333</v>
      </c>
      <c r="J80" s="626">
        <f>+H80-I80</f>
        <v>10176052.854223844</v>
      </c>
      <c r="K80" s="419"/>
      <c r="L80" s="573"/>
      <c r="M80" s="1348"/>
      <c r="N80" s="611"/>
      <c r="O80" s="573"/>
    </row>
    <row r="81" spans="1:16" ht="13.5">
      <c r="A81" s="575"/>
      <c r="B81" s="575"/>
      <c r="C81" s="572"/>
      <c r="D81" s="419"/>
      <c r="E81" s="573" t="s">
        <v>630</v>
      </c>
      <c r="F81" s="843">
        <v>2.2825944411654668</v>
      </c>
      <c r="G81" s="1348">
        <f>'WKSHT4 - Monthly Tx System Peak'!C10</f>
        <v>5091.04459591042</v>
      </c>
      <c r="H81" s="626">
        <f t="shared" ref="H81:H91" si="6">+F81*G81*1000</f>
        <v>11620790.094350616</v>
      </c>
      <c r="I81" s="1348">
        <f t="shared" si="5"/>
        <v>1060201.0833333333</v>
      </c>
      <c r="J81" s="626">
        <f t="shared" ref="J81:J91" si="7">+H81-I81</f>
        <v>10560589.011017282</v>
      </c>
      <c r="K81" s="419"/>
      <c r="L81" s="573"/>
      <c r="M81" s="1348"/>
      <c r="N81" s="2014"/>
      <c r="O81" s="573"/>
    </row>
    <row r="82" spans="1:16" ht="13.5">
      <c r="A82" s="575"/>
      <c r="B82" s="575"/>
      <c r="C82" s="572"/>
      <c r="D82" s="419"/>
      <c r="E82" s="573" t="s">
        <v>631</v>
      </c>
      <c r="F82" s="843">
        <v>2.2825944411654668</v>
      </c>
      <c r="G82" s="1348">
        <f>'WKSHT4 - Monthly Tx System Peak'!C11</f>
        <v>4681.68175559883</v>
      </c>
      <c r="H82" s="626">
        <f t="shared" si="6"/>
        <v>10686380.750635674</v>
      </c>
      <c r="I82" s="1348">
        <f t="shared" si="5"/>
        <v>1060201.0833333333</v>
      </c>
      <c r="J82" s="626">
        <f t="shared" si="7"/>
        <v>9626179.6673023403</v>
      </c>
      <c r="K82" s="419"/>
      <c r="L82" s="573"/>
      <c r="M82" s="611"/>
      <c r="N82" s="2014"/>
      <c r="O82" s="573"/>
    </row>
    <row r="83" spans="1:16" ht="13.5">
      <c r="A83" s="575"/>
      <c r="B83" s="575"/>
      <c r="C83" s="572"/>
      <c r="D83" s="419"/>
      <c r="E83" s="573" t="s">
        <v>632</v>
      </c>
      <c r="F83" s="843">
        <v>2.2825944411654668</v>
      </c>
      <c r="G83" s="1348">
        <f>'WKSHT4 - Monthly Tx System Peak'!C13</f>
        <v>4276</v>
      </c>
      <c r="H83" s="626">
        <f t="shared" si="6"/>
        <v>9760373.8304235358</v>
      </c>
      <c r="I83" s="1348">
        <f t="shared" si="5"/>
        <v>1060201.0833333333</v>
      </c>
      <c r="J83" s="626">
        <f t="shared" si="7"/>
        <v>8700172.7470902018</v>
      </c>
      <c r="K83" s="419"/>
      <c r="L83" s="573"/>
      <c r="M83" s="1348"/>
      <c r="N83" s="611"/>
      <c r="O83" s="573"/>
    </row>
    <row r="84" spans="1:16" ht="13.5">
      <c r="A84" s="575"/>
      <c r="B84" s="575"/>
      <c r="C84" s="572"/>
      <c r="D84" s="419"/>
      <c r="E84" s="573" t="s">
        <v>627</v>
      </c>
      <c r="F84" s="843">
        <v>2.2825944411654668</v>
      </c>
      <c r="G84" s="1348">
        <f>'WKSHT4 - Monthly Tx System Peak'!C14</f>
        <v>3795</v>
      </c>
      <c r="H84" s="626">
        <f>+F84*G84*1000</f>
        <v>8662445.9042229466</v>
      </c>
      <c r="I84" s="1348">
        <f t="shared" si="5"/>
        <v>1060201.0833333333</v>
      </c>
      <c r="J84" s="626">
        <f t="shared" si="7"/>
        <v>7602244.8208896136</v>
      </c>
      <c r="K84" s="419"/>
      <c r="L84" s="573"/>
      <c r="M84" s="611"/>
      <c r="N84" s="611"/>
      <c r="O84" s="573"/>
      <c r="P84" s="428"/>
    </row>
    <row r="85" spans="1:16" ht="15.75">
      <c r="A85" s="575"/>
      <c r="B85" s="575"/>
      <c r="C85" s="572"/>
      <c r="D85" s="419"/>
      <c r="E85" s="573" t="s">
        <v>633</v>
      </c>
      <c r="F85" s="843">
        <v>2.2180177286045519</v>
      </c>
      <c r="G85" s="1348">
        <f>'WKSHT4 - Monthly Tx System Peak'!C15</f>
        <v>4242</v>
      </c>
      <c r="H85" s="626">
        <f t="shared" si="6"/>
        <v>9408831.2047405094</v>
      </c>
      <c r="I85" s="1348">
        <f>3747793/12</f>
        <v>312316.08333333331</v>
      </c>
      <c r="J85" s="626">
        <f t="shared" si="7"/>
        <v>9096515.1214071754</v>
      </c>
      <c r="K85" s="419"/>
      <c r="L85" s="573"/>
      <c r="M85" s="1763">
        <f>SUM(M80:M84)</f>
        <v>0</v>
      </c>
      <c r="N85" s="577" t="s">
        <v>1102</v>
      </c>
      <c r="O85" s="573"/>
    </row>
    <row r="86" spans="1:16" ht="13.5">
      <c r="A86" s="575"/>
      <c r="B86" s="575"/>
      <c r="C86" s="572"/>
      <c r="D86" s="419"/>
      <c r="E86" s="573" t="s">
        <v>634</v>
      </c>
      <c r="F86" s="843">
        <v>2.2180177286045519</v>
      </c>
      <c r="G86" s="1348">
        <f>'WKSHT4 - Monthly Tx System Peak'!C17</f>
        <v>4562</v>
      </c>
      <c r="H86" s="626">
        <f t="shared" si="6"/>
        <v>10118596.877893966</v>
      </c>
      <c r="I86" s="1348">
        <f t="shared" ref="I86:I91" si="8">3747793/12</f>
        <v>312316.08333333331</v>
      </c>
      <c r="J86" s="626">
        <f t="shared" si="7"/>
        <v>9806280.7945606317</v>
      </c>
      <c r="K86" s="419"/>
      <c r="L86" s="573"/>
      <c r="M86" s="626"/>
      <c r="N86" s="573"/>
      <c r="O86" s="573"/>
      <c r="P86" s="1856"/>
    </row>
    <row r="87" spans="1:16" ht="13.5">
      <c r="A87" s="575"/>
      <c r="B87" s="575"/>
      <c r="C87" s="572"/>
      <c r="D87" s="419"/>
      <c r="E87" s="573" t="s">
        <v>635</v>
      </c>
      <c r="F87" s="843">
        <v>2.2180177286045519</v>
      </c>
      <c r="G87" s="1348">
        <f>'WKSHT4 - Monthly Tx System Peak'!C18</f>
        <v>4328</v>
      </c>
      <c r="H87" s="626">
        <f t="shared" si="6"/>
        <v>9599580.7294005007</v>
      </c>
      <c r="I87" s="1348">
        <f t="shared" si="8"/>
        <v>312316.08333333331</v>
      </c>
      <c r="J87" s="626">
        <f t="shared" si="7"/>
        <v>9287264.6460671667</v>
      </c>
      <c r="K87" s="419"/>
      <c r="L87" s="573"/>
      <c r="M87" s="626"/>
      <c r="N87" s="573"/>
      <c r="O87" s="573"/>
    </row>
    <row r="88" spans="1:16" ht="13.5">
      <c r="A88" s="1745"/>
      <c r="B88" s="575"/>
      <c r="C88" s="572"/>
      <c r="D88" s="419"/>
      <c r="E88" s="573" t="s">
        <v>636</v>
      </c>
      <c r="F88" s="843">
        <v>2.2180177286045519</v>
      </c>
      <c r="G88" s="1348">
        <f>'WKSHT4 - Monthly Tx System Peak'!C19</f>
        <v>3807</v>
      </c>
      <c r="H88" s="626">
        <f t="shared" si="6"/>
        <v>8443993.4927975293</v>
      </c>
      <c r="I88" s="1348">
        <f t="shared" si="8"/>
        <v>312316.08333333331</v>
      </c>
      <c r="J88" s="626">
        <f t="shared" si="7"/>
        <v>8131677.4094641963</v>
      </c>
      <c r="K88" s="419"/>
      <c r="L88" s="573"/>
      <c r="M88" s="626"/>
      <c r="N88" s="573"/>
      <c r="O88" s="573"/>
    </row>
    <row r="89" spans="1:16" ht="13.5">
      <c r="A89" s="575"/>
      <c r="B89" s="575"/>
      <c r="C89" s="572"/>
      <c r="D89" s="419"/>
      <c r="E89" s="573" t="s">
        <v>637</v>
      </c>
      <c r="F89" s="843">
        <v>2.2180177286045519</v>
      </c>
      <c r="G89" s="1348">
        <f>'WKSHT4 - Monthly Tx System Peak'!C21</f>
        <v>3890</v>
      </c>
      <c r="H89" s="626">
        <f t="shared" si="6"/>
        <v>8628088.9642717075</v>
      </c>
      <c r="I89" s="1348">
        <f t="shared" si="8"/>
        <v>312316.08333333331</v>
      </c>
      <c r="J89" s="626">
        <f t="shared" si="7"/>
        <v>8315772.8809383744</v>
      </c>
      <c r="K89" s="419"/>
      <c r="L89" s="573"/>
      <c r="M89" s="626"/>
      <c r="N89" s="573"/>
      <c r="O89" s="573"/>
    </row>
    <row r="90" spans="1:16" ht="13.5">
      <c r="A90" s="575"/>
      <c r="B90" s="575"/>
      <c r="C90" s="572"/>
      <c r="D90" s="419"/>
      <c r="E90" s="573" t="s">
        <v>638</v>
      </c>
      <c r="F90" s="843">
        <v>2.2180177286045519</v>
      </c>
      <c r="G90" s="1348">
        <f>'WKSHT4 - Monthly Tx System Peak'!C22</f>
        <v>4940</v>
      </c>
      <c r="H90" s="626">
        <f t="shared" si="6"/>
        <v>10957007.579306487</v>
      </c>
      <c r="I90" s="1348">
        <f t="shared" si="8"/>
        <v>312316.08333333331</v>
      </c>
      <c r="J90" s="626">
        <f t="shared" si="7"/>
        <v>10644691.495973153</v>
      </c>
      <c r="K90" s="419"/>
      <c r="L90" s="573"/>
      <c r="M90" s="626"/>
      <c r="N90" s="573"/>
      <c r="O90" s="573"/>
    </row>
    <row r="91" spans="1:16" ht="13.5">
      <c r="A91" s="575"/>
      <c r="B91" s="575"/>
      <c r="C91" s="572"/>
      <c r="D91" s="419"/>
      <c r="E91" s="573" t="s">
        <v>639</v>
      </c>
      <c r="F91" s="843">
        <v>2.2180177286045519</v>
      </c>
      <c r="G91" s="1348">
        <f>'WKSHT4 - Monthly Tx System Peak'!C23</f>
        <v>5619</v>
      </c>
      <c r="H91" s="626">
        <f t="shared" si="6"/>
        <v>12463041.617028978</v>
      </c>
      <c r="I91" s="1348">
        <f t="shared" si="8"/>
        <v>312316.08333333331</v>
      </c>
      <c r="J91" s="626">
        <f t="shared" si="7"/>
        <v>12150725.533695644</v>
      </c>
      <c r="K91" s="1746"/>
      <c r="L91" s="573"/>
      <c r="N91" s="573"/>
      <c r="O91" s="573"/>
    </row>
    <row r="92" spans="1:16" ht="13.5">
      <c r="A92" s="575"/>
      <c r="B92" s="575"/>
      <c r="C92" s="572"/>
      <c r="D92" s="573"/>
      <c r="E92" s="573" t="s">
        <v>1007</v>
      </c>
      <c r="F92" s="612"/>
      <c r="G92" s="612"/>
      <c r="H92" s="612"/>
      <c r="I92" s="612"/>
      <c r="J92" s="626">
        <f>SUM(J80:J91)</f>
        <v>114098166.98262963</v>
      </c>
      <c r="K92" s="419"/>
      <c r="L92" s="573"/>
      <c r="N92" s="573"/>
      <c r="O92" s="573"/>
    </row>
    <row r="93" spans="1:16" ht="13.5">
      <c r="A93" s="575"/>
      <c r="B93" s="575"/>
      <c r="C93" s="572"/>
      <c r="D93" s="573"/>
      <c r="E93" s="612"/>
      <c r="F93" s="612"/>
      <c r="G93" s="612"/>
      <c r="H93" s="612"/>
      <c r="I93" s="612"/>
      <c r="J93" s="1783"/>
      <c r="K93" s="419"/>
      <c r="L93" s="573"/>
      <c r="N93" s="573"/>
      <c r="O93" s="573"/>
    </row>
    <row r="94" spans="1:16" ht="13.5">
      <c r="A94" s="575"/>
      <c r="B94" s="575"/>
      <c r="C94" s="572"/>
      <c r="D94" s="573" t="s">
        <v>371</v>
      </c>
      <c r="E94" s="612"/>
      <c r="F94" s="612"/>
      <c r="G94" s="612"/>
      <c r="H94" s="612"/>
      <c r="I94" s="612"/>
      <c r="J94" s="419"/>
      <c r="K94" s="419"/>
      <c r="L94" s="573"/>
      <c r="M94" s="626"/>
      <c r="N94" s="626"/>
      <c r="O94" s="573"/>
    </row>
    <row r="95" spans="1:16" ht="13.5">
      <c r="A95" s="575"/>
      <c r="B95" s="575"/>
      <c r="C95" s="572"/>
      <c r="D95" s="573"/>
      <c r="E95" s="573" t="s">
        <v>1001</v>
      </c>
      <c r="F95" s="573"/>
      <c r="G95" s="573"/>
      <c r="H95" s="573"/>
      <c r="I95" s="573"/>
      <c r="J95" s="573"/>
      <c r="K95" s="419"/>
      <c r="L95" s="573"/>
      <c r="M95" s="573"/>
      <c r="N95" s="573"/>
      <c r="O95" s="573"/>
    </row>
    <row r="96" spans="1:16" ht="27">
      <c r="A96" s="575"/>
      <c r="B96" s="575"/>
      <c r="C96" s="572"/>
      <c r="D96" s="573"/>
      <c r="E96" s="828" t="s">
        <v>622</v>
      </c>
      <c r="F96" s="828" t="s">
        <v>1002</v>
      </c>
      <c r="G96" s="828" t="s">
        <v>1003</v>
      </c>
      <c r="H96" s="828" t="s">
        <v>1004</v>
      </c>
      <c r="I96" s="828" t="s">
        <v>1005</v>
      </c>
      <c r="J96" s="828" t="s">
        <v>1006</v>
      </c>
      <c r="K96" s="604"/>
      <c r="L96" s="573"/>
      <c r="M96" s="573"/>
      <c r="N96" s="573"/>
      <c r="O96" s="573"/>
    </row>
    <row r="97" spans="1:16" ht="13.5">
      <c r="A97" s="575"/>
      <c r="B97" s="575"/>
      <c r="C97" s="572"/>
      <c r="D97" s="573"/>
      <c r="E97" s="573" t="s">
        <v>629</v>
      </c>
      <c r="F97" s="843">
        <v>7.7553577419471123E-2</v>
      </c>
      <c r="G97" s="1348">
        <f>G80</f>
        <v>4922.5800847127593</v>
      </c>
      <c r="H97" s="626">
        <f>+F97*G97*1000</f>
        <v>381763.6957033177</v>
      </c>
      <c r="I97" s="1348">
        <f t="shared" ref="I97:I101" si="9">-1670417/12</f>
        <v>-139201.41666666666</v>
      </c>
      <c r="J97" s="626">
        <f>+H97-I97</f>
        <v>520965.11236998439</v>
      </c>
      <c r="K97" s="419"/>
      <c r="L97" s="573"/>
      <c r="M97" s="573"/>
      <c r="N97" s="573"/>
      <c r="O97" s="573"/>
    </row>
    <row r="98" spans="1:16" ht="13.5">
      <c r="A98" s="575"/>
      <c r="B98" s="575"/>
      <c r="C98" s="572"/>
      <c r="D98" s="573"/>
      <c r="E98" s="573" t="s">
        <v>630</v>
      </c>
      <c r="F98" s="843">
        <v>7.7553577419471123E-2</v>
      </c>
      <c r="G98" s="1348">
        <f t="shared" ref="G98:G108" si="10">G81</f>
        <v>5091.04459591042</v>
      </c>
      <c r="H98" s="626">
        <f t="shared" ref="H98:H108" si="11">+F98*G98*1000</f>
        <v>394828.72121491889</v>
      </c>
      <c r="I98" s="1348">
        <f t="shared" si="9"/>
        <v>-139201.41666666666</v>
      </c>
      <c r="J98" s="626">
        <f t="shared" ref="J98:J108" si="12">+H98-I98</f>
        <v>534030.13788158551</v>
      </c>
      <c r="K98" s="419"/>
      <c r="L98" s="573"/>
      <c r="M98" s="573"/>
      <c r="N98" s="573"/>
      <c r="O98" s="573"/>
    </row>
    <row r="99" spans="1:16" ht="13.5">
      <c r="A99" s="1745"/>
      <c r="B99" s="575"/>
      <c r="C99" s="572"/>
      <c r="D99" s="573"/>
      <c r="E99" s="573" t="s">
        <v>631</v>
      </c>
      <c r="F99" s="843">
        <v>7.7553577419471123E-2</v>
      </c>
      <c r="G99" s="1348">
        <f t="shared" si="10"/>
        <v>4681.68175559883</v>
      </c>
      <c r="H99" s="626">
        <f t="shared" si="11"/>
        <v>363081.16848615935</v>
      </c>
      <c r="I99" s="1348">
        <f t="shared" si="9"/>
        <v>-139201.41666666666</v>
      </c>
      <c r="J99" s="626">
        <f t="shared" si="12"/>
        <v>502282.58515282604</v>
      </c>
      <c r="K99" s="419"/>
      <c r="L99" s="573"/>
      <c r="M99" s="573"/>
      <c r="N99" s="573"/>
      <c r="O99" s="573"/>
    </row>
    <row r="100" spans="1:16" ht="13.5">
      <c r="A100" s="575"/>
      <c r="B100" s="575"/>
      <c r="C100" s="572"/>
      <c r="D100" s="573"/>
      <c r="E100" s="573" t="s">
        <v>632</v>
      </c>
      <c r="F100" s="843">
        <v>7.7553577419471123E-2</v>
      </c>
      <c r="G100" s="1348">
        <f t="shared" si="10"/>
        <v>4276</v>
      </c>
      <c r="H100" s="626">
        <f t="shared" si="11"/>
        <v>331619.09704565851</v>
      </c>
      <c r="I100" s="1348">
        <f t="shared" si="9"/>
        <v>-139201.41666666666</v>
      </c>
      <c r="J100" s="626">
        <f t="shared" si="12"/>
        <v>470820.51371232513</v>
      </c>
      <c r="K100" s="419"/>
      <c r="L100" s="573"/>
      <c r="M100" s="573"/>
      <c r="N100" s="573"/>
      <c r="O100" s="573"/>
    </row>
    <row r="101" spans="1:16" ht="13.5">
      <c r="A101" s="575"/>
      <c r="B101" s="575"/>
      <c r="C101" s="572"/>
      <c r="D101" s="573"/>
      <c r="E101" s="573" t="s">
        <v>627</v>
      </c>
      <c r="F101" s="843">
        <v>7.7553577419471123E-2</v>
      </c>
      <c r="G101" s="1348">
        <f t="shared" si="10"/>
        <v>3795</v>
      </c>
      <c r="H101" s="626">
        <f t="shared" si="11"/>
        <v>294315.82630689291</v>
      </c>
      <c r="I101" s="1348">
        <f t="shared" si="9"/>
        <v>-139201.41666666666</v>
      </c>
      <c r="J101" s="626">
        <f t="shared" si="12"/>
        <v>433517.24297355954</v>
      </c>
      <c r="K101" s="419"/>
      <c r="L101" s="573"/>
      <c r="M101" s="573"/>
      <c r="N101" s="573"/>
      <c r="O101" s="573"/>
    </row>
    <row r="102" spans="1:16" ht="13.5">
      <c r="A102" s="575"/>
      <c r="B102" s="575"/>
      <c r="C102" s="572"/>
      <c r="D102" s="573"/>
      <c r="E102" s="573" t="s">
        <v>633</v>
      </c>
      <c r="F102" s="843">
        <v>9.4780474540803614E-2</v>
      </c>
      <c r="G102" s="1348">
        <f t="shared" si="10"/>
        <v>4242</v>
      </c>
      <c r="H102" s="626">
        <f t="shared" si="11"/>
        <v>402058.77300208888</v>
      </c>
      <c r="I102" s="1348">
        <f>-611047/12</f>
        <v>-50920.583333333336</v>
      </c>
      <c r="J102" s="626">
        <f t="shared" si="12"/>
        <v>452979.3563354222</v>
      </c>
      <c r="K102" s="419"/>
      <c r="L102" s="573"/>
      <c r="M102" s="573"/>
      <c r="N102" s="573"/>
      <c r="O102" s="573"/>
    </row>
    <row r="103" spans="1:16" ht="13.5">
      <c r="A103" s="575"/>
      <c r="B103" s="575"/>
      <c r="C103" s="572"/>
      <c r="D103" s="573"/>
      <c r="E103" s="573" t="s">
        <v>634</v>
      </c>
      <c r="F103" s="843">
        <v>9.4780474540803614E-2</v>
      </c>
      <c r="G103" s="1348">
        <f t="shared" si="10"/>
        <v>4562</v>
      </c>
      <c r="H103" s="626">
        <f t="shared" si="11"/>
        <v>432388.52485514613</v>
      </c>
      <c r="I103" s="1348">
        <f t="shared" ref="I103:I108" si="13">-611047/12</f>
        <v>-50920.583333333336</v>
      </c>
      <c r="J103" s="626">
        <f t="shared" si="12"/>
        <v>483309.10818847944</v>
      </c>
      <c r="K103" s="419"/>
      <c r="L103" s="573"/>
      <c r="M103" s="573"/>
      <c r="N103" s="573"/>
      <c r="O103" s="573"/>
    </row>
    <row r="104" spans="1:16" ht="13.5">
      <c r="A104" s="575"/>
      <c r="B104" s="575"/>
      <c r="C104" s="572"/>
      <c r="D104" s="573"/>
      <c r="E104" s="573" t="s">
        <v>635</v>
      </c>
      <c r="F104" s="843">
        <v>9.4780474540803614E-2</v>
      </c>
      <c r="G104" s="1348">
        <f t="shared" si="10"/>
        <v>4328</v>
      </c>
      <c r="H104" s="626">
        <f t="shared" si="11"/>
        <v>410209.89381259808</v>
      </c>
      <c r="I104" s="1348">
        <f t="shared" si="13"/>
        <v>-50920.583333333336</v>
      </c>
      <c r="J104" s="626">
        <f t="shared" si="12"/>
        <v>461130.47714593139</v>
      </c>
      <c r="K104" s="419"/>
      <c r="L104" s="573"/>
      <c r="M104" s="573"/>
      <c r="N104" s="573"/>
      <c r="O104" s="573"/>
    </row>
    <row r="105" spans="1:16" ht="13.5">
      <c r="A105" s="1745"/>
      <c r="B105" s="575"/>
      <c r="C105" s="572"/>
      <c r="D105" s="573"/>
      <c r="E105" s="573" t="s">
        <v>636</v>
      </c>
      <c r="F105" s="843">
        <v>9.4780474540803614E-2</v>
      </c>
      <c r="G105" s="1348">
        <f t="shared" si="10"/>
        <v>3807</v>
      </c>
      <c r="H105" s="626">
        <f t="shared" si="11"/>
        <v>360829.26657683938</v>
      </c>
      <c r="I105" s="1348">
        <f t="shared" si="13"/>
        <v>-50920.583333333336</v>
      </c>
      <c r="J105" s="626">
        <f t="shared" si="12"/>
        <v>411749.84991017269</v>
      </c>
      <c r="K105" s="419"/>
      <c r="L105" s="573"/>
      <c r="M105" s="573"/>
      <c r="N105" s="573"/>
    </row>
    <row r="106" spans="1:16" ht="13.5">
      <c r="A106" s="575"/>
      <c r="B106" s="575"/>
      <c r="C106" s="572"/>
      <c r="D106" s="573"/>
      <c r="E106" s="573" t="s">
        <v>637</v>
      </c>
      <c r="F106" s="843">
        <v>9.4780474540803614E-2</v>
      </c>
      <c r="G106" s="1348">
        <f t="shared" si="10"/>
        <v>3890</v>
      </c>
      <c r="H106" s="626">
        <f t="shared" si="11"/>
        <v>368696.04596372606</v>
      </c>
      <c r="I106" s="1348">
        <f t="shared" si="13"/>
        <v>-50920.583333333336</v>
      </c>
      <c r="J106" s="626">
        <f t="shared" si="12"/>
        <v>419616.62929705938</v>
      </c>
      <c r="K106" s="419"/>
      <c r="L106" s="573"/>
      <c r="M106" s="573"/>
      <c r="N106" s="573"/>
      <c r="O106" s="573"/>
    </row>
    <row r="107" spans="1:16" ht="13.5">
      <c r="A107" s="575"/>
      <c r="B107" s="575"/>
      <c r="C107" s="572"/>
      <c r="D107" s="573"/>
      <c r="E107" s="573" t="s">
        <v>638</v>
      </c>
      <c r="F107" s="843">
        <v>9.4780474540803614E-2</v>
      </c>
      <c r="G107" s="1348">
        <f t="shared" si="10"/>
        <v>4940</v>
      </c>
      <c r="H107" s="626">
        <f t="shared" si="11"/>
        <v>468215.54423156986</v>
      </c>
      <c r="I107" s="1348">
        <f t="shared" si="13"/>
        <v>-50920.583333333336</v>
      </c>
      <c r="J107" s="626">
        <f t="shared" si="12"/>
        <v>519136.12756490317</v>
      </c>
      <c r="K107" s="419"/>
      <c r="L107" s="573"/>
      <c r="M107" s="573"/>
      <c r="N107" s="573"/>
      <c r="O107" s="573"/>
      <c r="P107" s="428"/>
    </row>
    <row r="108" spans="1:16" ht="13.5">
      <c r="A108" s="575"/>
      <c r="B108" s="575"/>
      <c r="C108" s="572"/>
      <c r="D108" s="573"/>
      <c r="E108" s="573" t="s">
        <v>639</v>
      </c>
      <c r="F108" s="843">
        <v>9.4780474540803614E-2</v>
      </c>
      <c r="G108" s="1348">
        <f t="shared" si="10"/>
        <v>5619</v>
      </c>
      <c r="H108" s="626">
        <f t="shared" si="11"/>
        <v>532571.48644477548</v>
      </c>
      <c r="I108" s="1348">
        <f t="shared" si="13"/>
        <v>-50920.583333333336</v>
      </c>
      <c r="J108" s="626">
        <f t="shared" si="12"/>
        <v>583492.06977810885</v>
      </c>
      <c r="K108" s="419"/>
      <c r="L108" s="573"/>
      <c r="M108" s="573"/>
      <c r="N108" s="573"/>
      <c r="O108" s="573"/>
    </row>
    <row r="109" spans="1:16" ht="13.5">
      <c r="A109" s="575"/>
      <c r="B109" s="575"/>
      <c r="C109" s="572"/>
      <c r="D109" s="573"/>
      <c r="E109" s="573" t="s">
        <v>1007</v>
      </c>
      <c r="F109" s="612"/>
      <c r="G109" s="612"/>
      <c r="H109" s="612"/>
      <c r="I109" s="612"/>
      <c r="J109" s="626">
        <f>SUM(J97:J108)</f>
        <v>5793029.2103103576</v>
      </c>
      <c r="K109" s="419"/>
      <c r="L109" s="573"/>
      <c r="M109" s="573"/>
      <c r="N109" s="573"/>
      <c r="O109" s="573"/>
    </row>
    <row r="110" spans="1:16" ht="13.5">
      <c r="A110" s="575"/>
      <c r="B110" s="575"/>
      <c r="C110" s="572"/>
      <c r="D110" s="573"/>
      <c r="E110" s="612"/>
      <c r="F110" s="612"/>
      <c r="G110" s="612"/>
      <c r="H110" s="612"/>
      <c r="I110" s="612"/>
      <c r="J110" s="419"/>
      <c r="K110" s="419"/>
      <c r="L110" s="573"/>
      <c r="M110" s="573"/>
      <c r="N110" s="573"/>
      <c r="O110" s="573"/>
    </row>
    <row r="111" spans="1:16" ht="13.5">
      <c r="A111" s="575"/>
      <c r="B111" s="575"/>
      <c r="C111" s="572"/>
      <c r="D111" s="579"/>
      <c r="E111" s="573"/>
      <c r="F111" s="419"/>
      <c r="G111" s="573"/>
      <c r="H111" s="573"/>
      <c r="I111" s="573"/>
      <c r="J111" s="573"/>
      <c r="K111" s="573"/>
      <c r="L111" s="573"/>
      <c r="M111" s="573"/>
      <c r="N111" s="573"/>
      <c r="O111" s="573"/>
      <c r="P111" s="486"/>
    </row>
    <row r="112" spans="1:16" ht="31.5">
      <c r="A112" s="575"/>
      <c r="B112" s="575"/>
      <c r="C112" s="572"/>
      <c r="D112" s="574" t="s">
        <v>1008</v>
      </c>
      <c r="E112" s="1765"/>
      <c r="F112" s="1765" t="s">
        <v>983</v>
      </c>
      <c r="G112" s="573"/>
      <c r="H112" s="1766" t="s">
        <v>1103</v>
      </c>
      <c r="I112" s="573"/>
      <c r="J112" s="1767" t="s">
        <v>1104</v>
      </c>
      <c r="K112" s="185"/>
      <c r="L112" s="1768" t="s">
        <v>1105</v>
      </c>
      <c r="M112" s="573"/>
      <c r="N112" s="573"/>
      <c r="O112" s="573"/>
    </row>
    <row r="113" spans="1:15" ht="15.75">
      <c r="A113" s="575"/>
      <c r="B113" s="575"/>
      <c r="C113" s="1764" t="s">
        <v>1009</v>
      </c>
      <c r="D113" s="609">
        <f>+D69</f>
        <v>113406282</v>
      </c>
      <c r="E113" s="572" t="s">
        <v>422</v>
      </c>
      <c r="F113" s="609">
        <f>+J92</f>
        <v>114098166.98262963</v>
      </c>
      <c r="G113" s="572" t="s">
        <v>423</v>
      </c>
      <c r="H113" s="1744">
        <f>+D113-F113</f>
        <v>-691884.98262962699</v>
      </c>
      <c r="I113" s="1769" t="s">
        <v>422</v>
      </c>
      <c r="J113" s="1744">
        <f>M85</f>
        <v>0</v>
      </c>
      <c r="K113" s="1769" t="s">
        <v>423</v>
      </c>
      <c r="L113" s="609">
        <f>H113-J113</f>
        <v>-691884.98262962699</v>
      </c>
      <c r="M113" s="609"/>
      <c r="N113" s="609"/>
      <c r="O113" s="1770"/>
    </row>
    <row r="114" spans="1:15" ht="15.75">
      <c r="A114" s="575"/>
      <c r="B114" s="575"/>
      <c r="C114" s="1764" t="s">
        <v>371</v>
      </c>
      <c r="D114" s="613">
        <f>+D72</f>
        <v>0</v>
      </c>
      <c r="E114" s="572" t="s">
        <v>422</v>
      </c>
      <c r="F114" s="1744">
        <f>+J109</f>
        <v>5793029.2103103576</v>
      </c>
      <c r="G114" s="572" t="s">
        <v>423</v>
      </c>
      <c r="H114" s="1744">
        <f>+D114-F114</f>
        <v>-5793029.2103103576</v>
      </c>
      <c r="I114" s="1769" t="s">
        <v>422</v>
      </c>
      <c r="J114" s="1744">
        <v>0</v>
      </c>
      <c r="K114" s="1769" t="s">
        <v>423</v>
      </c>
      <c r="L114" s="609">
        <f>H114-J114</f>
        <v>-5793029.2103103576</v>
      </c>
      <c r="M114" s="609"/>
      <c r="N114" s="609"/>
      <c r="O114" s="577"/>
    </row>
    <row r="115" spans="1:15" ht="15.75">
      <c r="A115" s="575"/>
      <c r="B115" s="575"/>
      <c r="C115" s="1764" t="s">
        <v>851</v>
      </c>
      <c r="D115" s="613">
        <f>+D113+D114</f>
        <v>113406282</v>
      </c>
      <c r="E115" s="572" t="s">
        <v>422</v>
      </c>
      <c r="F115" s="1744">
        <f>+F113+F114</f>
        <v>119891196.19293998</v>
      </c>
      <c r="G115" s="572" t="s">
        <v>423</v>
      </c>
      <c r="H115" s="1744">
        <f>+H113+H114</f>
        <v>-6484914.1929399846</v>
      </c>
      <c r="I115" s="1769" t="s">
        <v>422</v>
      </c>
      <c r="J115" s="1744">
        <f>+J113+J114</f>
        <v>0</v>
      </c>
      <c r="K115" s="1769" t="s">
        <v>423</v>
      </c>
      <c r="L115" s="609">
        <f>H115-J115</f>
        <v>-6484914.1929399846</v>
      </c>
      <c r="M115" s="609"/>
      <c r="N115" s="609"/>
      <c r="O115" s="577"/>
    </row>
    <row r="116" spans="1:15" ht="15.75">
      <c r="A116" s="572"/>
      <c r="B116" s="572"/>
      <c r="C116" s="572"/>
      <c r="D116" s="613"/>
      <c r="E116" s="572"/>
      <c r="F116" s="1744"/>
      <c r="G116" s="572"/>
      <c r="H116" s="1744"/>
      <c r="I116" s="573"/>
      <c r="J116" s="176"/>
      <c r="K116" s="15"/>
      <c r="L116" s="15"/>
      <c r="M116" s="176"/>
      <c r="N116" s="577"/>
      <c r="O116" s="577"/>
    </row>
    <row r="117" spans="1:15" ht="15.75">
      <c r="A117" s="572"/>
      <c r="B117" s="572"/>
      <c r="C117" s="572"/>
      <c r="D117" s="613"/>
      <c r="E117" s="572"/>
      <c r="F117" s="1744"/>
      <c r="G117" s="572"/>
      <c r="H117" s="1744"/>
      <c r="I117" s="573"/>
      <c r="J117" s="176"/>
      <c r="K117" s="12"/>
      <c r="L117" s="12"/>
      <c r="M117" s="183"/>
      <c r="N117" s="573"/>
      <c r="O117" s="573"/>
    </row>
    <row r="118" spans="1:15" ht="15.75">
      <c r="A118" s="572"/>
      <c r="B118" s="572"/>
      <c r="C118" s="572"/>
      <c r="D118" s="1321" t="s">
        <v>640</v>
      </c>
      <c r="E118" s="575"/>
      <c r="F118" s="609"/>
      <c r="G118" s="572"/>
      <c r="H118" s="1744"/>
      <c r="I118" s="573"/>
      <c r="J118" s="176"/>
      <c r="K118" s="12"/>
      <c r="L118" s="12"/>
      <c r="M118" s="183"/>
      <c r="N118" s="573"/>
      <c r="O118" s="573"/>
    </row>
    <row r="119" spans="1:15" ht="15.75">
      <c r="A119" s="1733"/>
      <c r="B119" s="575"/>
      <c r="C119" s="572"/>
      <c r="D119" s="2012" t="s">
        <v>1010</v>
      </c>
      <c r="E119" s="2012"/>
      <c r="F119" s="1736">
        <v>6.3E-3</v>
      </c>
      <c r="G119" s="572"/>
      <c r="H119" s="1744"/>
      <c r="I119" s="573"/>
      <c r="J119" s="176"/>
      <c r="K119" s="12"/>
      <c r="L119" s="12"/>
      <c r="M119" s="183"/>
      <c r="N119" s="573"/>
      <c r="O119" s="573"/>
    </row>
    <row r="120" spans="1:15" ht="13.5">
      <c r="A120" s="572"/>
      <c r="B120" s="572"/>
      <c r="C120" s="572"/>
      <c r="D120" s="606" t="s">
        <v>622</v>
      </c>
      <c r="E120" s="572" t="s">
        <v>641</v>
      </c>
      <c r="G120" s="606" t="s">
        <v>1012</v>
      </c>
      <c r="H120" s="572"/>
      <c r="I120" s="606" t="s">
        <v>642</v>
      </c>
      <c r="J120" s="576" t="s">
        <v>1013</v>
      </c>
      <c r="K120" s="573"/>
      <c r="L120" s="573"/>
      <c r="M120" s="573"/>
      <c r="N120" s="573"/>
      <c r="O120" s="573"/>
    </row>
    <row r="121" spans="1:15" ht="13.5">
      <c r="A121" s="572"/>
      <c r="B121" s="572"/>
      <c r="C121" s="572"/>
      <c r="D121" s="572"/>
      <c r="E121" s="572"/>
      <c r="F121" s="572" t="s">
        <v>1014</v>
      </c>
      <c r="G121" s="572" t="s">
        <v>1015</v>
      </c>
      <c r="H121" s="572" t="s">
        <v>643</v>
      </c>
      <c r="I121" s="572"/>
      <c r="J121" s="572"/>
      <c r="K121" s="573" t="s">
        <v>1016</v>
      </c>
      <c r="L121" s="573"/>
      <c r="M121" s="573"/>
      <c r="N121" s="573"/>
      <c r="O121" s="573"/>
    </row>
    <row r="122" spans="1:15" ht="13.5">
      <c r="A122" s="572"/>
      <c r="B122" s="572"/>
      <c r="C122" s="572"/>
      <c r="D122" s="573" t="s">
        <v>629</v>
      </c>
      <c r="E122" s="573" t="s">
        <v>367</v>
      </c>
      <c r="F122" s="583">
        <f>+L115/12</f>
        <v>-540409.51607833209</v>
      </c>
      <c r="G122" s="1737">
        <f>F119</f>
        <v>6.3E-3</v>
      </c>
      <c r="H122" s="577">
        <v>12</v>
      </c>
      <c r="I122" s="583">
        <f>+F122*G122*H122</f>
        <v>-40854.959415521909</v>
      </c>
      <c r="J122" s="583">
        <f>+F122+I122</f>
        <v>-581264.47549385403</v>
      </c>
      <c r="K122" s="573" t="s">
        <v>1017</v>
      </c>
      <c r="L122" s="573"/>
      <c r="M122" s="573"/>
      <c r="N122" s="573"/>
      <c r="O122" s="573"/>
    </row>
    <row r="123" spans="1:15" ht="13.5">
      <c r="A123" s="572"/>
      <c r="B123" s="572"/>
      <c r="C123" s="572"/>
      <c r="D123" s="573" t="s">
        <v>630</v>
      </c>
      <c r="E123" s="573" t="s">
        <v>367</v>
      </c>
      <c r="F123" s="1744">
        <f t="shared" ref="F123:F133" si="14">+F122</f>
        <v>-540409.51607833209</v>
      </c>
      <c r="G123" s="1738">
        <f>G122</f>
        <v>6.3E-3</v>
      </c>
      <c r="H123" s="577">
        <v>11</v>
      </c>
      <c r="I123" s="583">
        <f t="shared" ref="I123:I133" si="15">+F123*G123*H123</f>
        <v>-37450.379464228412</v>
      </c>
      <c r="J123" s="583">
        <f t="shared" ref="J123:J133" si="16">+F123+I123</f>
        <v>-577859.89554256049</v>
      </c>
      <c r="K123" s="573" t="s">
        <v>1018</v>
      </c>
      <c r="L123" s="573"/>
      <c r="M123" s="573"/>
      <c r="N123" s="573"/>
      <c r="O123" s="573"/>
    </row>
    <row r="124" spans="1:15" ht="13.5">
      <c r="A124" s="572"/>
      <c r="B124" s="572"/>
      <c r="C124" s="572"/>
      <c r="D124" s="573" t="s">
        <v>631</v>
      </c>
      <c r="E124" s="573" t="s">
        <v>367</v>
      </c>
      <c r="F124" s="1744">
        <f t="shared" si="14"/>
        <v>-540409.51607833209</v>
      </c>
      <c r="G124" s="1738">
        <f t="shared" ref="G124:G133" si="17">G123</f>
        <v>6.3E-3</v>
      </c>
      <c r="H124" s="577">
        <v>10</v>
      </c>
      <c r="I124" s="583">
        <f t="shared" si="15"/>
        <v>-34045.799512934922</v>
      </c>
      <c r="J124" s="583">
        <f t="shared" si="16"/>
        <v>-574455.31559126696</v>
      </c>
      <c r="K124" s="573"/>
      <c r="L124" s="573"/>
      <c r="M124" s="573"/>
      <c r="N124" s="573"/>
      <c r="O124" s="573"/>
    </row>
    <row r="125" spans="1:15" ht="13.5">
      <c r="A125" s="572"/>
      <c r="B125" s="572"/>
      <c r="C125" s="572"/>
      <c r="D125" s="573" t="s">
        <v>632</v>
      </c>
      <c r="E125" s="573" t="s">
        <v>367</v>
      </c>
      <c r="F125" s="1744">
        <f t="shared" si="14"/>
        <v>-540409.51607833209</v>
      </c>
      <c r="G125" s="1738">
        <f t="shared" si="17"/>
        <v>6.3E-3</v>
      </c>
      <c r="H125" s="577">
        <v>9</v>
      </c>
      <c r="I125" s="583">
        <f t="shared" si="15"/>
        <v>-30641.219561641432</v>
      </c>
      <c r="J125" s="583">
        <f t="shared" si="16"/>
        <v>-571050.73563997354</v>
      </c>
      <c r="K125" s="573"/>
      <c r="L125" s="573"/>
      <c r="M125" s="573"/>
      <c r="N125" s="573"/>
      <c r="O125" s="573"/>
    </row>
    <row r="126" spans="1:15" ht="13.5">
      <c r="A126" s="572"/>
      <c r="B126" s="572"/>
      <c r="C126" s="572"/>
      <c r="D126" s="573" t="s">
        <v>627</v>
      </c>
      <c r="E126" s="573" t="s">
        <v>367</v>
      </c>
      <c r="F126" s="1744">
        <f t="shared" si="14"/>
        <v>-540409.51607833209</v>
      </c>
      <c r="G126" s="1738">
        <f t="shared" si="17"/>
        <v>6.3E-3</v>
      </c>
      <c r="H126" s="577">
        <v>8</v>
      </c>
      <c r="I126" s="583">
        <f t="shared" si="15"/>
        <v>-27236.639610347938</v>
      </c>
      <c r="J126" s="583">
        <f t="shared" si="16"/>
        <v>-567646.15568868001</v>
      </c>
      <c r="K126" s="573"/>
      <c r="L126" s="573"/>
      <c r="M126" s="573"/>
      <c r="N126" s="573"/>
      <c r="O126" s="573"/>
    </row>
    <row r="127" spans="1:15" ht="13.5">
      <c r="A127" s="572"/>
      <c r="B127" s="572"/>
      <c r="C127" s="572"/>
      <c r="D127" s="573" t="s">
        <v>633</v>
      </c>
      <c r="E127" s="573" t="s">
        <v>367</v>
      </c>
      <c r="F127" s="588">
        <f t="shared" si="14"/>
        <v>-540409.51607833209</v>
      </c>
      <c r="G127" s="1738">
        <f t="shared" si="17"/>
        <v>6.3E-3</v>
      </c>
      <c r="H127" s="577">
        <v>7</v>
      </c>
      <c r="I127" s="583">
        <f t="shared" si="15"/>
        <v>-23832.059659054445</v>
      </c>
      <c r="J127" s="583">
        <f t="shared" si="16"/>
        <v>-564241.57573738648</v>
      </c>
      <c r="K127" s="573"/>
      <c r="L127" s="573"/>
      <c r="M127" s="573"/>
      <c r="N127" s="573"/>
      <c r="O127" s="573"/>
    </row>
    <row r="128" spans="1:15" ht="13.5">
      <c r="A128" s="572"/>
      <c r="B128" s="572"/>
      <c r="C128" s="572"/>
      <c r="D128" s="573" t="s">
        <v>634</v>
      </c>
      <c r="E128" s="573" t="s">
        <v>367</v>
      </c>
      <c r="F128" s="588">
        <f t="shared" si="14"/>
        <v>-540409.51607833209</v>
      </c>
      <c r="G128" s="1738">
        <f t="shared" si="17"/>
        <v>6.3E-3</v>
      </c>
      <c r="H128" s="577">
        <v>6</v>
      </c>
      <c r="I128" s="583">
        <f t="shared" si="15"/>
        <v>-20427.479707760955</v>
      </c>
      <c r="J128" s="583">
        <f t="shared" si="16"/>
        <v>-560836.99578609306</v>
      </c>
      <c r="K128" s="573"/>
      <c r="L128" s="573"/>
      <c r="M128" s="573"/>
      <c r="N128" s="573"/>
      <c r="O128" s="573"/>
    </row>
    <row r="129" spans="1:15" ht="13.5">
      <c r="A129" s="572"/>
      <c r="B129" s="572"/>
      <c r="C129" s="572"/>
      <c r="D129" s="573" t="s">
        <v>635</v>
      </c>
      <c r="E129" s="573" t="s">
        <v>601</v>
      </c>
      <c r="F129" s="588">
        <f t="shared" si="14"/>
        <v>-540409.51607833209</v>
      </c>
      <c r="G129" s="1738">
        <f t="shared" si="17"/>
        <v>6.3E-3</v>
      </c>
      <c r="H129" s="577">
        <v>5</v>
      </c>
      <c r="I129" s="583">
        <f t="shared" si="15"/>
        <v>-17022.899756467461</v>
      </c>
      <c r="J129" s="583">
        <f t="shared" si="16"/>
        <v>-557432.41583479953</v>
      </c>
      <c r="K129" s="573"/>
      <c r="L129" s="573"/>
      <c r="M129" s="573"/>
      <c r="N129" s="573"/>
      <c r="O129" s="573"/>
    </row>
    <row r="130" spans="1:15" ht="13.5">
      <c r="A130" s="572"/>
      <c r="B130" s="572"/>
      <c r="C130" s="572"/>
      <c r="D130" s="573" t="s">
        <v>636</v>
      </c>
      <c r="E130" s="573" t="s">
        <v>601</v>
      </c>
      <c r="F130" s="588">
        <f t="shared" si="14"/>
        <v>-540409.51607833209</v>
      </c>
      <c r="G130" s="1738">
        <f t="shared" si="17"/>
        <v>6.3E-3</v>
      </c>
      <c r="H130" s="577">
        <v>4</v>
      </c>
      <c r="I130" s="583">
        <f t="shared" si="15"/>
        <v>-13618.319805173969</v>
      </c>
      <c r="J130" s="583">
        <f t="shared" si="16"/>
        <v>-554027.83588350611</v>
      </c>
      <c r="K130" s="573"/>
      <c r="L130" s="573"/>
      <c r="M130" s="573"/>
      <c r="N130" s="573"/>
      <c r="O130" s="573"/>
    </row>
    <row r="131" spans="1:15" ht="13.5">
      <c r="A131" s="572"/>
      <c r="B131" s="572"/>
      <c r="C131" s="572"/>
      <c r="D131" s="573" t="s">
        <v>637</v>
      </c>
      <c r="E131" s="573" t="s">
        <v>601</v>
      </c>
      <c r="F131" s="588">
        <f t="shared" si="14"/>
        <v>-540409.51607833209</v>
      </c>
      <c r="G131" s="1738">
        <f t="shared" si="17"/>
        <v>6.3E-3</v>
      </c>
      <c r="H131" s="577">
        <v>3</v>
      </c>
      <c r="I131" s="583">
        <f t="shared" si="15"/>
        <v>-10213.739853880477</v>
      </c>
      <c r="J131" s="583">
        <f t="shared" si="16"/>
        <v>-550623.25593221257</v>
      </c>
      <c r="K131" s="573"/>
      <c r="L131" s="573"/>
      <c r="M131" s="573"/>
      <c r="N131" s="573"/>
      <c r="O131" s="573"/>
    </row>
    <row r="132" spans="1:15" ht="13.5">
      <c r="A132" s="572"/>
      <c r="B132" s="572"/>
      <c r="C132" s="572"/>
      <c r="D132" s="573" t="s">
        <v>638</v>
      </c>
      <c r="E132" s="573" t="s">
        <v>601</v>
      </c>
      <c r="F132" s="588">
        <f t="shared" si="14"/>
        <v>-540409.51607833209</v>
      </c>
      <c r="G132" s="1738">
        <f t="shared" si="17"/>
        <v>6.3E-3</v>
      </c>
      <c r="H132" s="577">
        <v>2</v>
      </c>
      <c r="I132" s="583">
        <f t="shared" si="15"/>
        <v>-6809.1599025869846</v>
      </c>
      <c r="J132" s="583">
        <f t="shared" si="16"/>
        <v>-547218.67598091904</v>
      </c>
      <c r="K132" s="573"/>
      <c r="L132" s="573"/>
      <c r="M132" s="573"/>
      <c r="N132" s="573"/>
      <c r="O132" s="573"/>
    </row>
    <row r="133" spans="1:15" ht="13.5">
      <c r="A133" s="572"/>
      <c r="B133" s="572"/>
      <c r="C133" s="572"/>
      <c r="D133" s="573" t="s">
        <v>639</v>
      </c>
      <c r="E133" s="573" t="s">
        <v>601</v>
      </c>
      <c r="F133" s="588">
        <f t="shared" si="14"/>
        <v>-540409.51607833209</v>
      </c>
      <c r="G133" s="1738">
        <f t="shared" si="17"/>
        <v>6.3E-3</v>
      </c>
      <c r="H133" s="577">
        <v>1</v>
      </c>
      <c r="I133" s="583">
        <f t="shared" si="15"/>
        <v>-3404.5799512934923</v>
      </c>
      <c r="J133" s="583">
        <f t="shared" si="16"/>
        <v>-543814.09602962562</v>
      </c>
      <c r="K133" s="573"/>
      <c r="L133" s="573"/>
      <c r="M133" s="573"/>
      <c r="N133" s="573"/>
      <c r="O133" s="573"/>
    </row>
    <row r="134" spans="1:15" ht="13.5">
      <c r="A134" s="572"/>
      <c r="B134" s="572"/>
      <c r="C134" s="572"/>
      <c r="D134" s="573" t="s">
        <v>851</v>
      </c>
      <c r="E134" s="573"/>
      <c r="F134" s="588">
        <v>0</v>
      </c>
      <c r="G134" s="577"/>
      <c r="H134" s="577"/>
      <c r="I134" s="573"/>
      <c r="J134" s="583">
        <f>SUM(J122:J133)</f>
        <v>-6750471.4291408779</v>
      </c>
      <c r="K134" s="573"/>
      <c r="L134" s="573"/>
      <c r="M134" s="573"/>
      <c r="N134" s="573"/>
      <c r="O134" s="573"/>
    </row>
    <row r="135" spans="1:15" ht="27">
      <c r="A135" s="572"/>
      <c r="B135" s="572"/>
      <c r="C135" s="572"/>
      <c r="D135" s="573"/>
      <c r="E135" s="573"/>
      <c r="F135" s="606" t="s">
        <v>644</v>
      </c>
      <c r="G135" s="1739" t="s">
        <v>1019</v>
      </c>
      <c r="H135" s="1739" t="s">
        <v>1020</v>
      </c>
      <c r="I135" s="606" t="s">
        <v>642</v>
      </c>
      <c r="J135" s="583" t="str">
        <f>+J120</f>
        <v>Surcharge (Refund) Owed</v>
      </c>
      <c r="K135" s="573"/>
      <c r="L135" s="573"/>
      <c r="M135" s="573"/>
      <c r="N135" s="573"/>
      <c r="O135" s="573"/>
    </row>
    <row r="136" spans="1:15" ht="13.5">
      <c r="A136" s="572"/>
      <c r="B136" s="572"/>
      <c r="C136" s="572"/>
      <c r="D136" s="573" t="s">
        <v>629</v>
      </c>
      <c r="E136" s="573" t="s">
        <v>601</v>
      </c>
      <c r="F136" s="588">
        <f>+J134</f>
        <v>-6750471.4291408779</v>
      </c>
      <c r="G136" s="1738">
        <f>+G133</f>
        <v>6.3E-3</v>
      </c>
      <c r="H136" s="590">
        <v>0</v>
      </c>
      <c r="I136" s="583">
        <f t="shared" ref="I136:I141" si="18">+F136*G136</f>
        <v>-42527.970003587528</v>
      </c>
      <c r="J136" s="583">
        <f>+F136+I136-H136</f>
        <v>-6792999.3991444651</v>
      </c>
      <c r="K136" s="573"/>
      <c r="L136" s="573"/>
      <c r="M136" s="1740"/>
      <c r="N136" s="573"/>
      <c r="O136" s="573"/>
    </row>
    <row r="137" spans="1:15" ht="13.5">
      <c r="A137" s="572"/>
      <c r="B137" s="572"/>
      <c r="C137" s="572"/>
      <c r="D137" s="573" t="s">
        <v>630</v>
      </c>
      <c r="E137" s="573" t="s">
        <v>601</v>
      </c>
      <c r="F137" s="588">
        <f>+J136</f>
        <v>-6792999.3991444651</v>
      </c>
      <c r="G137" s="1738">
        <f>+G136</f>
        <v>6.3E-3</v>
      </c>
      <c r="H137" s="609">
        <v>0</v>
      </c>
      <c r="I137" s="583">
        <f t="shared" si="18"/>
        <v>-42795.896214610133</v>
      </c>
      <c r="J137" s="583">
        <f t="shared" ref="J137:J151" si="19">+F137+I137-H137</f>
        <v>-6835795.2953590751</v>
      </c>
      <c r="K137" s="573"/>
      <c r="L137" s="573"/>
      <c r="M137" s="577"/>
      <c r="N137" s="577"/>
      <c r="O137" s="577"/>
    </row>
    <row r="138" spans="1:15" ht="13.5">
      <c r="A138" s="572"/>
      <c r="B138" s="572"/>
      <c r="C138" s="572"/>
      <c r="D138" s="573" t="s">
        <v>631</v>
      </c>
      <c r="E138" s="573" t="s">
        <v>601</v>
      </c>
      <c r="F138" s="588">
        <f t="shared" ref="F138:F152" si="20">+J137</f>
        <v>-6835795.2953590751</v>
      </c>
      <c r="G138" s="1738">
        <f t="shared" ref="G138:G152" si="21">+G137</f>
        <v>6.3E-3</v>
      </c>
      <c r="H138" s="609">
        <v>0</v>
      </c>
      <c r="I138" s="583">
        <f t="shared" si="18"/>
        <v>-43065.510360762171</v>
      </c>
      <c r="J138" s="583">
        <f t="shared" si="19"/>
        <v>-6878860.8057198375</v>
      </c>
      <c r="K138" s="573"/>
      <c r="L138" s="573"/>
      <c r="M138" s="573"/>
      <c r="N138" s="573"/>
      <c r="O138" s="573"/>
    </row>
    <row r="139" spans="1:15" ht="13.5">
      <c r="A139" s="572"/>
      <c r="B139" s="572"/>
      <c r="C139" s="572"/>
      <c r="D139" s="573" t="s">
        <v>632</v>
      </c>
      <c r="E139" s="573" t="s">
        <v>601</v>
      </c>
      <c r="F139" s="588">
        <f t="shared" si="20"/>
        <v>-6878860.8057198375</v>
      </c>
      <c r="G139" s="1738">
        <f t="shared" si="21"/>
        <v>6.3E-3</v>
      </c>
      <c r="H139" s="609">
        <v>0</v>
      </c>
      <c r="I139" s="583">
        <f t="shared" si="18"/>
        <v>-43336.823076034976</v>
      </c>
      <c r="J139" s="583">
        <f t="shared" si="19"/>
        <v>-6922197.6287958724</v>
      </c>
      <c r="K139" s="616"/>
      <c r="L139" s="573"/>
      <c r="M139" s="573"/>
      <c r="N139" s="573"/>
      <c r="O139" s="573"/>
    </row>
    <row r="140" spans="1:15" ht="13.5">
      <c r="A140" s="572"/>
      <c r="B140" s="572"/>
      <c r="C140" s="572"/>
      <c r="D140" s="573" t="s">
        <v>627</v>
      </c>
      <c r="E140" s="573" t="s">
        <v>601</v>
      </c>
      <c r="F140" s="588">
        <f t="shared" si="20"/>
        <v>-6922197.6287958724</v>
      </c>
      <c r="G140" s="1738">
        <f t="shared" si="21"/>
        <v>6.3E-3</v>
      </c>
      <c r="H140" s="609">
        <v>0</v>
      </c>
      <c r="I140" s="583">
        <f t="shared" si="18"/>
        <v>-43609.845061413995</v>
      </c>
      <c r="J140" s="583">
        <f t="shared" si="19"/>
        <v>-6965807.4738572864</v>
      </c>
      <c r="K140" s="615"/>
      <c r="L140" s="573"/>
      <c r="M140" s="573"/>
      <c r="N140" s="573"/>
      <c r="O140" s="573"/>
    </row>
    <row r="141" spans="1:15" ht="13.5">
      <c r="A141" s="572"/>
      <c r="B141" s="572"/>
      <c r="C141" s="572"/>
      <c r="D141" s="573" t="s">
        <v>633</v>
      </c>
      <c r="E141" s="573" t="s">
        <v>601</v>
      </c>
      <c r="F141" s="588">
        <f t="shared" si="20"/>
        <v>-6965807.4738572864</v>
      </c>
      <c r="G141" s="1738">
        <f t="shared" si="21"/>
        <v>6.3E-3</v>
      </c>
      <c r="H141" s="590">
        <f>-PMT(G141,12,J140)</f>
        <v>-604528.43979687558</v>
      </c>
      <c r="I141" s="583">
        <f t="shared" si="18"/>
        <v>-43884.587085300904</v>
      </c>
      <c r="J141" s="583">
        <f>+F141+I141-H141</f>
        <v>-6405163.6211457122</v>
      </c>
      <c r="K141" s="573"/>
      <c r="L141" s="573"/>
      <c r="M141" s="573"/>
      <c r="N141" s="573"/>
      <c r="O141" s="573"/>
    </row>
    <row r="142" spans="1:15" ht="13.5">
      <c r="A142" s="572"/>
      <c r="B142" s="572"/>
      <c r="C142" s="572"/>
      <c r="D142" s="573" t="s">
        <v>634</v>
      </c>
      <c r="E142" s="573" t="s">
        <v>601</v>
      </c>
      <c r="F142" s="588">
        <f t="shared" si="20"/>
        <v>-6405163.6211457122</v>
      </c>
      <c r="G142" s="1738">
        <f t="shared" si="21"/>
        <v>6.3E-3</v>
      </c>
      <c r="H142" s="609">
        <f t="shared" ref="H142:H152" si="22">H141</f>
        <v>-604528.43979687558</v>
      </c>
      <c r="I142" s="583">
        <f t="shared" ref="I142:I152" si="23">+F142*G142</f>
        <v>-40352.530813217985</v>
      </c>
      <c r="J142" s="583">
        <f t="shared" si="19"/>
        <v>-5840987.7121620551</v>
      </c>
      <c r="K142" s="573"/>
      <c r="L142" s="573"/>
      <c r="M142" s="573"/>
      <c r="N142" s="573"/>
      <c r="O142" s="573"/>
    </row>
    <row r="143" spans="1:15" ht="13.5">
      <c r="A143" s="572"/>
      <c r="B143" s="572"/>
      <c r="C143" s="572"/>
      <c r="D143" s="573" t="s">
        <v>635</v>
      </c>
      <c r="E143" s="573" t="s">
        <v>601</v>
      </c>
      <c r="F143" s="588">
        <f t="shared" si="20"/>
        <v>-5840987.7121620551</v>
      </c>
      <c r="G143" s="1738">
        <f t="shared" si="21"/>
        <v>6.3E-3</v>
      </c>
      <c r="H143" s="609">
        <f t="shared" si="22"/>
        <v>-604528.43979687558</v>
      </c>
      <c r="I143" s="583">
        <f t="shared" si="23"/>
        <v>-36798.222586620948</v>
      </c>
      <c r="J143" s="583">
        <f t="shared" si="19"/>
        <v>-5273257.4949518004</v>
      </c>
      <c r="K143" s="573"/>
      <c r="L143" s="573"/>
      <c r="M143" s="573"/>
      <c r="N143" s="573"/>
      <c r="O143" s="573"/>
    </row>
    <row r="144" spans="1:15" ht="13.5">
      <c r="A144" s="572"/>
      <c r="B144" s="572"/>
      <c r="C144" s="572"/>
      <c r="D144" s="573" t="s">
        <v>636</v>
      </c>
      <c r="E144" s="573" t="s">
        <v>601</v>
      </c>
      <c r="F144" s="588">
        <f t="shared" si="20"/>
        <v>-5273257.4949518004</v>
      </c>
      <c r="G144" s="1738">
        <f t="shared" si="21"/>
        <v>6.3E-3</v>
      </c>
      <c r="H144" s="609">
        <f t="shared" si="22"/>
        <v>-604528.43979687558</v>
      </c>
      <c r="I144" s="583">
        <f t="shared" si="23"/>
        <v>-33221.52221819634</v>
      </c>
      <c r="J144" s="583">
        <f t="shared" si="19"/>
        <v>-4701950.5773731219</v>
      </c>
      <c r="K144" s="573"/>
      <c r="L144" s="573"/>
      <c r="M144" s="573"/>
      <c r="N144" s="573"/>
      <c r="O144" s="573"/>
    </row>
    <row r="145" spans="1:15" ht="13.5">
      <c r="A145" s="572"/>
      <c r="B145" s="572"/>
      <c r="C145" s="572"/>
      <c r="D145" s="573" t="s">
        <v>637</v>
      </c>
      <c r="E145" s="573" t="s">
        <v>601</v>
      </c>
      <c r="F145" s="588">
        <f t="shared" si="20"/>
        <v>-4701950.5773731219</v>
      </c>
      <c r="G145" s="1738">
        <f t="shared" si="21"/>
        <v>6.3E-3</v>
      </c>
      <c r="H145" s="609">
        <f t="shared" si="22"/>
        <v>-604528.43979687558</v>
      </c>
      <c r="I145" s="583">
        <f t="shared" si="23"/>
        <v>-29622.288637450667</v>
      </c>
      <c r="J145" s="583">
        <f>+F145+I145-H145</f>
        <v>-4127044.4262136971</v>
      </c>
      <c r="K145" s="573"/>
      <c r="L145" s="573"/>
      <c r="M145" s="573"/>
      <c r="N145" s="573"/>
      <c r="O145" s="573"/>
    </row>
    <row r="146" spans="1:15" ht="13.5">
      <c r="A146" s="572"/>
      <c r="B146" s="572"/>
      <c r="C146" s="572"/>
      <c r="D146" s="573" t="s">
        <v>638</v>
      </c>
      <c r="E146" s="573" t="s">
        <v>601</v>
      </c>
      <c r="F146" s="588">
        <f t="shared" si="20"/>
        <v>-4127044.4262136971</v>
      </c>
      <c r="G146" s="1738">
        <f t="shared" si="21"/>
        <v>6.3E-3</v>
      </c>
      <c r="H146" s="609">
        <f t="shared" si="22"/>
        <v>-604528.43979687558</v>
      </c>
      <c r="I146" s="583">
        <f t="shared" si="23"/>
        <v>-26000.379885146293</v>
      </c>
      <c r="J146" s="583">
        <f t="shared" si="19"/>
        <v>-3548516.3663019678</v>
      </c>
      <c r="K146" s="573"/>
      <c r="L146" s="573"/>
      <c r="M146" s="573"/>
      <c r="N146" s="573"/>
      <c r="O146" s="573"/>
    </row>
    <row r="147" spans="1:15" ht="13.5">
      <c r="A147" s="572"/>
      <c r="B147" s="572"/>
      <c r="C147" s="572"/>
      <c r="D147" s="573" t="s">
        <v>639</v>
      </c>
      <c r="E147" s="573" t="s">
        <v>601</v>
      </c>
      <c r="F147" s="588">
        <f t="shared" si="20"/>
        <v>-3548516.3663019678</v>
      </c>
      <c r="G147" s="1738">
        <f t="shared" si="21"/>
        <v>6.3E-3</v>
      </c>
      <c r="H147" s="609">
        <f t="shared" si="22"/>
        <v>-604528.43979687558</v>
      </c>
      <c r="I147" s="583">
        <f t="shared" si="23"/>
        <v>-22355.653107702397</v>
      </c>
      <c r="J147" s="583">
        <f t="shared" si="19"/>
        <v>-2966343.5796127943</v>
      </c>
      <c r="K147" s="573"/>
      <c r="L147" s="573"/>
      <c r="M147" s="573"/>
      <c r="N147" s="573"/>
      <c r="O147" s="573"/>
    </row>
    <row r="148" spans="1:15" ht="13.5">
      <c r="A148" s="572"/>
      <c r="B148" s="572"/>
      <c r="C148" s="572"/>
      <c r="D148" s="573" t="s">
        <v>629</v>
      </c>
      <c r="E148" s="573" t="s">
        <v>602</v>
      </c>
      <c r="F148" s="588">
        <f t="shared" si="20"/>
        <v>-2966343.5796127943</v>
      </c>
      <c r="G148" s="1738">
        <f t="shared" si="21"/>
        <v>6.3E-3</v>
      </c>
      <c r="H148" s="609">
        <f t="shared" si="22"/>
        <v>-604528.43979687558</v>
      </c>
      <c r="I148" s="583">
        <f t="shared" si="23"/>
        <v>-18687.964551560606</v>
      </c>
      <c r="J148" s="583">
        <f t="shared" si="19"/>
        <v>-2380503.1043674792</v>
      </c>
      <c r="K148" s="573"/>
      <c r="L148" s="573"/>
      <c r="M148" s="573"/>
      <c r="N148" s="573"/>
      <c r="O148" s="573"/>
    </row>
    <row r="149" spans="1:15" ht="13.5">
      <c r="A149" s="572"/>
      <c r="B149" s="572"/>
      <c r="C149" s="572"/>
      <c r="D149" s="573" t="s">
        <v>630</v>
      </c>
      <c r="E149" s="573" t="s">
        <v>602</v>
      </c>
      <c r="F149" s="588">
        <f t="shared" si="20"/>
        <v>-2380503.1043674792</v>
      </c>
      <c r="G149" s="1738">
        <f t="shared" si="21"/>
        <v>6.3E-3</v>
      </c>
      <c r="H149" s="609">
        <f t="shared" si="22"/>
        <v>-604528.43979687558</v>
      </c>
      <c r="I149" s="583">
        <f t="shared" si="23"/>
        <v>-14997.169557515119</v>
      </c>
      <c r="J149" s="583">
        <f t="shared" si="19"/>
        <v>-1790971.8341281186</v>
      </c>
      <c r="K149" s="573"/>
      <c r="L149" s="573"/>
      <c r="M149" s="573"/>
      <c r="N149" s="573"/>
      <c r="O149" s="573"/>
    </row>
    <row r="150" spans="1:15" ht="13.5">
      <c r="A150" s="572"/>
      <c r="B150" s="572"/>
      <c r="C150" s="572"/>
      <c r="D150" s="573" t="s">
        <v>631</v>
      </c>
      <c r="E150" s="573" t="s">
        <v>602</v>
      </c>
      <c r="F150" s="588">
        <f t="shared" si="20"/>
        <v>-1790971.8341281186</v>
      </c>
      <c r="G150" s="1738">
        <f t="shared" si="21"/>
        <v>6.3E-3</v>
      </c>
      <c r="H150" s="609">
        <f t="shared" si="22"/>
        <v>-604528.43979687558</v>
      </c>
      <c r="I150" s="583">
        <f>+F150*G150</f>
        <v>-11283.122555007147</v>
      </c>
      <c r="J150" s="583">
        <f t="shared" si="19"/>
        <v>-1197726.5168862501</v>
      </c>
      <c r="K150" s="573"/>
      <c r="L150" s="573"/>
      <c r="M150" s="573"/>
      <c r="N150" s="573"/>
      <c r="O150" s="573"/>
    </row>
    <row r="151" spans="1:15" ht="13.5">
      <c r="A151" s="572"/>
      <c r="B151" s="572"/>
      <c r="C151" s="572"/>
      <c r="D151" s="573" t="s">
        <v>632</v>
      </c>
      <c r="E151" s="573" t="s">
        <v>602</v>
      </c>
      <c r="F151" s="588">
        <f t="shared" si="20"/>
        <v>-1197726.5168862501</v>
      </c>
      <c r="G151" s="1738">
        <f t="shared" si="21"/>
        <v>6.3E-3</v>
      </c>
      <c r="H151" s="609">
        <f t="shared" si="22"/>
        <v>-604528.43979687558</v>
      </c>
      <c r="I151" s="583">
        <f t="shared" si="23"/>
        <v>-7545.6770563833761</v>
      </c>
      <c r="J151" s="583">
        <f t="shared" si="19"/>
        <v>-600743.75414575788</v>
      </c>
      <c r="K151" s="573"/>
      <c r="L151" s="573"/>
      <c r="M151" s="573"/>
      <c r="N151" s="573"/>
      <c r="O151" s="573"/>
    </row>
    <row r="152" spans="1:15" ht="13.5">
      <c r="A152" s="572"/>
      <c r="B152" s="572"/>
      <c r="C152" s="572"/>
      <c r="D152" s="573" t="s">
        <v>627</v>
      </c>
      <c r="E152" s="573" t="s">
        <v>602</v>
      </c>
      <c r="F152" s="588">
        <f t="shared" si="20"/>
        <v>-600743.75414575788</v>
      </c>
      <c r="G152" s="1738">
        <f t="shared" si="21"/>
        <v>6.3E-3</v>
      </c>
      <c r="H152" s="609">
        <f t="shared" si="22"/>
        <v>-604528.43979687558</v>
      </c>
      <c r="I152" s="583">
        <f t="shared" si="23"/>
        <v>-3784.6856511182746</v>
      </c>
      <c r="J152" s="583">
        <f>+F152-H152+I152</f>
        <v>-5.716174200642854E-10</v>
      </c>
      <c r="K152" s="573"/>
      <c r="L152" s="573"/>
      <c r="N152" s="573"/>
      <c r="O152" s="573"/>
    </row>
    <row r="153" spans="1:15" ht="13.5">
      <c r="A153" s="572"/>
      <c r="B153" s="572"/>
      <c r="C153" s="572"/>
      <c r="D153" s="573" t="s">
        <v>658</v>
      </c>
      <c r="E153" s="573"/>
      <c r="F153" s="573"/>
      <c r="G153" s="573"/>
      <c r="H153" s="588">
        <f>SUM(H136:H152)</f>
        <v>-7254341.2775625056</v>
      </c>
      <c r="I153" s="573"/>
      <c r="J153" s="573"/>
      <c r="K153" s="573"/>
      <c r="L153" s="573"/>
      <c r="M153" s="573"/>
      <c r="N153" s="573"/>
      <c r="O153" s="573"/>
    </row>
    <row r="154" spans="1:15" ht="13.5">
      <c r="B154" s="572"/>
      <c r="C154" s="572"/>
      <c r="D154" s="573"/>
      <c r="E154" s="573"/>
      <c r="F154" s="573"/>
      <c r="G154" s="573"/>
      <c r="H154" s="573"/>
      <c r="I154" s="573"/>
      <c r="J154" s="573"/>
      <c r="K154" s="573"/>
      <c r="L154" s="573"/>
      <c r="M154" s="573"/>
      <c r="N154" s="573"/>
      <c r="O154" s="573"/>
    </row>
    <row r="155" spans="1:15" ht="13.5">
      <c r="A155" s="420"/>
      <c r="B155" s="572"/>
      <c r="C155" s="572"/>
      <c r="D155" s="614" t="s">
        <v>982</v>
      </c>
      <c r="E155" s="572"/>
      <c r="F155" s="419"/>
      <c r="G155" s="572"/>
      <c r="H155" s="588">
        <f>+H153</f>
        <v>-7254341.2775625056</v>
      </c>
      <c r="I155" s="1901">
        <f>H155*L113/L115</f>
        <v>-773976.28395453643</v>
      </c>
      <c r="J155" s="1901">
        <f>H155*L114/L115</f>
        <v>-6480364.993607969</v>
      </c>
      <c r="K155" s="588"/>
      <c r="L155" s="573"/>
      <c r="M155" s="573"/>
      <c r="N155" s="573"/>
      <c r="O155" s="573"/>
    </row>
    <row r="156" spans="1:15" ht="13.5">
      <c r="A156" s="420"/>
      <c r="B156" s="572"/>
      <c r="C156" s="572"/>
      <c r="D156" s="614" t="s">
        <v>66</v>
      </c>
      <c r="E156" s="572"/>
      <c r="F156" s="419"/>
      <c r="G156" s="572"/>
      <c r="I156" s="617">
        <f>'ATT H-1 '!J286</f>
        <v>101322198.44103384</v>
      </c>
      <c r="J156" s="1536">
        <f>'Sch 1'!E16</f>
        <v>4905585</v>
      </c>
      <c r="K156" s="573"/>
      <c r="L156" s="573"/>
      <c r="M156" s="1734"/>
      <c r="N156" s="577"/>
      <c r="O156" s="573"/>
    </row>
    <row r="157" spans="1:15" ht="13.5">
      <c r="A157" s="420"/>
      <c r="B157" s="572"/>
      <c r="C157" s="572"/>
      <c r="D157" s="614" t="s">
        <v>67</v>
      </c>
      <c r="E157" s="572"/>
      <c r="F157" s="419"/>
      <c r="G157" s="572"/>
      <c r="I157" s="588">
        <f>+I155+I156</f>
        <v>100548222.15707931</v>
      </c>
      <c r="J157" s="1536">
        <f>SUM(J155:J156)</f>
        <v>-1574779.993607969</v>
      </c>
      <c r="K157" s="573"/>
      <c r="L157" s="573"/>
      <c r="M157" s="573"/>
      <c r="N157" s="573"/>
      <c r="O157" s="573"/>
    </row>
    <row r="158" spans="1:15" ht="13.5">
      <c r="A158" s="572"/>
      <c r="B158" s="572"/>
      <c r="C158" s="572"/>
      <c r="D158" s="605"/>
      <c r="E158" s="573"/>
      <c r="F158" s="573"/>
      <c r="G158" s="577"/>
      <c r="H158" s="609"/>
      <c r="I158" s="577"/>
      <c r="J158" s="573"/>
      <c r="K158" s="573"/>
      <c r="L158" s="573"/>
      <c r="M158" s="573"/>
      <c r="N158" s="573"/>
      <c r="O158" s="573"/>
    </row>
    <row r="159" spans="1:15" ht="13.5">
      <c r="A159" s="572">
        <v>9</v>
      </c>
      <c r="B159" s="572" t="s">
        <v>626</v>
      </c>
      <c r="C159" s="572" t="s">
        <v>602</v>
      </c>
      <c r="D159" s="579" t="s">
        <v>1109</v>
      </c>
      <c r="E159" s="573"/>
      <c r="F159" s="573"/>
      <c r="G159" s="573"/>
      <c r="H159" s="573"/>
      <c r="I159" s="573"/>
      <c r="J159" s="419"/>
      <c r="K159" s="573"/>
      <c r="L159" s="573"/>
      <c r="M159" s="573"/>
      <c r="N159" s="573"/>
      <c r="O159" s="573"/>
    </row>
    <row r="160" spans="1:15" ht="13.5">
      <c r="A160" s="572"/>
      <c r="B160" s="572"/>
      <c r="C160" s="572"/>
      <c r="D160" s="579"/>
      <c r="E160" s="573"/>
      <c r="F160" s="573"/>
      <c r="G160" s="573"/>
      <c r="H160" s="573"/>
      <c r="I160" s="573"/>
      <c r="J160" s="419"/>
      <c r="K160" s="573"/>
      <c r="L160" s="573"/>
      <c r="M160" s="573"/>
      <c r="N160" s="573"/>
      <c r="O160" s="573"/>
    </row>
    <row r="161" spans="1:15" ht="13.5">
      <c r="A161" s="572"/>
      <c r="B161" s="419"/>
      <c r="C161" s="479" t="s">
        <v>263</v>
      </c>
      <c r="D161" s="479" t="s">
        <v>264</v>
      </c>
      <c r="E161" s="479" t="s">
        <v>356</v>
      </c>
      <c r="F161" s="479" t="s">
        <v>265</v>
      </c>
      <c r="G161" s="479" t="s">
        <v>266</v>
      </c>
      <c r="H161" s="479" t="s">
        <v>262</v>
      </c>
      <c r="I161" s="479"/>
      <c r="J161" s="479" t="s">
        <v>570</v>
      </c>
      <c r="K161" s="479" t="s">
        <v>571</v>
      </c>
      <c r="L161" s="479" t="s">
        <v>963</v>
      </c>
      <c r="M161" s="575" t="s">
        <v>964</v>
      </c>
      <c r="N161" s="572" t="s">
        <v>965</v>
      </c>
      <c r="O161" s="572" t="s">
        <v>966</v>
      </c>
    </row>
    <row r="162" spans="1:15" ht="13.5">
      <c r="A162" s="572"/>
      <c r="B162" s="419"/>
      <c r="C162" s="572" t="s">
        <v>219</v>
      </c>
      <c r="D162" s="572" t="s">
        <v>219</v>
      </c>
      <c r="E162" s="572" t="s">
        <v>219</v>
      </c>
      <c r="F162" s="572" t="s">
        <v>219</v>
      </c>
      <c r="G162" s="572" t="s">
        <v>219</v>
      </c>
      <c r="H162" s="572" t="s">
        <v>219</v>
      </c>
      <c r="I162" s="572"/>
      <c r="J162" s="572" t="s">
        <v>72</v>
      </c>
      <c r="K162" s="572" t="s">
        <v>72</v>
      </c>
      <c r="L162" s="572" t="s">
        <v>72</v>
      </c>
      <c r="M162" s="572" t="s">
        <v>72</v>
      </c>
      <c r="N162" s="572" t="s">
        <v>72</v>
      </c>
      <c r="O162" s="572" t="s">
        <v>72</v>
      </c>
    </row>
    <row r="163" spans="1:15" ht="13.5">
      <c r="A163" s="572"/>
      <c r="B163" s="573"/>
      <c r="C163" s="572" t="s">
        <v>68</v>
      </c>
      <c r="D163" s="572" t="s">
        <v>68</v>
      </c>
      <c r="E163" s="572" t="s">
        <v>68</v>
      </c>
      <c r="F163" s="623"/>
      <c r="G163" s="623"/>
      <c r="H163" s="623"/>
      <c r="I163" s="572"/>
      <c r="J163" s="572" t="s">
        <v>73</v>
      </c>
      <c r="K163" s="572" t="s">
        <v>74</v>
      </c>
      <c r="L163" s="572" t="s">
        <v>75</v>
      </c>
      <c r="M163" s="572" t="s">
        <v>76</v>
      </c>
      <c r="N163" s="572" t="s">
        <v>77</v>
      </c>
      <c r="O163" s="572" t="s">
        <v>78</v>
      </c>
    </row>
    <row r="164" spans="1:15" ht="13.5">
      <c r="A164" s="2013"/>
      <c r="B164" s="573"/>
      <c r="C164" s="572" t="s">
        <v>569</v>
      </c>
      <c r="D164" s="572"/>
      <c r="E164" s="572"/>
      <c r="F164" s="572" t="s">
        <v>69</v>
      </c>
      <c r="G164" s="572" t="s">
        <v>70</v>
      </c>
      <c r="H164" s="572" t="s">
        <v>71</v>
      </c>
      <c r="I164" s="572"/>
      <c r="J164" s="572"/>
      <c r="K164" s="572"/>
      <c r="L164" s="572"/>
      <c r="M164" s="572"/>
      <c r="N164" s="572"/>
      <c r="O164" s="572"/>
    </row>
    <row r="165" spans="1:15" ht="13.5">
      <c r="A165" s="2013"/>
      <c r="B165" s="573"/>
      <c r="C165" s="572"/>
      <c r="D165" s="587"/>
      <c r="E165" s="587"/>
      <c r="F165" s="587"/>
      <c r="G165" s="572"/>
      <c r="H165" s="572"/>
      <c r="I165" s="622"/>
      <c r="J165" s="572"/>
      <c r="K165" s="572"/>
      <c r="L165" s="588"/>
      <c r="M165" s="572"/>
      <c r="N165" s="572"/>
      <c r="O165" s="583"/>
    </row>
    <row r="166" spans="1:15" ht="13.5">
      <c r="A166" s="2013"/>
      <c r="B166" s="573" t="s">
        <v>629</v>
      </c>
      <c r="C166" s="589">
        <v>2160655</v>
      </c>
      <c r="D166" s="589"/>
      <c r="E166" s="589"/>
      <c r="F166" s="589"/>
      <c r="G166" s="589"/>
      <c r="H166" s="589"/>
      <c r="I166" s="622"/>
      <c r="J166" s="588">
        <f>C166</f>
        <v>2160655</v>
      </c>
      <c r="K166" s="588">
        <f>E166</f>
        <v>0</v>
      </c>
      <c r="L166" s="588">
        <f>F166</f>
        <v>0</v>
      </c>
      <c r="M166" s="588">
        <f>G166</f>
        <v>0</v>
      </c>
      <c r="N166" s="588">
        <f>H166</f>
        <v>0</v>
      </c>
      <c r="O166" s="588">
        <f>I166</f>
        <v>0</v>
      </c>
    </row>
    <row r="167" spans="1:15" ht="13.5">
      <c r="A167" s="2013"/>
      <c r="B167" s="573" t="s">
        <v>630</v>
      </c>
      <c r="C167" s="589">
        <v>2909291</v>
      </c>
      <c r="D167" s="589"/>
      <c r="E167" s="589"/>
      <c r="F167" s="589"/>
      <c r="G167" s="589"/>
      <c r="H167" s="589"/>
      <c r="I167" s="622"/>
      <c r="J167" s="588">
        <f>J166+C167</f>
        <v>5069946</v>
      </c>
      <c r="K167" s="588">
        <f t="shared" ref="K167:K177" si="24">K166+E167</f>
        <v>0</v>
      </c>
      <c r="L167" s="588">
        <f t="shared" ref="L167:L177" si="25">L166+F167</f>
        <v>0</v>
      </c>
      <c r="M167" s="588">
        <f t="shared" ref="M167:M177" si="26">M166+G167</f>
        <v>0</v>
      </c>
      <c r="N167" s="588">
        <f t="shared" ref="N167:N177" si="27">N166+H167</f>
        <v>0</v>
      </c>
      <c r="O167" s="588">
        <f t="shared" ref="O167:O177" si="28">O166+I167</f>
        <v>0</v>
      </c>
    </row>
    <row r="168" spans="1:15" ht="13.5">
      <c r="A168" s="2013"/>
      <c r="B168" s="573" t="s">
        <v>631</v>
      </c>
      <c r="C168" s="589">
        <v>2128203</v>
      </c>
      <c r="D168" s="589"/>
      <c r="E168" s="589"/>
      <c r="F168" s="589"/>
      <c r="G168" s="589"/>
      <c r="H168" s="589"/>
      <c r="I168" s="622"/>
      <c r="J168" s="588">
        <f t="shared" ref="J168:J177" si="29">J167+C168</f>
        <v>7198149</v>
      </c>
      <c r="K168" s="588">
        <f t="shared" si="24"/>
        <v>0</v>
      </c>
      <c r="L168" s="588">
        <f t="shared" si="25"/>
        <v>0</v>
      </c>
      <c r="M168" s="588">
        <f t="shared" si="26"/>
        <v>0</v>
      </c>
      <c r="N168" s="588">
        <f t="shared" si="27"/>
        <v>0</v>
      </c>
      <c r="O168" s="588">
        <f t="shared" si="28"/>
        <v>0</v>
      </c>
    </row>
    <row r="169" spans="1:15" ht="13.5">
      <c r="A169" s="2013"/>
      <c r="B169" s="573" t="s">
        <v>632</v>
      </c>
      <c r="C169" s="589">
        <v>1386455</v>
      </c>
      <c r="D169" s="589"/>
      <c r="E169" s="589"/>
      <c r="F169" s="589"/>
      <c r="G169" s="589"/>
      <c r="H169" s="589"/>
      <c r="I169" s="622"/>
      <c r="J169" s="588">
        <f t="shared" si="29"/>
        <v>8584604</v>
      </c>
      <c r="K169" s="588">
        <f t="shared" si="24"/>
        <v>0</v>
      </c>
      <c r="L169" s="588">
        <f t="shared" si="25"/>
        <v>0</v>
      </c>
      <c r="M169" s="588">
        <f t="shared" si="26"/>
        <v>0</v>
      </c>
      <c r="N169" s="588">
        <f t="shared" si="27"/>
        <v>0</v>
      </c>
      <c r="O169" s="588">
        <f t="shared" si="28"/>
        <v>0</v>
      </c>
    </row>
    <row r="170" spans="1:15" ht="13.5">
      <c r="A170" s="2013"/>
      <c r="B170" s="573" t="s">
        <v>627</v>
      </c>
      <c r="C170" s="589">
        <v>1324360</v>
      </c>
      <c r="D170" s="589"/>
      <c r="E170" s="589"/>
      <c r="F170" s="589"/>
      <c r="G170" s="589"/>
      <c r="H170" s="589"/>
      <c r="I170" s="622"/>
      <c r="J170" s="588">
        <f t="shared" si="29"/>
        <v>9908964</v>
      </c>
      <c r="K170" s="588">
        <f t="shared" si="24"/>
        <v>0</v>
      </c>
      <c r="L170" s="588">
        <f t="shared" si="25"/>
        <v>0</v>
      </c>
      <c r="M170" s="588">
        <f t="shared" si="26"/>
        <v>0</v>
      </c>
      <c r="N170" s="588">
        <f t="shared" si="27"/>
        <v>0</v>
      </c>
      <c r="O170" s="588">
        <f t="shared" si="28"/>
        <v>0</v>
      </c>
    </row>
    <row r="171" spans="1:15" ht="13.5">
      <c r="A171" s="2013"/>
      <c r="B171" s="573" t="s">
        <v>633</v>
      </c>
      <c r="C171" s="589">
        <v>1316820</v>
      </c>
      <c r="D171" s="589"/>
      <c r="E171" s="589"/>
      <c r="F171" s="589"/>
      <c r="G171" s="589"/>
      <c r="H171" s="589"/>
      <c r="I171" s="622"/>
      <c r="J171" s="588">
        <f t="shared" si="29"/>
        <v>11225784</v>
      </c>
      <c r="K171" s="588">
        <f t="shared" si="24"/>
        <v>0</v>
      </c>
      <c r="L171" s="588">
        <f t="shared" si="25"/>
        <v>0</v>
      </c>
      <c r="M171" s="588">
        <f t="shared" si="26"/>
        <v>0</v>
      </c>
      <c r="N171" s="588">
        <f t="shared" si="27"/>
        <v>0</v>
      </c>
      <c r="O171" s="588">
        <f t="shared" si="28"/>
        <v>0</v>
      </c>
    </row>
    <row r="172" spans="1:15" ht="13.5">
      <c r="A172" s="2013"/>
      <c r="B172" s="573" t="s">
        <v>634</v>
      </c>
      <c r="C172" s="589">
        <v>15654516</v>
      </c>
      <c r="D172" s="589"/>
      <c r="E172" s="589"/>
      <c r="F172" s="589"/>
      <c r="G172" s="589"/>
      <c r="H172" s="589"/>
      <c r="I172" s="622"/>
      <c r="J172" s="588">
        <f t="shared" si="29"/>
        <v>26880300</v>
      </c>
      <c r="K172" s="588">
        <f t="shared" si="24"/>
        <v>0</v>
      </c>
      <c r="L172" s="588">
        <f t="shared" si="25"/>
        <v>0</v>
      </c>
      <c r="M172" s="588">
        <f t="shared" si="26"/>
        <v>0</v>
      </c>
      <c r="N172" s="588">
        <f t="shared" si="27"/>
        <v>0</v>
      </c>
      <c r="O172" s="588">
        <f t="shared" si="28"/>
        <v>0</v>
      </c>
    </row>
    <row r="173" spans="1:15" ht="13.5">
      <c r="A173" s="2013"/>
      <c r="B173" s="573" t="s">
        <v>635</v>
      </c>
      <c r="C173" s="589">
        <v>6870770</v>
      </c>
      <c r="D173" s="589"/>
      <c r="E173" s="589"/>
      <c r="F173" s="589"/>
      <c r="G173" s="589"/>
      <c r="H173" s="589"/>
      <c r="I173" s="622"/>
      <c r="J173" s="588">
        <f t="shared" si="29"/>
        <v>33751070</v>
      </c>
      <c r="K173" s="588">
        <f t="shared" si="24"/>
        <v>0</v>
      </c>
      <c r="L173" s="588">
        <f t="shared" si="25"/>
        <v>0</v>
      </c>
      <c r="M173" s="588">
        <f t="shared" si="26"/>
        <v>0</v>
      </c>
      <c r="N173" s="588">
        <f t="shared" si="27"/>
        <v>0</v>
      </c>
      <c r="O173" s="588">
        <f t="shared" si="28"/>
        <v>0</v>
      </c>
    </row>
    <row r="174" spans="1:15" ht="13.5">
      <c r="A174" s="2013"/>
      <c r="B174" s="573" t="s">
        <v>636</v>
      </c>
      <c r="C174" s="589">
        <v>1506225</v>
      </c>
      <c r="D174" s="589"/>
      <c r="E174" s="589"/>
      <c r="F174" s="589"/>
      <c r="G174" s="589"/>
      <c r="H174" s="589"/>
      <c r="I174" s="622"/>
      <c r="J174" s="588">
        <f t="shared" si="29"/>
        <v>35257295</v>
      </c>
      <c r="K174" s="588">
        <f t="shared" si="24"/>
        <v>0</v>
      </c>
      <c r="L174" s="588">
        <f t="shared" si="25"/>
        <v>0</v>
      </c>
      <c r="M174" s="588">
        <f t="shared" si="26"/>
        <v>0</v>
      </c>
      <c r="N174" s="588">
        <f t="shared" si="27"/>
        <v>0</v>
      </c>
      <c r="O174" s="588">
        <f t="shared" si="28"/>
        <v>0</v>
      </c>
    </row>
    <row r="175" spans="1:15" ht="13.5">
      <c r="A175" s="2013"/>
      <c r="B175" s="573" t="s">
        <v>637</v>
      </c>
      <c r="C175" s="589">
        <v>46456962</v>
      </c>
      <c r="D175" s="589"/>
      <c r="E175" s="589"/>
      <c r="F175" s="589"/>
      <c r="G175" s="589"/>
      <c r="H175" s="589"/>
      <c r="I175" s="622"/>
      <c r="J175" s="588">
        <f t="shared" si="29"/>
        <v>81714257</v>
      </c>
      <c r="K175" s="588">
        <f t="shared" si="24"/>
        <v>0</v>
      </c>
      <c r="L175" s="588">
        <f t="shared" si="25"/>
        <v>0</v>
      </c>
      <c r="M175" s="588">
        <f t="shared" si="26"/>
        <v>0</v>
      </c>
      <c r="N175" s="588">
        <f t="shared" si="27"/>
        <v>0</v>
      </c>
      <c r="O175" s="588">
        <f t="shared" si="28"/>
        <v>0</v>
      </c>
    </row>
    <row r="176" spans="1:15" ht="13.5">
      <c r="A176" s="2013"/>
      <c r="B176" s="573" t="s">
        <v>638</v>
      </c>
      <c r="C176" s="589">
        <v>1700086</v>
      </c>
      <c r="D176" s="589"/>
      <c r="E176" s="589"/>
      <c r="F176" s="589"/>
      <c r="G176" s="589"/>
      <c r="H176" s="589"/>
      <c r="I176" s="622"/>
      <c r="J176" s="588">
        <f t="shared" si="29"/>
        <v>83414343</v>
      </c>
      <c r="K176" s="588">
        <f t="shared" si="24"/>
        <v>0</v>
      </c>
      <c r="L176" s="588">
        <f t="shared" si="25"/>
        <v>0</v>
      </c>
      <c r="M176" s="588">
        <f t="shared" si="26"/>
        <v>0</v>
      </c>
      <c r="N176" s="588">
        <f t="shared" si="27"/>
        <v>0</v>
      </c>
      <c r="O176" s="588">
        <f t="shared" si="28"/>
        <v>0</v>
      </c>
    </row>
    <row r="177" spans="1:15" ht="13.5">
      <c r="A177" s="572"/>
      <c r="B177" s="573" t="s">
        <v>639</v>
      </c>
      <c r="C177" s="589">
        <v>55636127</v>
      </c>
      <c r="D177" s="589"/>
      <c r="E177" s="589"/>
      <c r="F177" s="589"/>
      <c r="G177" s="589"/>
      <c r="H177" s="589"/>
      <c r="I177" s="622"/>
      <c r="J177" s="588">
        <f t="shared" si="29"/>
        <v>139050470</v>
      </c>
      <c r="K177" s="588">
        <f t="shared" si="24"/>
        <v>0</v>
      </c>
      <c r="L177" s="588">
        <f t="shared" si="25"/>
        <v>0</v>
      </c>
      <c r="M177" s="588">
        <f t="shared" si="26"/>
        <v>0</v>
      </c>
      <c r="N177" s="588">
        <f t="shared" si="27"/>
        <v>0</v>
      </c>
      <c r="O177" s="588">
        <f t="shared" si="28"/>
        <v>0</v>
      </c>
    </row>
    <row r="178" spans="1:15" ht="13.5">
      <c r="A178" s="572"/>
      <c r="B178" s="573" t="s">
        <v>851</v>
      </c>
      <c r="C178" s="588">
        <f t="shared" ref="C178:H178" si="30">SUM(C166:C177)</f>
        <v>139050470</v>
      </c>
      <c r="D178" s="588">
        <f t="shared" si="30"/>
        <v>0</v>
      </c>
      <c r="E178" s="588">
        <f t="shared" si="30"/>
        <v>0</v>
      </c>
      <c r="F178" s="588">
        <f t="shared" si="30"/>
        <v>0</v>
      </c>
      <c r="G178" s="588">
        <f t="shared" si="30"/>
        <v>0</v>
      </c>
      <c r="H178" s="588">
        <f t="shared" si="30"/>
        <v>0</v>
      </c>
      <c r="I178" s="588" t="s">
        <v>79</v>
      </c>
      <c r="J178" s="588">
        <f t="shared" ref="J178:O178" si="31">AVERAGE(J166:J177)</f>
        <v>37017986.416666664</v>
      </c>
      <c r="K178" s="588">
        <f t="shared" si="31"/>
        <v>0</v>
      </c>
      <c r="L178" s="588">
        <f t="shared" si="31"/>
        <v>0</v>
      </c>
      <c r="M178" s="588">
        <f t="shared" si="31"/>
        <v>0</v>
      </c>
      <c r="N178" s="588">
        <f t="shared" si="31"/>
        <v>0</v>
      </c>
      <c r="O178" s="588">
        <f t="shared" si="31"/>
        <v>0</v>
      </c>
    </row>
    <row r="179" spans="1:15" ht="13.5">
      <c r="A179" s="572"/>
      <c r="C179" s="573"/>
      <c r="D179" s="419"/>
      <c r="E179" s="419"/>
      <c r="F179" s="419"/>
      <c r="G179" s="419"/>
      <c r="H179" s="419"/>
      <c r="I179" s="419"/>
      <c r="J179" s="419"/>
      <c r="K179" s="419"/>
      <c r="L179" s="590"/>
      <c r="M179" s="573"/>
      <c r="N179" s="573"/>
      <c r="O179" s="573"/>
    </row>
    <row r="180" spans="1:15" ht="15.75">
      <c r="A180" s="572" t="s">
        <v>760</v>
      </c>
      <c r="B180" s="573" t="s">
        <v>81</v>
      </c>
      <c r="C180" s="573"/>
      <c r="D180" s="419"/>
      <c r="E180" s="419"/>
      <c r="F180" s="419"/>
      <c r="G180" s="419"/>
      <c r="H180" s="419"/>
      <c r="I180" s="419"/>
      <c r="J180" s="573"/>
      <c r="K180" s="624" t="s">
        <v>80</v>
      </c>
      <c r="L180" s="419"/>
      <c r="M180" s="588">
        <f>SUM(J178:O178)</f>
        <v>37017986.416666664</v>
      </c>
      <c r="N180" s="1774" t="s">
        <v>1110</v>
      </c>
      <c r="O180" s="609"/>
    </row>
    <row r="181" spans="1:15" ht="13.5">
      <c r="A181" s="572"/>
      <c r="B181" s="573"/>
      <c r="C181" s="573"/>
      <c r="D181" s="419"/>
      <c r="E181" s="419"/>
      <c r="F181" s="419"/>
      <c r="G181" s="419"/>
      <c r="H181" s="419"/>
      <c r="I181" s="419"/>
      <c r="J181" s="573"/>
      <c r="K181" s="573"/>
      <c r="L181" s="588"/>
      <c r="M181" s="573"/>
      <c r="N181" s="419"/>
      <c r="O181" s="573"/>
    </row>
    <row r="182" spans="1:15" ht="13.5">
      <c r="A182" s="572"/>
      <c r="B182" s="572"/>
      <c r="C182" s="572"/>
      <c r="D182" s="573"/>
      <c r="E182" s="573"/>
      <c r="F182" s="419"/>
      <c r="G182" s="573"/>
      <c r="H182" s="573"/>
      <c r="I182" s="588"/>
      <c r="J182" s="573"/>
      <c r="K182" s="419"/>
      <c r="L182" s="573"/>
      <c r="M182" s="573"/>
      <c r="N182" s="591"/>
      <c r="O182" s="591"/>
    </row>
    <row r="183" spans="1:15" ht="13.5">
      <c r="A183" s="572"/>
      <c r="B183" s="572"/>
      <c r="C183" s="572"/>
      <c r="D183" s="594"/>
      <c r="E183" s="572"/>
      <c r="F183" s="588"/>
      <c r="G183" s="572"/>
      <c r="H183" s="588"/>
      <c r="I183" s="576"/>
      <c r="J183" s="609"/>
      <c r="K183" s="573"/>
      <c r="L183" s="573"/>
      <c r="M183" s="573"/>
      <c r="N183" s="573"/>
      <c r="O183" s="573"/>
    </row>
    <row r="184" spans="1:15" ht="13.5">
      <c r="A184" s="572">
        <v>10</v>
      </c>
      <c r="B184" s="572" t="s">
        <v>627</v>
      </c>
      <c r="C184" s="572" t="s">
        <v>602</v>
      </c>
      <c r="D184" s="579" t="s">
        <v>460</v>
      </c>
      <c r="E184" s="573"/>
      <c r="F184" s="573"/>
      <c r="G184" s="573"/>
      <c r="H184" s="573"/>
      <c r="I184" s="576"/>
      <c r="J184" s="577"/>
      <c r="K184" s="573"/>
      <c r="L184" s="573"/>
      <c r="M184" s="573"/>
      <c r="N184" s="573"/>
      <c r="O184" s="573"/>
    </row>
    <row r="185" spans="1:15" ht="13.5">
      <c r="A185" s="572"/>
      <c r="B185" s="572"/>
      <c r="C185" s="1553">
        <f>I157</f>
        <v>100548222.15707931</v>
      </c>
      <c r="D185" s="595"/>
      <c r="E185" s="573" t="s">
        <v>962</v>
      </c>
      <c r="F185" s="573"/>
      <c r="G185" s="573"/>
      <c r="H185" s="573"/>
      <c r="I185" s="577"/>
      <c r="J185" s="577"/>
      <c r="K185" s="573"/>
      <c r="L185" s="573"/>
      <c r="M185" s="573"/>
      <c r="N185" s="573"/>
      <c r="O185" s="573"/>
    </row>
    <row r="186" spans="1:15" ht="13.5">
      <c r="A186" s="572"/>
      <c r="B186" s="572"/>
      <c r="C186" s="572"/>
      <c r="D186" s="601"/>
      <c r="E186" s="594"/>
      <c r="F186" s="573"/>
      <c r="G186" s="573"/>
      <c r="H186" s="573"/>
      <c r="I186" s="577"/>
      <c r="J186" s="577"/>
      <c r="K186" s="573"/>
      <c r="L186" s="573"/>
      <c r="M186" s="573"/>
      <c r="N186" s="573"/>
      <c r="O186" s="573"/>
    </row>
    <row r="187" spans="1:15" ht="13.5">
      <c r="A187" s="572"/>
      <c r="B187" s="572"/>
      <c r="C187" s="572"/>
      <c r="D187" s="595"/>
      <c r="E187" s="573"/>
      <c r="F187" s="573"/>
      <c r="G187" s="573"/>
      <c r="H187" s="573"/>
      <c r="I187" s="577"/>
      <c r="J187" s="577"/>
      <c r="K187" s="573"/>
      <c r="L187" s="573"/>
      <c r="M187" s="573"/>
      <c r="N187" s="573"/>
      <c r="O187" s="573"/>
    </row>
    <row r="188" spans="1:15" ht="13.5">
      <c r="A188" s="572">
        <v>11</v>
      </c>
      <c r="B188" s="572" t="s">
        <v>628</v>
      </c>
      <c r="C188" s="572" t="s">
        <v>602</v>
      </c>
      <c r="D188" s="602" t="s">
        <v>1099</v>
      </c>
      <c r="E188" s="577"/>
      <c r="F188" s="577"/>
      <c r="G188" s="577"/>
      <c r="H188" s="577"/>
      <c r="I188" s="577"/>
      <c r="J188" s="577"/>
      <c r="K188" s="577"/>
      <c r="L188" s="577"/>
      <c r="M188" s="573"/>
      <c r="N188" s="573"/>
      <c r="O188" s="573"/>
    </row>
    <row r="189" spans="1:15" ht="13.5">
      <c r="A189" s="572"/>
      <c r="B189" s="572"/>
      <c r="C189" s="572"/>
      <c r="D189" s="1554">
        <f>C185</f>
        <v>100548222.15707931</v>
      </c>
      <c r="E189" s="573"/>
      <c r="F189" s="573"/>
      <c r="G189" s="573"/>
      <c r="H189" s="573"/>
      <c r="I189" s="573"/>
      <c r="J189" s="573"/>
      <c r="K189" s="573"/>
      <c r="L189" s="573"/>
      <c r="M189" s="573"/>
      <c r="N189" s="573"/>
      <c r="O189" s="573"/>
    </row>
    <row r="190" spans="1:15" ht="13.5">
      <c r="A190" s="572"/>
      <c r="B190" s="572"/>
      <c r="C190" s="572"/>
      <c r="D190" s="573"/>
      <c r="E190" s="573"/>
      <c r="F190" s="573"/>
      <c r="G190" s="573"/>
      <c r="H190" s="573"/>
      <c r="I190" s="573"/>
      <c r="J190" s="573"/>
      <c r="K190" s="573"/>
      <c r="L190" s="573"/>
      <c r="M190" s="573"/>
      <c r="N190" s="573"/>
      <c r="O190" s="573"/>
    </row>
    <row r="191" spans="1:15" ht="13.5">
      <c r="A191" s="572"/>
      <c r="B191" s="573"/>
      <c r="C191" s="572"/>
      <c r="D191" s="594"/>
      <c r="E191" s="573"/>
      <c r="F191" s="573"/>
      <c r="G191" s="573"/>
      <c r="H191" s="573"/>
      <c r="I191" s="573"/>
      <c r="J191" s="573"/>
      <c r="K191" s="573"/>
      <c r="L191" s="573"/>
      <c r="M191" s="573"/>
      <c r="N191" s="573"/>
      <c r="O191" s="573"/>
    </row>
    <row r="192" spans="1:15" ht="13.5">
      <c r="A192" s="572"/>
      <c r="B192" s="572"/>
      <c r="C192" s="572"/>
      <c r="D192" s="573"/>
      <c r="E192" s="573"/>
      <c r="F192" s="573"/>
      <c r="G192" s="573"/>
      <c r="H192" s="573"/>
      <c r="I192" s="573"/>
      <c r="J192" s="573"/>
      <c r="K192" s="573"/>
      <c r="L192" s="573"/>
      <c r="M192" s="573"/>
      <c r="N192" s="573"/>
      <c r="O192" s="573"/>
    </row>
    <row r="193" spans="1:15" ht="13.5">
      <c r="A193" s="572"/>
      <c r="B193" s="572"/>
      <c r="C193" s="572"/>
      <c r="D193" s="573"/>
      <c r="E193" s="573"/>
      <c r="F193" s="573"/>
      <c r="G193" s="573"/>
      <c r="H193" s="573"/>
      <c r="I193" s="573"/>
      <c r="J193" s="573"/>
      <c r="K193" s="573"/>
      <c r="L193" s="573"/>
      <c r="M193" s="573"/>
      <c r="N193" s="573"/>
      <c r="O193" s="573"/>
    </row>
    <row r="194" spans="1:15" ht="13.5">
      <c r="A194" s="572"/>
      <c r="B194" s="572"/>
      <c r="C194" s="572"/>
      <c r="D194" s="573"/>
      <c r="E194" s="573"/>
      <c r="F194" s="573"/>
      <c r="G194" s="573"/>
      <c r="H194" s="573"/>
      <c r="I194" s="573"/>
      <c r="J194" s="573"/>
      <c r="K194" s="573"/>
      <c r="L194" s="573"/>
      <c r="M194" s="573"/>
      <c r="N194" s="573"/>
      <c r="O194" s="573"/>
    </row>
    <row r="195" spans="1:15" ht="13.5">
      <c r="A195" s="572"/>
      <c r="B195" s="572"/>
      <c r="C195" s="572"/>
      <c r="D195" s="573"/>
      <c r="E195" s="573"/>
      <c r="F195" s="573"/>
      <c r="G195" s="573"/>
      <c r="H195" s="573"/>
      <c r="I195" s="573"/>
      <c r="J195" s="573"/>
      <c r="K195" s="573"/>
      <c r="L195" s="573"/>
      <c r="M195" s="573"/>
      <c r="N195" s="573"/>
      <c r="O195" s="573"/>
    </row>
    <row r="196" spans="1:15" ht="13.5">
      <c r="A196" s="572"/>
      <c r="B196" s="572"/>
      <c r="C196" s="572"/>
      <c r="D196" s="573"/>
      <c r="E196" s="573"/>
      <c r="F196" s="573"/>
      <c r="G196" s="573"/>
      <c r="H196" s="573"/>
      <c r="I196" s="573"/>
      <c r="J196" s="573"/>
      <c r="K196" s="573"/>
      <c r="L196" s="573"/>
      <c r="M196" s="573"/>
      <c r="N196" s="573"/>
      <c r="O196" s="573"/>
    </row>
    <row r="197" spans="1:15" ht="13.5">
      <c r="A197" s="572"/>
      <c r="B197" s="572"/>
      <c r="C197" s="572"/>
      <c r="D197" s="573"/>
      <c r="E197" s="573"/>
      <c r="F197" s="573"/>
      <c r="G197" s="573"/>
      <c r="H197" s="573"/>
      <c r="I197" s="573"/>
      <c r="J197" s="573"/>
      <c r="K197" s="573"/>
      <c r="L197" s="573"/>
      <c r="M197" s="573"/>
      <c r="N197" s="573"/>
      <c r="O197" s="573"/>
    </row>
    <row r="198" spans="1:15" ht="13.5">
      <c r="A198" s="572"/>
      <c r="B198" s="572"/>
      <c r="C198" s="572"/>
      <c r="D198" s="573"/>
      <c r="E198" s="573"/>
      <c r="F198" s="573"/>
      <c r="G198" s="573"/>
      <c r="H198" s="573"/>
      <c r="I198" s="573"/>
      <c r="J198" s="573"/>
      <c r="K198" s="573"/>
      <c r="L198" s="573"/>
      <c r="M198" s="573"/>
      <c r="N198" s="573"/>
      <c r="O198" s="573"/>
    </row>
    <row r="199" spans="1:15" ht="13.5">
      <c r="A199" s="572"/>
      <c r="B199" s="572"/>
      <c r="C199" s="572"/>
      <c r="D199" s="573"/>
      <c r="E199" s="573"/>
      <c r="F199" s="573"/>
      <c r="G199" s="573"/>
      <c r="H199" s="573"/>
      <c r="I199" s="573"/>
      <c r="J199" s="573"/>
      <c r="K199" s="573"/>
      <c r="L199" s="573"/>
      <c r="M199" s="573"/>
      <c r="N199" s="573"/>
      <c r="O199" s="573"/>
    </row>
    <row r="200" spans="1:15" ht="13.5">
      <c r="A200" s="572"/>
      <c r="B200" s="572"/>
      <c r="C200" s="572"/>
      <c r="D200" s="573"/>
      <c r="E200" s="573"/>
      <c r="F200" s="573"/>
      <c r="G200" s="573"/>
      <c r="H200" s="573"/>
      <c r="I200" s="573"/>
      <c r="J200" s="573"/>
      <c r="K200" s="573"/>
      <c r="L200" s="573"/>
      <c r="M200" s="573"/>
      <c r="N200" s="573"/>
      <c r="O200" s="573"/>
    </row>
    <row r="201" spans="1:15" ht="13.5">
      <c r="A201" s="572"/>
      <c r="B201" s="572"/>
      <c r="C201" s="572"/>
      <c r="D201" s="573"/>
      <c r="E201" s="573"/>
      <c r="F201" s="573"/>
      <c r="G201" s="573"/>
      <c r="H201" s="573"/>
      <c r="I201" s="573"/>
      <c r="J201" s="573"/>
      <c r="K201" s="573"/>
      <c r="L201" s="573"/>
      <c r="M201" s="573"/>
      <c r="N201" s="573"/>
      <c r="O201" s="573"/>
    </row>
    <row r="202" spans="1:15" ht="13.5">
      <c r="A202" s="572"/>
      <c r="B202" s="572"/>
      <c r="C202" s="572"/>
      <c r="D202" s="573"/>
      <c r="E202" s="573"/>
      <c r="F202" s="573"/>
      <c r="G202" s="573"/>
      <c r="H202" s="573"/>
      <c r="I202" s="573"/>
      <c r="J202" s="573"/>
      <c r="K202" s="573"/>
      <c r="L202" s="573"/>
      <c r="M202" s="573"/>
      <c r="N202" s="573"/>
      <c r="O202" s="573"/>
    </row>
    <row r="203" spans="1:15" ht="13.5">
      <c r="A203" s="572"/>
      <c r="B203" s="572"/>
      <c r="C203" s="572"/>
      <c r="D203" s="573"/>
      <c r="E203" s="573"/>
      <c r="F203" s="573"/>
      <c r="G203" s="573"/>
      <c r="H203" s="573"/>
      <c r="I203" s="573"/>
      <c r="J203" s="573"/>
      <c r="K203" s="573"/>
      <c r="L203" s="573"/>
      <c r="M203" s="573"/>
      <c r="N203" s="573"/>
      <c r="O203" s="573"/>
    </row>
    <row r="204" spans="1:15" ht="13.5">
      <c r="A204" s="572"/>
      <c r="B204" s="572"/>
      <c r="C204" s="572"/>
      <c r="D204" s="573"/>
      <c r="E204" s="573"/>
      <c r="F204" s="573"/>
      <c r="G204" s="573"/>
      <c r="H204" s="573"/>
      <c r="I204" s="573"/>
      <c r="J204" s="573"/>
      <c r="K204" s="573"/>
      <c r="L204" s="573"/>
      <c r="M204" s="573"/>
      <c r="N204" s="573"/>
      <c r="O204" s="573"/>
    </row>
    <row r="205" spans="1:15" ht="13.5">
      <c r="A205" s="572"/>
      <c r="B205" s="572"/>
      <c r="C205" s="572"/>
      <c r="D205" s="573"/>
      <c r="E205" s="573"/>
      <c r="F205" s="573"/>
      <c r="G205" s="573"/>
      <c r="H205" s="573"/>
      <c r="I205" s="573"/>
      <c r="J205" s="573"/>
      <c r="K205" s="573"/>
      <c r="L205" s="573"/>
      <c r="M205" s="573"/>
      <c r="N205" s="573"/>
      <c r="O205" s="573"/>
    </row>
    <row r="206" spans="1:15" ht="13.5">
      <c r="A206" s="572"/>
      <c r="B206" s="572"/>
      <c r="C206" s="572"/>
      <c r="D206" s="573"/>
      <c r="E206" s="573"/>
      <c r="F206" s="573"/>
      <c r="G206" s="573"/>
      <c r="H206" s="573"/>
      <c r="I206" s="573"/>
      <c r="J206" s="573"/>
      <c r="K206" s="573"/>
      <c r="L206" s="573"/>
      <c r="M206" s="573"/>
      <c r="N206" s="573"/>
      <c r="O206" s="573"/>
    </row>
    <row r="207" spans="1:15" ht="15.75">
      <c r="A207" s="620"/>
      <c r="B207" s="572"/>
      <c r="C207" s="572"/>
      <c r="D207" s="573"/>
      <c r="E207" s="573"/>
      <c r="F207" s="573"/>
      <c r="G207" s="573"/>
      <c r="H207" s="573"/>
      <c r="I207" s="573"/>
      <c r="J207" s="573"/>
      <c r="K207" s="573"/>
      <c r="L207" s="573"/>
      <c r="M207" s="573"/>
      <c r="N207" s="573"/>
      <c r="O207" s="573"/>
    </row>
    <row r="208" spans="1:15" ht="15.75">
      <c r="A208" s="620"/>
      <c r="B208" s="572"/>
      <c r="C208" s="572"/>
      <c r="D208" s="573"/>
      <c r="E208" s="573"/>
      <c r="F208" s="573"/>
      <c r="G208" s="573"/>
      <c r="H208" s="573"/>
      <c r="I208" s="573"/>
      <c r="J208" s="573"/>
      <c r="K208" s="573"/>
      <c r="L208" s="573"/>
      <c r="M208" s="573"/>
      <c r="N208" s="573"/>
      <c r="O208" s="573"/>
    </row>
    <row r="209" spans="1:15" ht="15.75">
      <c r="A209" s="620"/>
      <c r="B209" s="620"/>
      <c r="C209" s="620"/>
      <c r="D209" s="621"/>
      <c r="E209" s="621"/>
      <c r="F209" s="621"/>
      <c r="G209" s="621"/>
      <c r="H209" s="621"/>
      <c r="I209" s="621"/>
      <c r="J209" s="621"/>
      <c r="K209" s="621"/>
      <c r="L209" s="621"/>
      <c r="M209" s="621"/>
      <c r="N209" s="621"/>
      <c r="O209" s="621"/>
    </row>
    <row r="210" spans="1:15" ht="15.75">
      <c r="A210" s="620"/>
      <c r="B210" s="620"/>
      <c r="C210" s="620"/>
      <c r="D210" s="621"/>
      <c r="E210" s="621"/>
      <c r="F210" s="621"/>
      <c r="G210" s="621"/>
      <c r="H210" s="621"/>
      <c r="I210" s="621"/>
      <c r="J210" s="621"/>
      <c r="K210" s="621"/>
      <c r="L210" s="621"/>
      <c r="M210" s="621"/>
      <c r="N210" s="621"/>
      <c r="O210" s="621"/>
    </row>
    <row r="211" spans="1:15" ht="13.5">
      <c r="J211" s="573"/>
      <c r="K211" s="573"/>
    </row>
    <row r="212" spans="1:15" ht="13.5">
      <c r="J212" s="573"/>
      <c r="K212" s="573"/>
    </row>
    <row r="213" spans="1:15" ht="13.5">
      <c r="J213" s="573"/>
      <c r="K213" s="573"/>
    </row>
    <row r="214" spans="1:15" ht="13.5">
      <c r="J214" s="573"/>
      <c r="K214" s="573"/>
    </row>
    <row r="215" spans="1:15" ht="13.5">
      <c r="J215" s="573"/>
      <c r="K215" s="573"/>
    </row>
    <row r="216" spans="1:15" ht="13.5">
      <c r="J216" s="573"/>
      <c r="K216" s="573"/>
    </row>
    <row r="217" spans="1:15" ht="13.5">
      <c r="J217" s="573"/>
      <c r="K217" s="573"/>
    </row>
    <row r="218" spans="1:15" ht="13.5">
      <c r="J218" s="573"/>
      <c r="K218" s="573"/>
    </row>
    <row r="219" spans="1:15" ht="13.5">
      <c r="J219" s="573"/>
      <c r="K219" s="573"/>
    </row>
    <row r="220" spans="1:15" ht="13.5">
      <c r="J220" s="573"/>
      <c r="K220" s="573"/>
    </row>
    <row r="221" spans="1:15" ht="13.5">
      <c r="J221" s="573"/>
      <c r="K221" s="573"/>
    </row>
  </sheetData>
  <mergeCells count="3">
    <mergeCell ref="D119:E119"/>
    <mergeCell ref="A164:A176"/>
    <mergeCell ref="N81:N82"/>
  </mergeCells>
  <phoneticPr fontId="73" type="noConversion"/>
  <printOptions gridLines="1"/>
  <pageMargins left="0.78" right="0.7" top="0.32" bottom="0.5" header="0.3" footer="0.3"/>
  <pageSetup scale="47" fitToHeight="0" orientation="landscape" r:id="rId1"/>
  <rowBreaks count="2" manualBreakCount="2">
    <brk id="74" max="15" man="1"/>
    <brk id="158"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89"/>
  <sheetViews>
    <sheetView topLeftCell="A61" zoomScale="75" zoomScaleNormal="75" workbookViewId="0">
      <selection activeCell="L90" sqref="L90"/>
    </sheetView>
  </sheetViews>
  <sheetFormatPr defaultRowHeight="12.75"/>
  <cols>
    <col min="3" max="3" width="17.5703125" customWidth="1"/>
    <col min="4" max="4" width="17.140625" customWidth="1"/>
    <col min="5" max="5" width="30.7109375" customWidth="1"/>
    <col min="6" max="6" width="16.5703125" customWidth="1"/>
    <col min="7" max="7" width="19" customWidth="1"/>
    <col min="8" max="8" width="17.140625" customWidth="1"/>
    <col min="9" max="9" width="11" customWidth="1"/>
    <col min="10" max="10" width="15.140625" customWidth="1"/>
    <col min="12" max="12" width="14.140625" customWidth="1"/>
    <col min="13" max="13" width="15.42578125" customWidth="1"/>
    <col min="14" max="14" width="17.85546875" customWidth="1"/>
    <col min="17" max="17" width="15.28515625" customWidth="1"/>
  </cols>
  <sheetData>
    <row r="2" spans="1:29" ht="15">
      <c r="A2" s="1981" t="s">
        <v>447</v>
      </c>
      <c r="B2" s="1981"/>
      <c r="C2" s="1981"/>
      <c r="D2" s="1981"/>
      <c r="E2" s="1981"/>
      <c r="F2" s="1981"/>
      <c r="G2" s="1981"/>
      <c r="H2" s="1981"/>
      <c r="I2" s="1981"/>
      <c r="J2" s="1981"/>
      <c r="K2" s="1981"/>
      <c r="L2" s="1981"/>
      <c r="M2" s="1981"/>
      <c r="N2" s="1981"/>
      <c r="O2" s="1981"/>
      <c r="P2" s="1981"/>
      <c r="Q2" s="1981"/>
    </row>
    <row r="3" spans="1:29" ht="18">
      <c r="A3" s="2015" t="s">
        <v>418</v>
      </c>
      <c r="B3" s="2015"/>
      <c r="C3" s="2015"/>
      <c r="D3" s="2015"/>
      <c r="E3" s="2015"/>
      <c r="F3" s="2015"/>
      <c r="G3" s="2015"/>
      <c r="H3" s="2015"/>
      <c r="I3" s="2015"/>
      <c r="J3" s="2015"/>
      <c r="K3" s="2015"/>
      <c r="L3" s="2015"/>
      <c r="M3" s="2015"/>
      <c r="N3" s="2015"/>
      <c r="O3" s="2015"/>
      <c r="P3" s="2015"/>
      <c r="Q3" s="2015"/>
      <c r="R3" s="421"/>
      <c r="S3" s="421"/>
    </row>
    <row r="4" spans="1:29">
      <c r="A4" s="421"/>
      <c r="B4" s="421"/>
      <c r="C4" s="421"/>
      <c r="D4" s="421"/>
      <c r="E4" s="1771" t="s">
        <v>1106</v>
      </c>
      <c r="F4" s="1772">
        <v>2020</v>
      </c>
      <c r="G4" s="421"/>
      <c r="H4" s="421"/>
      <c r="I4" s="421"/>
      <c r="J4" s="421"/>
      <c r="K4" s="421"/>
      <c r="L4" s="421"/>
      <c r="M4" s="421"/>
      <c r="N4" s="421"/>
      <c r="O4" s="421"/>
      <c r="P4" s="421"/>
      <c r="Q4" s="421"/>
      <c r="R4" s="421"/>
      <c r="S4" s="421"/>
    </row>
    <row r="5" spans="1:29" ht="16.5">
      <c r="A5" s="420"/>
      <c r="B5" s="420"/>
      <c r="C5" s="420"/>
      <c r="D5" s="419"/>
      <c r="E5" s="1771" t="s">
        <v>1107</v>
      </c>
      <c r="F5" s="1773">
        <v>2021</v>
      </c>
      <c r="G5" s="419"/>
      <c r="H5" s="419"/>
      <c r="I5" s="419"/>
      <c r="J5" s="571"/>
      <c r="K5" s="419"/>
      <c r="L5" s="419"/>
      <c r="M5" s="419"/>
      <c r="N5" s="419"/>
      <c r="O5" s="419"/>
      <c r="P5" s="419"/>
      <c r="Q5" s="419"/>
      <c r="R5" s="419"/>
      <c r="S5" s="419"/>
      <c r="Y5" s="97"/>
      <c r="Z5" s="97"/>
      <c r="AA5" s="97"/>
      <c r="AB5" s="97"/>
      <c r="AC5" s="97"/>
    </row>
    <row r="6" spans="1:29" ht="13.5">
      <c r="A6" s="572" t="s">
        <v>621</v>
      </c>
      <c r="B6" s="572" t="s">
        <v>622</v>
      </c>
      <c r="C6" s="572" t="s">
        <v>623</v>
      </c>
      <c r="D6" s="572" t="s">
        <v>624</v>
      </c>
      <c r="E6" s="1771" t="s">
        <v>1108</v>
      </c>
      <c r="F6" s="1773">
        <v>2022</v>
      </c>
      <c r="G6" s="573"/>
      <c r="H6" s="573"/>
      <c r="I6" s="573"/>
      <c r="J6" s="573"/>
      <c r="K6" s="573"/>
      <c r="L6" s="573"/>
      <c r="M6" s="573"/>
      <c r="N6" s="573"/>
      <c r="O6" s="573"/>
      <c r="P6" s="573"/>
      <c r="Q6" s="573"/>
      <c r="R6" s="573"/>
      <c r="S6" s="573"/>
      <c r="Y6" s="597"/>
      <c r="Z6" s="597"/>
      <c r="AA6" s="597"/>
      <c r="AB6" s="597"/>
      <c r="AC6" s="97"/>
    </row>
    <row r="7" spans="1:29" ht="13.5">
      <c r="A7" s="420"/>
      <c r="B7" s="572"/>
      <c r="C7" s="572"/>
      <c r="D7" s="573"/>
      <c r="E7" s="573"/>
      <c r="F7" s="573"/>
      <c r="G7" s="573"/>
      <c r="H7" s="573"/>
      <c r="I7" s="573"/>
      <c r="J7" s="573"/>
      <c r="K7" s="573"/>
      <c r="L7" s="573"/>
      <c r="M7" s="573"/>
      <c r="N7" s="573"/>
      <c r="O7" s="573"/>
      <c r="P7" s="573"/>
      <c r="Q7" s="573"/>
      <c r="R7" s="573"/>
      <c r="S7" s="573"/>
      <c r="Y7" s="845"/>
      <c r="Z7" s="845"/>
      <c r="AA7" s="845"/>
      <c r="AB7" s="845"/>
      <c r="AC7" s="97"/>
    </row>
    <row r="8" spans="1:29" ht="13.5">
      <c r="A8" s="574" t="s">
        <v>625</v>
      </c>
      <c r="B8" s="572"/>
      <c r="C8" s="572"/>
      <c r="D8" s="573"/>
      <c r="E8" s="573"/>
      <c r="F8" s="573"/>
      <c r="G8" s="573"/>
      <c r="H8" s="573"/>
      <c r="I8" s="573"/>
      <c r="J8" s="573"/>
      <c r="K8" s="573"/>
      <c r="L8" s="573"/>
      <c r="M8" s="573"/>
      <c r="N8" s="573"/>
      <c r="S8" s="573"/>
      <c r="Y8" s="845"/>
      <c r="Z8" s="845"/>
      <c r="AA8" s="845"/>
      <c r="AB8" s="845"/>
      <c r="AC8" s="97"/>
    </row>
    <row r="9" spans="1:29" ht="15.75">
      <c r="A9" s="575">
        <v>1</v>
      </c>
      <c r="B9" s="575" t="s">
        <v>626</v>
      </c>
      <c r="C9" s="575" t="s">
        <v>601</v>
      </c>
      <c r="D9" s="1784" t="s">
        <v>1093</v>
      </c>
      <c r="E9" s="577"/>
      <c r="F9" s="577"/>
      <c r="G9" s="577"/>
      <c r="H9" s="577"/>
      <c r="I9" s="577"/>
      <c r="J9" s="577"/>
      <c r="K9" s="577"/>
      <c r="L9" s="577"/>
      <c r="M9" s="577"/>
      <c r="N9" s="577"/>
      <c r="S9" s="577"/>
      <c r="Y9" s="845"/>
      <c r="Z9" s="846"/>
      <c r="AA9" s="846"/>
      <c r="AB9" s="847"/>
      <c r="AC9" s="97"/>
    </row>
    <row r="10" spans="1:29" ht="13.5">
      <c r="A10" s="575">
        <v>2</v>
      </c>
      <c r="B10" s="575" t="s">
        <v>626</v>
      </c>
      <c r="C10" s="575" t="s">
        <v>601</v>
      </c>
      <c r="D10" t="s">
        <v>1094</v>
      </c>
      <c r="E10" s="577"/>
      <c r="F10" s="577"/>
      <c r="G10" s="577"/>
      <c r="H10" s="577"/>
      <c r="I10" s="577"/>
      <c r="J10" s="577"/>
      <c r="K10" s="577"/>
      <c r="L10" s="577"/>
      <c r="M10" s="577"/>
      <c r="N10" s="577"/>
      <c r="S10" s="577"/>
      <c r="Y10" s="845"/>
      <c r="Z10" s="846"/>
      <c r="AA10" s="846"/>
      <c r="AB10" s="847"/>
      <c r="AC10" s="97"/>
    </row>
    <row r="11" spans="1:29" ht="13.5">
      <c r="A11" s="575">
        <v>3</v>
      </c>
      <c r="B11" s="575" t="s">
        <v>626</v>
      </c>
      <c r="C11" s="575" t="s">
        <v>601</v>
      </c>
      <c r="D11" t="s">
        <v>1095</v>
      </c>
      <c r="E11" s="577"/>
      <c r="F11" s="577"/>
      <c r="G11" s="577"/>
      <c r="H11" s="577"/>
      <c r="I11" s="577"/>
      <c r="J11" s="577"/>
      <c r="K11" s="577"/>
      <c r="L11" s="577"/>
      <c r="M11" s="577"/>
      <c r="N11" s="577"/>
      <c r="S11" s="577"/>
      <c r="Y11" s="845"/>
      <c r="Z11" s="846"/>
      <c r="AA11" s="846"/>
      <c r="AB11" s="847"/>
      <c r="AC11" s="97"/>
    </row>
    <row r="12" spans="1:29" ht="13.5">
      <c r="A12" s="575">
        <v>4</v>
      </c>
      <c r="B12" s="575" t="s">
        <v>627</v>
      </c>
      <c r="C12" s="575" t="s">
        <v>601</v>
      </c>
      <c r="D12" t="s">
        <v>962</v>
      </c>
      <c r="E12" s="577"/>
      <c r="F12" s="577"/>
      <c r="G12" s="577"/>
      <c r="H12" s="577"/>
      <c r="I12" s="577"/>
      <c r="J12" s="577"/>
      <c r="K12" s="577"/>
      <c r="L12" s="577"/>
      <c r="M12" s="577"/>
      <c r="N12" s="577"/>
      <c r="S12" s="577"/>
      <c r="Y12" s="597"/>
      <c r="Z12" s="848"/>
      <c r="AA12" s="848"/>
      <c r="AB12" s="847"/>
      <c r="AC12" s="97"/>
    </row>
    <row r="13" spans="1:29" ht="13.5">
      <c r="A13" s="575">
        <v>5</v>
      </c>
      <c r="B13" s="578" t="s">
        <v>628</v>
      </c>
      <c r="C13" s="575" t="s">
        <v>601</v>
      </c>
      <c r="D13" t="s">
        <v>1096</v>
      </c>
      <c r="E13" s="577"/>
      <c r="F13" s="577"/>
      <c r="G13" s="577"/>
      <c r="H13" s="577"/>
      <c r="I13" s="577"/>
      <c r="J13" s="577"/>
      <c r="K13" s="577"/>
      <c r="L13" s="577"/>
      <c r="M13" s="577"/>
      <c r="N13" s="577"/>
      <c r="S13" s="577"/>
      <c r="Y13" s="597"/>
      <c r="Z13" s="848"/>
      <c r="AA13" s="848"/>
      <c r="AB13" s="847"/>
      <c r="AC13" s="97"/>
    </row>
    <row r="14" spans="1:29" ht="13.5">
      <c r="A14" s="572">
        <v>6</v>
      </c>
      <c r="B14" s="572" t="s">
        <v>626</v>
      </c>
      <c r="C14" s="575" t="s">
        <v>602</v>
      </c>
      <c r="D14" t="s">
        <v>1097</v>
      </c>
      <c r="E14" s="573"/>
      <c r="F14" s="573"/>
      <c r="G14" s="573"/>
      <c r="H14" s="573"/>
      <c r="I14" s="573"/>
      <c r="J14" s="573"/>
      <c r="K14" s="573"/>
      <c r="L14" s="573"/>
      <c r="M14" s="573"/>
      <c r="N14" s="573"/>
      <c r="S14" s="573"/>
      <c r="Y14" s="597"/>
      <c r="Z14" s="848"/>
      <c r="AA14" s="848"/>
      <c r="AB14" s="847"/>
      <c r="AC14" s="97"/>
    </row>
    <row r="15" spans="1:29" ht="13.5">
      <c r="A15" s="572">
        <v>7</v>
      </c>
      <c r="B15" s="572" t="s">
        <v>626</v>
      </c>
      <c r="C15" s="575" t="s">
        <v>602</v>
      </c>
      <c r="D15" t="s">
        <v>995</v>
      </c>
      <c r="E15" s="580"/>
      <c r="F15" s="580"/>
      <c r="G15" s="580"/>
      <c r="H15" s="580"/>
      <c r="I15" s="580"/>
      <c r="J15" s="580"/>
      <c r="K15" s="573"/>
      <c r="L15" s="573"/>
      <c r="M15" s="573"/>
      <c r="N15" s="573"/>
      <c r="S15" s="573"/>
      <c r="Y15" s="597"/>
      <c r="Z15" s="848"/>
      <c r="AA15" s="848"/>
      <c r="AB15" s="847"/>
      <c r="AC15" s="97"/>
    </row>
    <row r="16" spans="1:29" ht="13.5">
      <c r="A16" s="572">
        <v>8</v>
      </c>
      <c r="B16" s="572" t="s">
        <v>626</v>
      </c>
      <c r="C16" s="575" t="s">
        <v>602</v>
      </c>
      <c r="D16" t="s">
        <v>981</v>
      </c>
      <c r="E16" s="573"/>
      <c r="F16" s="573"/>
      <c r="G16" s="573"/>
      <c r="H16" s="573"/>
      <c r="I16" s="573"/>
      <c r="J16" s="573"/>
      <c r="K16" s="573"/>
      <c r="L16" s="573"/>
      <c r="M16" s="573"/>
      <c r="N16" s="573"/>
      <c r="S16" s="573"/>
      <c r="Y16" s="597"/>
      <c r="Z16" s="848"/>
      <c r="AA16" s="848"/>
      <c r="AB16" s="847"/>
      <c r="AC16" s="97"/>
    </row>
    <row r="17" spans="1:29" ht="13.5">
      <c r="A17" s="572">
        <v>9</v>
      </c>
      <c r="B17" s="572" t="s">
        <v>626</v>
      </c>
      <c r="C17" s="575" t="s">
        <v>602</v>
      </c>
      <c r="D17" t="s">
        <v>1098</v>
      </c>
      <c r="E17" s="573"/>
      <c r="F17" s="573"/>
      <c r="G17" s="573"/>
      <c r="H17" s="573"/>
      <c r="I17" s="573"/>
      <c r="J17" s="573"/>
      <c r="K17" s="573"/>
      <c r="L17" s="573"/>
      <c r="M17" s="573"/>
      <c r="N17" s="573"/>
      <c r="S17" s="573"/>
      <c r="Y17" s="597"/>
      <c r="Z17" s="848"/>
      <c r="AA17" s="848"/>
      <c r="AB17" s="847"/>
      <c r="AC17" s="97"/>
    </row>
    <row r="18" spans="1:29" ht="13.5">
      <c r="A18" s="572">
        <v>10</v>
      </c>
      <c r="B18" s="572" t="s">
        <v>627</v>
      </c>
      <c r="C18" s="575" t="s">
        <v>602</v>
      </c>
      <c r="D18" t="s">
        <v>460</v>
      </c>
      <c r="E18" s="573"/>
      <c r="F18" s="573"/>
      <c r="G18" s="573"/>
      <c r="H18" s="573"/>
      <c r="I18" s="573"/>
      <c r="J18" s="573"/>
      <c r="K18" s="573"/>
      <c r="L18" s="573"/>
      <c r="M18" s="573"/>
      <c r="N18" s="573"/>
      <c r="S18" s="573"/>
      <c r="Y18" s="597"/>
      <c r="Z18" s="848"/>
      <c r="AA18" s="848"/>
      <c r="AB18" s="847"/>
      <c r="AC18" s="97"/>
    </row>
    <row r="19" spans="1:29" ht="13.5">
      <c r="A19" s="572">
        <v>11</v>
      </c>
      <c r="B19" s="581" t="s">
        <v>628</v>
      </c>
      <c r="C19" s="575" t="s">
        <v>602</v>
      </c>
      <c r="D19" t="s">
        <v>1099</v>
      </c>
      <c r="E19" s="573"/>
      <c r="F19" s="573"/>
      <c r="G19" s="573"/>
      <c r="H19" s="573"/>
      <c r="I19" s="573"/>
      <c r="J19" s="573"/>
      <c r="K19" s="573"/>
      <c r="L19" s="573"/>
      <c r="M19" s="573"/>
      <c r="N19" s="573"/>
      <c r="S19" s="573"/>
      <c r="Y19" s="597"/>
      <c r="Z19" s="848"/>
      <c r="AA19" s="848"/>
      <c r="AB19" s="848"/>
      <c r="AC19" s="97"/>
    </row>
    <row r="20" spans="1:29" ht="13.5">
      <c r="A20" s="572"/>
      <c r="B20" s="581"/>
      <c r="C20" s="572"/>
      <c r="D20" s="579"/>
      <c r="E20" s="573"/>
      <c r="F20" s="573"/>
      <c r="G20" s="573"/>
      <c r="H20" s="573"/>
      <c r="I20" s="573"/>
      <c r="J20" s="573"/>
      <c r="K20" s="573"/>
      <c r="L20" s="573"/>
      <c r="M20" s="573"/>
      <c r="N20" s="573"/>
      <c r="S20" s="573"/>
      <c r="Y20" s="597"/>
      <c r="Z20" s="597"/>
      <c r="AA20" s="597"/>
      <c r="AB20" s="597"/>
      <c r="AC20" s="97"/>
    </row>
    <row r="21" spans="1:29" ht="13.5">
      <c r="A21" s="582"/>
      <c r="B21" s="575"/>
      <c r="C21" s="572"/>
      <c r="D21" s="583"/>
      <c r="E21" s="573"/>
      <c r="F21" s="573"/>
      <c r="G21" s="573"/>
      <c r="H21" s="573"/>
      <c r="I21" s="573"/>
      <c r="J21" s="573"/>
      <c r="K21" s="573"/>
      <c r="L21" s="573"/>
      <c r="M21" s="573"/>
      <c r="N21" s="573"/>
      <c r="S21" s="573"/>
      <c r="Y21" s="573"/>
      <c r="Z21" s="573"/>
      <c r="AA21" s="573"/>
      <c r="AB21" s="573"/>
    </row>
    <row r="22" spans="1:29" ht="13.5">
      <c r="A22" s="572">
        <v>1</v>
      </c>
      <c r="B22" s="572" t="s">
        <v>626</v>
      </c>
      <c r="C22" s="572" t="s">
        <v>601</v>
      </c>
      <c r="D22" s="573" t="s">
        <v>960</v>
      </c>
      <c r="E22" s="573"/>
      <c r="F22" s="573"/>
      <c r="G22" s="573"/>
      <c r="H22" s="573"/>
      <c r="I22" s="573"/>
      <c r="J22" s="419"/>
      <c r="K22" s="573"/>
      <c r="L22" s="573"/>
      <c r="M22" s="573"/>
      <c r="N22" s="573"/>
      <c r="S22" s="573"/>
    </row>
    <row r="23" spans="1:29" ht="13.5">
      <c r="A23" s="572"/>
      <c r="B23" s="572"/>
      <c r="C23" s="572"/>
      <c r="D23" s="584"/>
      <c r="E23" s="573" t="s">
        <v>366</v>
      </c>
      <c r="F23" s="573"/>
      <c r="G23" s="1785" t="s">
        <v>1090</v>
      </c>
      <c r="H23" s="1506"/>
      <c r="I23" s="1506"/>
      <c r="J23" s="1506"/>
      <c r="K23" s="1506"/>
      <c r="L23" s="573"/>
      <c r="M23" s="573"/>
      <c r="N23" s="573"/>
      <c r="S23" s="573"/>
    </row>
    <row r="24" spans="1:29" ht="13.5">
      <c r="A24" s="572"/>
      <c r="B24" s="572"/>
      <c r="C24" s="572"/>
      <c r="D24" s="586"/>
      <c r="E24" s="573"/>
      <c r="F24" s="573"/>
      <c r="G24" s="573"/>
      <c r="H24" s="573"/>
      <c r="I24" s="573"/>
      <c r="J24" s="573"/>
      <c r="K24" s="573"/>
      <c r="L24" s="573"/>
      <c r="M24" s="573"/>
      <c r="N24" s="573"/>
      <c r="O24" s="573"/>
      <c r="P24" s="573"/>
      <c r="Q24" s="573"/>
      <c r="R24" s="573"/>
      <c r="S24" s="573"/>
    </row>
    <row r="25" spans="1:29" ht="13.5">
      <c r="A25" s="572">
        <v>2</v>
      </c>
      <c r="B25" s="572" t="s">
        <v>626</v>
      </c>
      <c r="C25" s="572" t="s">
        <v>601</v>
      </c>
      <c r="D25" s="579" t="s">
        <v>961</v>
      </c>
      <c r="E25" s="573"/>
      <c r="F25" s="573"/>
      <c r="G25" s="573"/>
      <c r="H25" s="573"/>
      <c r="I25" s="573"/>
      <c r="J25" s="419"/>
      <c r="K25" s="573"/>
      <c r="L25" s="573"/>
      <c r="M25" s="573"/>
      <c r="N25" s="573"/>
      <c r="O25" s="573"/>
      <c r="P25" s="573"/>
      <c r="Q25" s="573"/>
      <c r="R25" s="573"/>
      <c r="S25" s="573"/>
    </row>
    <row r="26" spans="1:29" ht="13.5">
      <c r="A26" s="572"/>
      <c r="C26" s="572"/>
      <c r="D26" s="579"/>
      <c r="E26" s="573"/>
      <c r="F26" s="573"/>
      <c r="G26" s="573"/>
      <c r="H26" s="573"/>
      <c r="I26" s="573"/>
      <c r="J26" s="419"/>
      <c r="K26" s="573"/>
      <c r="L26" s="573"/>
      <c r="M26" s="573"/>
      <c r="N26" s="573"/>
      <c r="O26" s="573"/>
      <c r="P26" s="573"/>
      <c r="Q26" s="573"/>
      <c r="R26" s="573"/>
      <c r="S26" s="573"/>
    </row>
    <row r="27" spans="1:29" ht="13.5">
      <c r="A27" s="572"/>
      <c r="B27" s="419"/>
      <c r="C27" s="479" t="s">
        <v>263</v>
      </c>
      <c r="D27" s="479" t="s">
        <v>264</v>
      </c>
      <c r="E27" s="479" t="s">
        <v>356</v>
      </c>
      <c r="F27" s="479" t="s">
        <v>265</v>
      </c>
      <c r="G27" s="479" t="s">
        <v>266</v>
      </c>
      <c r="H27" s="479" t="s">
        <v>262</v>
      </c>
      <c r="I27" s="479"/>
      <c r="J27" s="479" t="s">
        <v>570</v>
      </c>
      <c r="K27" s="479" t="s">
        <v>571</v>
      </c>
      <c r="L27" s="479" t="s">
        <v>963</v>
      </c>
      <c r="M27" s="575" t="s">
        <v>964</v>
      </c>
      <c r="N27" s="572" t="s">
        <v>965</v>
      </c>
      <c r="O27" s="572" t="s">
        <v>966</v>
      </c>
      <c r="P27" s="572"/>
      <c r="Q27" s="575"/>
      <c r="R27" s="575"/>
      <c r="S27" s="572"/>
    </row>
    <row r="28" spans="1:29" ht="13.5">
      <c r="A28" s="572"/>
      <c r="B28" s="419"/>
      <c r="C28" s="572" t="s">
        <v>219</v>
      </c>
      <c r="D28" s="572" t="s">
        <v>219</v>
      </c>
      <c r="E28" s="572" t="s">
        <v>219</v>
      </c>
      <c r="F28" s="572" t="s">
        <v>219</v>
      </c>
      <c r="G28" s="572" t="s">
        <v>219</v>
      </c>
      <c r="H28" s="572" t="s">
        <v>219</v>
      </c>
      <c r="I28" s="572"/>
      <c r="J28" s="572" t="s">
        <v>72</v>
      </c>
      <c r="K28" s="572" t="s">
        <v>72</v>
      </c>
      <c r="L28" s="572" t="s">
        <v>72</v>
      </c>
      <c r="M28" s="572" t="s">
        <v>72</v>
      </c>
      <c r="N28" s="572" t="s">
        <v>72</v>
      </c>
      <c r="O28" s="572" t="s">
        <v>72</v>
      </c>
      <c r="P28" s="572"/>
      <c r="Q28" s="575"/>
      <c r="R28" s="2"/>
    </row>
    <row r="29" spans="1:29" ht="13.5">
      <c r="A29" s="572"/>
      <c r="B29" s="573"/>
      <c r="C29" s="572" t="s">
        <v>68</v>
      </c>
      <c r="D29" s="572" t="s">
        <v>68</v>
      </c>
      <c r="E29" s="572" t="s">
        <v>68</v>
      </c>
      <c r="F29" s="572" t="s">
        <v>68</v>
      </c>
      <c r="G29" s="623"/>
      <c r="H29" s="623"/>
      <c r="I29" s="572"/>
      <c r="J29" s="572" t="s">
        <v>73</v>
      </c>
      <c r="K29" s="572" t="s">
        <v>74</v>
      </c>
      <c r="L29" s="572" t="s">
        <v>75</v>
      </c>
      <c r="M29" s="572" t="s">
        <v>76</v>
      </c>
      <c r="N29" s="572" t="s">
        <v>77</v>
      </c>
      <c r="O29" s="572" t="s">
        <v>78</v>
      </c>
      <c r="P29" s="572"/>
      <c r="Q29" s="577"/>
      <c r="R29" s="2"/>
    </row>
    <row r="30" spans="1:29" ht="13.5">
      <c r="A30" s="572"/>
      <c r="B30" s="573"/>
      <c r="C30" s="572"/>
      <c r="D30" s="572"/>
      <c r="E30" s="572"/>
      <c r="F30" s="572"/>
      <c r="G30" s="572" t="s">
        <v>69</v>
      </c>
      <c r="H30" s="572" t="s">
        <v>70</v>
      </c>
      <c r="I30" s="572"/>
      <c r="J30" s="572"/>
      <c r="K30" s="572"/>
      <c r="L30" s="572"/>
      <c r="M30" s="572"/>
      <c r="N30" s="572"/>
      <c r="O30" s="572"/>
      <c r="Q30" s="577"/>
      <c r="R30" s="2"/>
    </row>
    <row r="31" spans="1:29" ht="13.5">
      <c r="A31" s="572"/>
      <c r="B31" s="573"/>
      <c r="C31" s="572"/>
      <c r="D31" s="587"/>
      <c r="E31" s="587"/>
      <c r="F31" s="587"/>
      <c r="G31" s="572"/>
      <c r="H31" s="572"/>
      <c r="I31" s="622"/>
      <c r="J31" s="572"/>
      <c r="K31" s="572"/>
      <c r="L31" s="588"/>
      <c r="M31" s="572"/>
      <c r="N31" s="572"/>
      <c r="O31" s="583"/>
      <c r="Q31" s="577"/>
      <c r="R31" s="2"/>
    </row>
    <row r="32" spans="1:29" ht="13.5">
      <c r="A32" s="572"/>
      <c r="B32" s="573" t="s">
        <v>629</v>
      </c>
      <c r="C32" s="844"/>
      <c r="D32" s="589"/>
      <c r="E32" s="589"/>
      <c r="F32" s="589"/>
      <c r="G32" s="589"/>
      <c r="H32" s="589"/>
      <c r="I32" s="622"/>
      <c r="J32" s="588">
        <f t="shared" ref="J32:O32" si="0">C32</f>
        <v>0</v>
      </c>
      <c r="K32" s="588">
        <f t="shared" si="0"/>
        <v>0</v>
      </c>
      <c r="L32" s="588">
        <f t="shared" si="0"/>
        <v>0</v>
      </c>
      <c r="M32" s="588">
        <f t="shared" si="0"/>
        <v>0</v>
      </c>
      <c r="N32" s="588">
        <f t="shared" si="0"/>
        <v>0</v>
      </c>
      <c r="O32" s="588">
        <f t="shared" si="0"/>
        <v>0</v>
      </c>
      <c r="P32" s="588"/>
      <c r="Q32" s="577"/>
      <c r="R32" s="2"/>
    </row>
    <row r="33" spans="1:18" ht="13.5">
      <c r="A33" s="572"/>
      <c r="B33" s="573" t="s">
        <v>630</v>
      </c>
      <c r="C33" s="844"/>
      <c r="D33" s="589"/>
      <c r="E33" s="589"/>
      <c r="F33" s="589"/>
      <c r="G33" s="589"/>
      <c r="H33" s="589"/>
      <c r="I33" s="622"/>
      <c r="J33" s="588">
        <f>J32+C33</f>
        <v>0</v>
      </c>
      <c r="K33" s="588">
        <f t="shared" ref="K33:O43" si="1">K32+D33</f>
        <v>0</v>
      </c>
      <c r="L33" s="588">
        <f t="shared" si="1"/>
        <v>0</v>
      </c>
      <c r="M33" s="588">
        <f t="shared" si="1"/>
        <v>0</v>
      </c>
      <c r="N33" s="588">
        <f t="shared" si="1"/>
        <v>0</v>
      </c>
      <c r="O33" s="588">
        <f t="shared" si="1"/>
        <v>0</v>
      </c>
      <c r="P33" s="588"/>
      <c r="Q33" s="577"/>
      <c r="R33" s="2"/>
    </row>
    <row r="34" spans="1:18" ht="13.5">
      <c r="A34" s="572"/>
      <c r="B34" s="573" t="s">
        <v>631</v>
      </c>
      <c r="C34" s="844"/>
      <c r="D34" s="589"/>
      <c r="E34" s="589"/>
      <c r="F34" s="589"/>
      <c r="G34" s="589"/>
      <c r="H34" s="589"/>
      <c r="I34" s="622"/>
      <c r="J34" s="588">
        <f t="shared" ref="J34:J43" si="2">J33+C34</f>
        <v>0</v>
      </c>
      <c r="K34" s="588">
        <f t="shared" si="1"/>
        <v>0</v>
      </c>
      <c r="L34" s="588">
        <f t="shared" si="1"/>
        <v>0</v>
      </c>
      <c r="M34" s="588">
        <f t="shared" si="1"/>
        <v>0</v>
      </c>
      <c r="N34" s="588">
        <f t="shared" si="1"/>
        <v>0</v>
      </c>
      <c r="O34" s="588">
        <f t="shared" si="1"/>
        <v>0</v>
      </c>
      <c r="P34" s="588"/>
      <c r="Q34" s="577"/>
      <c r="R34" s="2"/>
    </row>
    <row r="35" spans="1:18" ht="13.5">
      <c r="A35" s="572"/>
      <c r="B35" s="573" t="s">
        <v>632</v>
      </c>
      <c r="C35" s="844"/>
      <c r="D35" s="589"/>
      <c r="E35" s="589"/>
      <c r="F35" s="589"/>
      <c r="G35" s="589"/>
      <c r="H35" s="589"/>
      <c r="I35" s="622"/>
      <c r="J35" s="588">
        <f t="shared" si="2"/>
        <v>0</v>
      </c>
      <c r="K35" s="588">
        <f t="shared" si="1"/>
        <v>0</v>
      </c>
      <c r="L35" s="588">
        <f t="shared" si="1"/>
        <v>0</v>
      </c>
      <c r="M35" s="588">
        <f t="shared" si="1"/>
        <v>0</v>
      </c>
      <c r="N35" s="588">
        <f t="shared" si="1"/>
        <v>0</v>
      </c>
      <c r="O35" s="588">
        <f t="shared" si="1"/>
        <v>0</v>
      </c>
      <c r="P35" s="588"/>
      <c r="Q35" s="577"/>
      <c r="R35" s="2"/>
    </row>
    <row r="36" spans="1:18" ht="13.5">
      <c r="A36" s="572"/>
      <c r="B36" s="573" t="s">
        <v>627</v>
      </c>
      <c r="C36" s="844"/>
      <c r="D36" s="589"/>
      <c r="E36" s="589"/>
      <c r="F36" s="589"/>
      <c r="G36" s="589"/>
      <c r="H36" s="589"/>
      <c r="I36" s="622"/>
      <c r="J36" s="588">
        <f t="shared" si="2"/>
        <v>0</v>
      </c>
      <c r="K36" s="588">
        <f t="shared" si="1"/>
        <v>0</v>
      </c>
      <c r="L36" s="588">
        <f t="shared" si="1"/>
        <v>0</v>
      </c>
      <c r="M36" s="588">
        <f t="shared" si="1"/>
        <v>0</v>
      </c>
      <c r="N36" s="588">
        <f t="shared" si="1"/>
        <v>0</v>
      </c>
      <c r="O36" s="588">
        <f t="shared" si="1"/>
        <v>0</v>
      </c>
      <c r="P36" s="588"/>
      <c r="Q36" s="577"/>
      <c r="R36" s="2"/>
    </row>
    <row r="37" spans="1:18" ht="13.5">
      <c r="A37" s="572"/>
      <c r="B37" s="573" t="s">
        <v>633</v>
      </c>
      <c r="C37" s="844"/>
      <c r="D37" s="589"/>
      <c r="E37" s="589"/>
      <c r="F37" s="589"/>
      <c r="G37" s="589"/>
      <c r="H37" s="589"/>
      <c r="I37" s="622"/>
      <c r="J37" s="588">
        <f t="shared" si="2"/>
        <v>0</v>
      </c>
      <c r="K37" s="588">
        <f t="shared" si="1"/>
        <v>0</v>
      </c>
      <c r="L37" s="588">
        <f t="shared" si="1"/>
        <v>0</v>
      </c>
      <c r="M37" s="588">
        <f t="shared" si="1"/>
        <v>0</v>
      </c>
      <c r="N37" s="588">
        <f t="shared" si="1"/>
        <v>0</v>
      </c>
      <c r="O37" s="588">
        <f t="shared" si="1"/>
        <v>0</v>
      </c>
      <c r="P37" s="588"/>
      <c r="Q37" s="577"/>
      <c r="R37" s="2"/>
    </row>
    <row r="38" spans="1:18" ht="13.5">
      <c r="A38" s="572"/>
      <c r="B38" s="573" t="s">
        <v>634</v>
      </c>
      <c r="C38" s="844"/>
      <c r="D38" s="589"/>
      <c r="E38" s="589"/>
      <c r="F38" s="589"/>
      <c r="G38" s="589"/>
      <c r="H38" s="589"/>
      <c r="I38" s="622"/>
      <c r="J38" s="588">
        <f t="shared" si="2"/>
        <v>0</v>
      </c>
      <c r="K38" s="588">
        <f t="shared" si="1"/>
        <v>0</v>
      </c>
      <c r="L38" s="588">
        <f t="shared" si="1"/>
        <v>0</v>
      </c>
      <c r="M38" s="588">
        <f t="shared" si="1"/>
        <v>0</v>
      </c>
      <c r="N38" s="588">
        <f t="shared" si="1"/>
        <v>0</v>
      </c>
      <c r="O38" s="588">
        <f t="shared" si="1"/>
        <v>0</v>
      </c>
      <c r="P38" s="588"/>
      <c r="Q38" s="577"/>
      <c r="R38" s="2"/>
    </row>
    <row r="39" spans="1:18" ht="13.5">
      <c r="A39" s="572"/>
      <c r="B39" s="573" t="s">
        <v>635</v>
      </c>
      <c r="C39" s="844"/>
      <c r="D39" s="589"/>
      <c r="E39" s="589"/>
      <c r="F39" s="589"/>
      <c r="G39" s="589"/>
      <c r="H39" s="589"/>
      <c r="I39" s="622"/>
      <c r="J39" s="588">
        <f t="shared" si="2"/>
        <v>0</v>
      </c>
      <c r="K39" s="588">
        <f t="shared" si="1"/>
        <v>0</v>
      </c>
      <c r="L39" s="588">
        <f t="shared" si="1"/>
        <v>0</v>
      </c>
      <c r="M39" s="588">
        <f t="shared" si="1"/>
        <v>0</v>
      </c>
      <c r="N39" s="588">
        <f t="shared" si="1"/>
        <v>0</v>
      </c>
      <c r="O39" s="588">
        <f t="shared" si="1"/>
        <v>0</v>
      </c>
      <c r="P39" s="588"/>
      <c r="Q39" s="577"/>
      <c r="R39" s="2"/>
    </row>
    <row r="40" spans="1:18" ht="13.5">
      <c r="A40" s="572"/>
      <c r="B40" s="573" t="s">
        <v>636</v>
      </c>
      <c r="C40" s="844"/>
      <c r="D40" s="589"/>
      <c r="E40" s="589"/>
      <c r="F40" s="589"/>
      <c r="G40" s="589"/>
      <c r="H40" s="589"/>
      <c r="I40" s="622"/>
      <c r="J40" s="588">
        <f t="shared" si="2"/>
        <v>0</v>
      </c>
      <c r="K40" s="588">
        <f t="shared" si="1"/>
        <v>0</v>
      </c>
      <c r="L40" s="588">
        <f t="shared" si="1"/>
        <v>0</v>
      </c>
      <c r="M40" s="588">
        <f t="shared" si="1"/>
        <v>0</v>
      </c>
      <c r="N40" s="588">
        <f t="shared" si="1"/>
        <v>0</v>
      </c>
      <c r="O40" s="588">
        <f t="shared" si="1"/>
        <v>0</v>
      </c>
      <c r="P40" s="588"/>
      <c r="Q40" s="577"/>
      <c r="R40" s="2"/>
    </row>
    <row r="41" spans="1:18" ht="13.5">
      <c r="A41" s="572"/>
      <c r="B41" s="573" t="s">
        <v>637</v>
      </c>
      <c r="C41" s="844"/>
      <c r="D41" s="589"/>
      <c r="E41" s="589"/>
      <c r="F41" s="589"/>
      <c r="G41" s="589"/>
      <c r="H41" s="589"/>
      <c r="I41" s="622"/>
      <c r="J41" s="588">
        <f t="shared" si="2"/>
        <v>0</v>
      </c>
      <c r="K41" s="588">
        <f t="shared" si="1"/>
        <v>0</v>
      </c>
      <c r="L41" s="588">
        <f t="shared" si="1"/>
        <v>0</v>
      </c>
      <c r="M41" s="588">
        <f t="shared" si="1"/>
        <v>0</v>
      </c>
      <c r="N41" s="588">
        <f t="shared" si="1"/>
        <v>0</v>
      </c>
      <c r="O41" s="588">
        <f t="shared" si="1"/>
        <v>0</v>
      </c>
      <c r="P41" s="588"/>
      <c r="Q41" s="577"/>
      <c r="R41" s="2"/>
    </row>
    <row r="42" spans="1:18" ht="13.5">
      <c r="A42" s="572"/>
      <c r="B42" s="573" t="s">
        <v>638</v>
      </c>
      <c r="C42" s="844"/>
      <c r="D42" s="589"/>
      <c r="E42" s="589"/>
      <c r="F42" s="589"/>
      <c r="G42" s="589"/>
      <c r="H42" s="589"/>
      <c r="I42" s="622"/>
      <c r="J42" s="588">
        <f t="shared" si="2"/>
        <v>0</v>
      </c>
      <c r="K42" s="588">
        <f t="shared" si="1"/>
        <v>0</v>
      </c>
      <c r="L42" s="588">
        <f t="shared" si="1"/>
        <v>0</v>
      </c>
      <c r="M42" s="588">
        <f t="shared" si="1"/>
        <v>0</v>
      </c>
      <c r="N42" s="588">
        <f t="shared" si="1"/>
        <v>0</v>
      </c>
      <c r="O42" s="588">
        <f t="shared" si="1"/>
        <v>0</v>
      </c>
      <c r="P42" s="588"/>
      <c r="Q42" s="577"/>
      <c r="R42" s="2"/>
    </row>
    <row r="43" spans="1:18" ht="13.5">
      <c r="A43" s="572"/>
      <c r="B43" s="573" t="s">
        <v>639</v>
      </c>
      <c r="C43" s="844"/>
      <c r="D43" s="589"/>
      <c r="E43" s="589"/>
      <c r="F43" s="589"/>
      <c r="G43" s="589"/>
      <c r="H43" s="589"/>
      <c r="I43" s="622"/>
      <c r="J43" s="588">
        <f t="shared" si="2"/>
        <v>0</v>
      </c>
      <c r="K43" s="588">
        <f t="shared" si="1"/>
        <v>0</v>
      </c>
      <c r="L43" s="588">
        <f t="shared" si="1"/>
        <v>0</v>
      </c>
      <c r="M43" s="588">
        <f t="shared" si="1"/>
        <v>0</v>
      </c>
      <c r="N43" s="588">
        <f t="shared" si="1"/>
        <v>0</v>
      </c>
      <c r="O43" s="588">
        <f t="shared" si="1"/>
        <v>0</v>
      </c>
      <c r="P43" s="588"/>
      <c r="Q43" s="577"/>
      <c r="R43" s="2"/>
    </row>
    <row r="44" spans="1:18" ht="13.5">
      <c r="A44" s="572"/>
      <c r="B44" s="573" t="s">
        <v>851</v>
      </c>
      <c r="C44" s="588">
        <f t="shared" ref="C44:H44" si="3">SUM(C32:C43)</f>
        <v>0</v>
      </c>
      <c r="D44" s="588">
        <f t="shared" si="3"/>
        <v>0</v>
      </c>
      <c r="E44" s="588">
        <f t="shared" si="3"/>
        <v>0</v>
      </c>
      <c r="F44" s="588">
        <f t="shared" si="3"/>
        <v>0</v>
      </c>
      <c r="G44" s="588">
        <f t="shared" si="3"/>
        <v>0</v>
      </c>
      <c r="H44" s="588">
        <f t="shared" si="3"/>
        <v>0</v>
      </c>
      <c r="I44" s="588" t="s">
        <v>79</v>
      </c>
      <c r="J44" s="588">
        <f t="shared" ref="J44:O44" si="4">AVERAGE(J32:J43)</f>
        <v>0</v>
      </c>
      <c r="K44" s="588">
        <f t="shared" si="4"/>
        <v>0</v>
      </c>
      <c r="L44" s="588">
        <f t="shared" si="4"/>
        <v>0</v>
      </c>
      <c r="M44" s="588">
        <f t="shared" si="4"/>
        <v>0</v>
      </c>
      <c r="N44" s="588">
        <f t="shared" si="4"/>
        <v>0</v>
      </c>
      <c r="O44" s="588">
        <f t="shared" si="4"/>
        <v>0</v>
      </c>
      <c r="P44" s="588"/>
      <c r="Q44" s="609"/>
      <c r="R44" s="2"/>
    </row>
    <row r="45" spans="1:18" ht="13.5">
      <c r="A45" s="572"/>
      <c r="C45" s="573"/>
      <c r="D45" s="419"/>
      <c r="E45" s="419"/>
      <c r="F45" s="419"/>
      <c r="G45" s="419"/>
      <c r="H45" s="419"/>
      <c r="I45" s="419"/>
      <c r="J45" s="419"/>
      <c r="K45" s="419"/>
      <c r="L45" s="590"/>
      <c r="M45" s="573"/>
      <c r="N45" s="573"/>
      <c r="O45" s="573"/>
      <c r="Q45" s="577"/>
      <c r="R45" s="2"/>
    </row>
    <row r="46" spans="1:18" ht="13.5">
      <c r="A46" s="572"/>
      <c r="B46" s="573" t="s">
        <v>81</v>
      </c>
      <c r="C46" s="573"/>
      <c r="D46" s="419"/>
      <c r="E46" s="419"/>
      <c r="F46" s="419"/>
      <c r="G46" s="419"/>
      <c r="H46" s="419"/>
      <c r="I46" s="419"/>
      <c r="J46" s="573"/>
      <c r="K46" s="624" t="s">
        <v>80</v>
      </c>
      <c r="L46" s="419"/>
      <c r="M46" s="588">
        <f>SUM(J44:O44)</f>
        <v>0</v>
      </c>
      <c r="N46" s="588"/>
      <c r="O46" s="588"/>
      <c r="Q46" s="609"/>
      <c r="R46" s="2"/>
    </row>
    <row r="47" spans="1:18" ht="13.5">
      <c r="A47" s="572"/>
      <c r="B47" s="573"/>
      <c r="C47" s="573"/>
      <c r="D47" s="419"/>
      <c r="E47" s="419"/>
      <c r="F47" s="419"/>
      <c r="G47" s="419"/>
      <c r="H47" s="419"/>
      <c r="I47" s="419"/>
      <c r="J47" s="573"/>
      <c r="K47" s="573"/>
      <c r="L47" s="419"/>
      <c r="M47" s="588"/>
      <c r="N47" s="573"/>
      <c r="O47" s="588"/>
      <c r="Q47" s="609"/>
      <c r="R47" s="2"/>
    </row>
    <row r="48" spans="1:18" ht="13.5">
      <c r="A48" s="572"/>
      <c r="B48" s="572"/>
      <c r="C48" s="572"/>
      <c r="D48" s="573"/>
      <c r="E48" s="573"/>
      <c r="F48" s="419"/>
      <c r="G48" s="419"/>
      <c r="H48" s="419"/>
      <c r="I48" s="419"/>
      <c r="J48" s="573"/>
      <c r="L48" s="419"/>
      <c r="M48" s="591"/>
      <c r="N48" s="591"/>
      <c r="O48" s="592"/>
      <c r="Q48" s="577"/>
      <c r="R48" s="2"/>
    </row>
    <row r="49" spans="1:19" ht="13.5">
      <c r="A49" s="572">
        <v>3</v>
      </c>
      <c r="B49" s="572" t="s">
        <v>626</v>
      </c>
      <c r="C49" s="572" t="s">
        <v>601</v>
      </c>
      <c r="D49" s="579" t="s">
        <v>1095</v>
      </c>
      <c r="E49" s="573"/>
      <c r="F49" s="573"/>
      <c r="G49" s="573"/>
      <c r="H49" s="573"/>
      <c r="I49" s="573"/>
      <c r="J49" s="573"/>
      <c r="K49" s="573"/>
      <c r="L49" s="588"/>
      <c r="M49" s="573"/>
      <c r="N49" s="573"/>
      <c r="O49" s="573"/>
      <c r="P49" s="573"/>
      <c r="Q49" s="573"/>
      <c r="R49" s="573"/>
      <c r="S49" s="573"/>
    </row>
    <row r="50" spans="1:19" ht="13.5">
      <c r="A50" s="572"/>
      <c r="B50" s="572"/>
      <c r="C50" s="572"/>
      <c r="D50" s="593">
        <f>D23</f>
        <v>0</v>
      </c>
      <c r="E50" s="1504"/>
      <c r="F50" s="1505"/>
      <c r="G50" s="1775" t="s">
        <v>1089</v>
      </c>
      <c r="H50" s="1505"/>
      <c r="I50" s="1506"/>
      <c r="J50" s="1506"/>
      <c r="K50" s="1506"/>
      <c r="L50" s="1505"/>
      <c r="M50" s="573"/>
      <c r="N50" s="573"/>
      <c r="O50" s="573"/>
      <c r="P50" s="573"/>
      <c r="Q50" s="573"/>
      <c r="R50" s="573"/>
      <c r="S50" s="573"/>
    </row>
    <row r="51" spans="1:19" ht="13.5">
      <c r="A51" s="572"/>
      <c r="B51" s="572"/>
      <c r="C51" s="572"/>
      <c r="D51" s="594"/>
      <c r="E51" s="1507"/>
      <c r="F51" s="1505"/>
      <c r="G51" s="1776"/>
      <c r="H51" s="1505"/>
      <c r="I51" s="1506"/>
      <c r="J51" s="1506"/>
      <c r="K51" s="1506"/>
      <c r="L51" s="1506"/>
      <c r="M51" s="573"/>
      <c r="N51" s="573"/>
      <c r="O51" s="573"/>
      <c r="P51" s="573"/>
      <c r="Q51" s="573"/>
      <c r="R51" s="573"/>
      <c r="S51" s="573"/>
    </row>
    <row r="52" spans="1:19" ht="13.5">
      <c r="A52" s="572">
        <v>4</v>
      </c>
      <c r="B52" s="572" t="s">
        <v>627</v>
      </c>
      <c r="C52" s="572" t="s">
        <v>601</v>
      </c>
      <c r="D52" s="573" t="s">
        <v>962</v>
      </c>
      <c r="E52" s="1506"/>
      <c r="F52" s="1506"/>
      <c r="G52" s="1777"/>
      <c r="H52" s="1506"/>
      <c r="I52" s="1506"/>
      <c r="J52" s="1506"/>
      <c r="K52" s="1506"/>
      <c r="L52" s="1506"/>
      <c r="M52" s="573"/>
      <c r="N52" s="573"/>
      <c r="O52" s="573"/>
      <c r="P52" s="573"/>
      <c r="Q52" s="573"/>
      <c r="R52" s="573"/>
      <c r="S52" s="573"/>
    </row>
    <row r="53" spans="1:19" ht="13.5">
      <c r="A53" s="572"/>
      <c r="B53" s="572"/>
      <c r="C53" s="572"/>
      <c r="D53" s="584">
        <f>D50</f>
        <v>0</v>
      </c>
      <c r="E53" s="1508"/>
      <c r="F53" s="1509"/>
      <c r="G53" s="1775" t="s">
        <v>1089</v>
      </c>
      <c r="H53" s="1506"/>
      <c r="I53" s="1506"/>
      <c r="J53" s="1506"/>
      <c r="K53" s="1506"/>
      <c r="L53" s="1506"/>
      <c r="M53" s="573"/>
      <c r="N53" s="573"/>
      <c r="O53" s="573"/>
      <c r="P53" s="573"/>
      <c r="Q53" s="573"/>
      <c r="R53" s="573"/>
      <c r="S53" s="573"/>
    </row>
    <row r="54" spans="1:19" ht="13.5">
      <c r="A54" s="572"/>
      <c r="B54" s="572"/>
      <c r="C54" s="572"/>
      <c r="D54" s="595"/>
      <c r="E54" s="1506"/>
      <c r="F54" s="1506"/>
      <c r="G54" s="1777"/>
      <c r="H54" s="1506"/>
      <c r="I54" s="1506"/>
      <c r="J54" s="1506"/>
      <c r="K54" s="1506"/>
      <c r="L54" s="1506"/>
      <c r="M54" s="573"/>
      <c r="N54" s="573"/>
      <c r="O54" s="573"/>
      <c r="P54" s="573"/>
      <c r="Q54" s="573"/>
      <c r="R54" s="573"/>
      <c r="S54" s="573"/>
    </row>
    <row r="55" spans="1:19" ht="13.5">
      <c r="A55" s="572">
        <v>5</v>
      </c>
      <c r="B55" s="572" t="s">
        <v>628</v>
      </c>
      <c r="C55" s="572" t="s">
        <v>601</v>
      </c>
      <c r="D55" s="576" t="s">
        <v>1096</v>
      </c>
      <c r="E55" s="1506"/>
      <c r="F55" s="1506"/>
      <c r="G55" s="1777"/>
      <c r="H55" s="1506"/>
      <c r="I55" s="1506"/>
      <c r="J55" s="1506"/>
      <c r="K55" s="1506"/>
      <c r="L55" s="1506"/>
      <c r="M55" s="573"/>
      <c r="N55" s="573"/>
      <c r="O55" s="573"/>
      <c r="P55" s="573"/>
      <c r="Q55" s="573"/>
      <c r="R55" s="573"/>
      <c r="S55" s="573"/>
    </row>
    <row r="56" spans="1:19" ht="13.5">
      <c r="A56" s="572"/>
      <c r="B56" s="572"/>
      <c r="C56" s="572"/>
      <c r="D56" s="593">
        <f>D53</f>
        <v>0</v>
      </c>
      <c r="E56" s="573"/>
      <c r="F56" s="573"/>
      <c r="G56" s="1777"/>
      <c r="H56" s="573"/>
      <c r="I56" s="573"/>
      <c r="J56" s="573"/>
      <c r="K56" s="573"/>
      <c r="L56" s="573"/>
      <c r="M56" s="573"/>
      <c r="N56" s="573"/>
      <c r="O56" s="573"/>
      <c r="P56" s="573"/>
      <c r="Q56" s="573"/>
      <c r="R56" s="573"/>
      <c r="S56" s="573"/>
    </row>
    <row r="57" spans="1:19" ht="13.5">
      <c r="A57" s="596"/>
      <c r="B57" s="596"/>
      <c r="C57" s="596"/>
      <c r="D57" s="597"/>
      <c r="E57" s="597"/>
      <c r="F57" s="597"/>
      <c r="G57" s="1778"/>
      <c r="H57" s="597"/>
      <c r="I57" s="597"/>
      <c r="J57" s="597"/>
      <c r="K57" s="597"/>
      <c r="L57" s="573"/>
      <c r="M57" s="573"/>
      <c r="N57" s="573"/>
      <c r="O57" s="573"/>
      <c r="P57" s="573"/>
      <c r="Q57" s="573"/>
      <c r="R57" s="573"/>
      <c r="S57" s="573"/>
    </row>
    <row r="58" spans="1:19" ht="15.75">
      <c r="A58" s="596"/>
      <c r="B58" s="596"/>
      <c r="C58" s="596"/>
      <c r="D58" s="597"/>
      <c r="E58" s="597"/>
      <c r="F58" s="597"/>
      <c r="G58" s="1778"/>
      <c r="H58" s="597"/>
      <c r="I58" s="597"/>
      <c r="J58" s="598"/>
      <c r="K58" s="597"/>
      <c r="L58" s="573"/>
      <c r="M58" s="573"/>
      <c r="N58" s="573"/>
      <c r="O58" s="573"/>
      <c r="P58" s="573"/>
      <c r="Q58" s="573"/>
      <c r="R58" s="573"/>
      <c r="S58" s="573"/>
    </row>
    <row r="59" spans="1:19" ht="15.75">
      <c r="A59" s="596"/>
      <c r="B59" s="596"/>
      <c r="C59" s="596"/>
      <c r="D59" s="597"/>
      <c r="E59" s="597"/>
      <c r="F59" s="597"/>
      <c r="G59" s="1778"/>
      <c r="H59" s="597"/>
      <c r="I59" s="597"/>
      <c r="J59" s="598"/>
      <c r="K59" s="597"/>
      <c r="L59" s="573"/>
      <c r="M59" s="573"/>
      <c r="N59" s="573"/>
      <c r="O59" s="573"/>
      <c r="P59" s="573"/>
      <c r="Q59" s="573"/>
      <c r="R59" s="573"/>
      <c r="S59" s="573"/>
    </row>
    <row r="60" spans="1:19" ht="13.5">
      <c r="A60" s="572">
        <v>6</v>
      </c>
      <c r="B60" s="572" t="s">
        <v>626</v>
      </c>
      <c r="C60" s="572" t="s">
        <v>602</v>
      </c>
      <c r="D60" s="579" t="s">
        <v>1097</v>
      </c>
      <c r="E60" s="573"/>
      <c r="F60" s="573"/>
      <c r="G60" s="1777"/>
      <c r="H60" s="573"/>
      <c r="I60" s="573"/>
      <c r="J60" s="573"/>
      <c r="K60" s="573"/>
      <c r="L60" s="573"/>
      <c r="M60" s="573"/>
      <c r="N60" s="573"/>
      <c r="O60" s="573"/>
      <c r="P60" s="573"/>
      <c r="Q60" s="573"/>
      <c r="R60" s="573"/>
      <c r="S60" s="573"/>
    </row>
    <row r="61" spans="1:19" ht="13.5">
      <c r="A61" s="572"/>
      <c r="B61" s="572"/>
      <c r="C61" s="572"/>
      <c r="D61" s="599"/>
      <c r="E61" s="573" t="s">
        <v>657</v>
      </c>
      <c r="F61" s="573"/>
      <c r="G61" s="1775" t="s">
        <v>1089</v>
      </c>
      <c r="H61" s="573"/>
      <c r="I61" s="573"/>
      <c r="J61" s="419"/>
      <c r="K61" s="573"/>
      <c r="L61" s="573"/>
      <c r="M61" s="573"/>
      <c r="N61" s="573"/>
      <c r="O61" s="573"/>
      <c r="P61" s="573"/>
      <c r="Q61" s="573"/>
      <c r="R61" s="573"/>
      <c r="S61" s="573"/>
    </row>
    <row r="62" spans="1:19" ht="13.5">
      <c r="A62" s="572"/>
      <c r="B62" s="572"/>
      <c r="C62" s="572"/>
      <c r="D62" s="600"/>
      <c r="E62" s="573"/>
      <c r="F62" s="573"/>
      <c r="G62" s="1779"/>
      <c r="H62" s="573"/>
      <c r="I62" s="573"/>
      <c r="J62" s="573"/>
      <c r="K62" s="573"/>
      <c r="L62" s="573"/>
      <c r="M62" s="573"/>
      <c r="N62" s="573"/>
      <c r="O62" s="573"/>
      <c r="P62" s="573"/>
      <c r="Q62" s="573"/>
      <c r="R62" s="573"/>
      <c r="S62" s="573"/>
    </row>
    <row r="63" spans="1:19" ht="13.5">
      <c r="A63" s="572"/>
      <c r="B63" s="572"/>
      <c r="C63" s="572"/>
      <c r="D63" s="601"/>
      <c r="E63" s="573"/>
      <c r="F63" s="573"/>
      <c r="G63" s="1777"/>
      <c r="H63" s="573"/>
      <c r="I63" s="573"/>
      <c r="J63" s="573"/>
      <c r="K63" s="573"/>
      <c r="L63" s="573"/>
      <c r="M63" s="573"/>
      <c r="N63" s="573"/>
      <c r="O63" s="573"/>
      <c r="P63" s="573"/>
      <c r="Q63" s="573"/>
      <c r="R63" s="573"/>
      <c r="S63" s="573"/>
    </row>
    <row r="64" spans="1:19" ht="13.5">
      <c r="A64" s="572"/>
      <c r="B64" s="572"/>
      <c r="C64" s="572"/>
      <c r="D64" s="573"/>
      <c r="E64" s="573"/>
      <c r="F64" s="573"/>
      <c r="G64" s="1777"/>
      <c r="H64" s="588"/>
      <c r="I64" s="573"/>
      <c r="J64" s="573"/>
      <c r="K64" s="573"/>
      <c r="L64" s="573"/>
      <c r="M64" s="573"/>
      <c r="N64" s="573"/>
      <c r="O64" s="573"/>
      <c r="P64" s="573"/>
      <c r="Q64" s="573"/>
      <c r="R64" s="573"/>
      <c r="S64" s="573"/>
    </row>
    <row r="65" spans="1:19" ht="13.5">
      <c r="A65" s="572">
        <v>7</v>
      </c>
      <c r="B65" s="572" t="s">
        <v>626</v>
      </c>
      <c r="C65" s="572" t="s">
        <v>602</v>
      </c>
      <c r="D65" s="579" t="str">
        <f>+'6 - Est and True up'!D65</f>
        <v>Reconciliation</v>
      </c>
      <c r="E65" s="580"/>
      <c r="F65" s="580"/>
      <c r="G65" s="1780"/>
      <c r="H65" s="580"/>
      <c r="I65" s="580"/>
      <c r="J65" s="580"/>
      <c r="K65" s="573"/>
      <c r="L65" s="573"/>
      <c r="M65" s="573"/>
      <c r="N65" s="573"/>
      <c r="O65" s="573"/>
      <c r="P65" s="573"/>
      <c r="Q65" s="573"/>
      <c r="R65" s="573"/>
      <c r="S65" s="573"/>
    </row>
    <row r="66" spans="1:19" ht="13.5">
      <c r="A66" s="572"/>
      <c r="B66" s="572"/>
      <c r="C66" s="572"/>
      <c r="D66" s="602"/>
      <c r="E66" s="603"/>
      <c r="F66" s="603"/>
      <c r="G66" s="1781"/>
      <c r="H66" s="580"/>
      <c r="I66" s="580"/>
      <c r="J66" s="580"/>
      <c r="K66" s="573"/>
      <c r="L66" s="573"/>
      <c r="M66" s="573"/>
      <c r="N66" s="573"/>
      <c r="O66" s="573"/>
      <c r="P66" s="573"/>
      <c r="Q66" s="573"/>
      <c r="R66" s="573"/>
      <c r="S66" s="573"/>
    </row>
    <row r="67" spans="1:19" ht="13.5">
      <c r="A67" s="572"/>
      <c r="B67" s="573"/>
      <c r="C67" s="573"/>
      <c r="D67" s="419"/>
      <c r="E67" s="419"/>
      <c r="F67" s="419"/>
      <c r="G67" s="1782"/>
      <c r="H67" s="419"/>
      <c r="I67" s="419"/>
      <c r="J67" s="573"/>
      <c r="K67" s="573"/>
      <c r="L67" s="588"/>
      <c r="M67" s="573"/>
      <c r="N67" s="419"/>
      <c r="O67" s="573"/>
      <c r="P67" s="573"/>
      <c r="Q67" s="577"/>
      <c r="R67" s="618"/>
      <c r="S67" s="618"/>
    </row>
    <row r="68" spans="1:19" ht="13.5">
      <c r="A68" s="572"/>
      <c r="B68" s="572"/>
      <c r="C68" s="572"/>
      <c r="D68" s="599"/>
      <c r="E68" s="605" t="s">
        <v>980</v>
      </c>
      <c r="F68" s="573"/>
      <c r="G68" s="1775" t="s">
        <v>1089</v>
      </c>
      <c r="H68" s="573"/>
      <c r="I68" s="573"/>
      <c r="J68" s="573"/>
      <c r="K68" s="573"/>
      <c r="L68" s="588"/>
      <c r="M68" s="573"/>
      <c r="N68" s="419"/>
      <c r="O68" s="607"/>
      <c r="P68" s="608"/>
      <c r="Q68" s="608"/>
      <c r="R68" s="608"/>
      <c r="S68" s="577"/>
    </row>
    <row r="69" spans="1:19" ht="13.5">
      <c r="A69" s="420"/>
      <c r="B69" s="572"/>
      <c r="C69" s="572"/>
      <c r="D69" s="419"/>
      <c r="E69" s="573" t="s">
        <v>1000</v>
      </c>
      <c r="F69" s="573"/>
      <c r="G69" s="577"/>
      <c r="H69" s="609"/>
      <c r="I69" s="577"/>
      <c r="J69" s="573"/>
      <c r="K69" s="573"/>
      <c r="L69" s="573"/>
      <c r="M69" s="573"/>
      <c r="N69" s="573"/>
      <c r="O69" s="573"/>
      <c r="P69" s="573"/>
      <c r="Q69" s="573"/>
      <c r="R69" s="573"/>
      <c r="S69" s="573"/>
    </row>
    <row r="70" spans="1:19" ht="13.5">
      <c r="A70" s="572"/>
      <c r="B70" s="572"/>
      <c r="C70" s="572"/>
      <c r="D70" s="605"/>
      <c r="E70" s="573"/>
      <c r="F70" s="573"/>
      <c r="G70" s="577"/>
      <c r="H70" s="609"/>
      <c r="I70" s="577"/>
      <c r="J70" s="573"/>
      <c r="K70" s="573"/>
      <c r="L70" s="573"/>
      <c r="M70" s="573"/>
      <c r="N70" s="573"/>
      <c r="O70" s="573"/>
      <c r="P70" s="573"/>
      <c r="Q70" s="573"/>
      <c r="R70" s="573"/>
      <c r="S70" s="573"/>
    </row>
    <row r="71" spans="1:19" ht="13.5">
      <c r="A71" s="420"/>
      <c r="B71" s="572"/>
      <c r="C71" s="572"/>
      <c r="D71" s="610">
        <v>0</v>
      </c>
      <c r="E71" s="573" t="s">
        <v>421</v>
      </c>
      <c r="F71" s="573"/>
      <c r="G71" s="577"/>
      <c r="H71" s="609"/>
      <c r="I71" s="577"/>
      <c r="J71" s="573"/>
      <c r="K71" s="573"/>
      <c r="L71" s="573"/>
      <c r="M71" s="573"/>
      <c r="N71" s="573"/>
      <c r="O71" s="573"/>
      <c r="P71" s="573"/>
      <c r="Q71" s="573"/>
      <c r="R71" s="573"/>
      <c r="S71" s="573"/>
    </row>
    <row r="72" spans="1:19" ht="13.5">
      <c r="A72" s="420"/>
      <c r="B72" s="572"/>
      <c r="C72" s="572"/>
      <c r="D72" s="419"/>
      <c r="E72" s="573"/>
      <c r="F72" s="573"/>
      <c r="G72" s="577"/>
      <c r="H72" s="609"/>
      <c r="I72" s="577"/>
      <c r="J72" s="573"/>
      <c r="K72" s="573"/>
      <c r="L72" s="573"/>
      <c r="M72" s="573"/>
      <c r="N72" s="573"/>
      <c r="O72" s="573"/>
      <c r="P72" s="573"/>
      <c r="Q72" s="573"/>
      <c r="R72" s="573"/>
      <c r="S72" s="573"/>
    </row>
    <row r="73" spans="1:19" ht="13.5">
      <c r="A73" s="572"/>
      <c r="B73" s="572"/>
      <c r="C73" s="572"/>
      <c r="D73" s="605"/>
      <c r="E73" s="573"/>
      <c r="F73" s="573"/>
      <c r="G73" s="577"/>
      <c r="H73" s="609"/>
      <c r="I73" s="577"/>
      <c r="J73" s="573"/>
      <c r="K73" s="573"/>
      <c r="L73" s="573"/>
      <c r="M73" s="573"/>
      <c r="N73" s="573"/>
      <c r="O73" s="573"/>
      <c r="P73" s="573"/>
      <c r="Q73" s="573"/>
      <c r="R73" s="573"/>
      <c r="S73" s="573"/>
    </row>
    <row r="74" spans="1:19" ht="13.5">
      <c r="A74" s="572">
        <v>8</v>
      </c>
      <c r="B74" s="572" t="s">
        <v>626</v>
      </c>
      <c r="C74" s="572" t="s">
        <v>602</v>
      </c>
      <c r="D74" s="579" t="str">
        <f>+'6 - Est and True up'!D75</f>
        <v>True-Up Adjustment</v>
      </c>
      <c r="E74" s="573"/>
      <c r="F74" s="573"/>
      <c r="G74" s="573"/>
      <c r="H74" s="573"/>
      <c r="I74" s="573"/>
      <c r="J74" s="573"/>
      <c r="K74" s="573"/>
      <c r="L74" s="573"/>
      <c r="M74" s="573"/>
      <c r="N74" s="573"/>
      <c r="O74" s="573"/>
      <c r="P74" s="573"/>
      <c r="Q74" s="573"/>
      <c r="R74" s="573"/>
      <c r="S74" s="573"/>
    </row>
    <row r="75" spans="1:19" ht="13.5">
      <c r="A75" s="572"/>
      <c r="B75" s="572"/>
      <c r="C75" s="572"/>
      <c r="D75" s="579"/>
      <c r="E75" s="573"/>
      <c r="F75" s="573"/>
      <c r="G75" s="573"/>
      <c r="H75" s="573"/>
      <c r="I75" s="573"/>
      <c r="J75" s="573"/>
      <c r="K75" s="573"/>
      <c r="L75" s="573"/>
      <c r="M75" s="573"/>
      <c r="N75" s="573"/>
      <c r="O75" s="573"/>
      <c r="P75" s="573"/>
      <c r="Q75" s="573"/>
      <c r="R75" s="573"/>
      <c r="S75" s="573"/>
    </row>
    <row r="76" spans="1:19" ht="13.5">
      <c r="A76" s="575"/>
      <c r="B76" s="575"/>
      <c r="C76" s="572"/>
      <c r="D76" s="418" t="s">
        <v>944</v>
      </c>
      <c r="E76" s="419"/>
      <c r="F76" s="419"/>
      <c r="G76" s="419"/>
      <c r="H76" s="419"/>
      <c r="I76" s="419"/>
      <c r="J76" s="419"/>
      <c r="K76" s="419"/>
      <c r="L76" s="573"/>
      <c r="M76" s="573"/>
      <c r="N76" s="573"/>
      <c r="O76" s="573"/>
      <c r="P76" s="573"/>
      <c r="Q76" s="573"/>
      <c r="R76" s="573"/>
      <c r="S76" s="573"/>
    </row>
    <row r="77" spans="1:19" ht="13.5">
      <c r="A77" s="575"/>
      <c r="B77" s="575"/>
      <c r="C77" s="572"/>
      <c r="D77" s="419"/>
      <c r="E77" s="573" t="s">
        <v>1001</v>
      </c>
      <c r="F77" s="573"/>
      <c r="G77" s="573"/>
      <c r="H77" s="573"/>
      <c r="I77" s="573"/>
      <c r="J77" s="573"/>
      <c r="K77" s="419"/>
      <c r="L77" s="573"/>
      <c r="M77" s="573"/>
      <c r="N77" s="573"/>
      <c r="O77" s="573"/>
      <c r="P77" s="573"/>
      <c r="Q77" s="573"/>
      <c r="R77" s="573"/>
      <c r="S77" s="573"/>
    </row>
    <row r="78" spans="1:19" ht="27">
      <c r="A78" s="575"/>
      <c r="B78" s="575"/>
      <c r="C78" s="572"/>
      <c r="D78" s="419"/>
      <c r="E78" s="828" t="s">
        <v>622</v>
      </c>
      <c r="F78" s="828" t="s">
        <v>1002</v>
      </c>
      <c r="G78" s="828" t="s">
        <v>1003</v>
      </c>
      <c r="H78" s="828" t="s">
        <v>1004</v>
      </c>
      <c r="I78" s="828" t="s">
        <v>1005</v>
      </c>
      <c r="J78" s="828" t="s">
        <v>1006</v>
      </c>
      <c r="K78" s="604"/>
      <c r="L78" s="573"/>
      <c r="M78" s="1762" t="s">
        <v>1101</v>
      </c>
      <c r="N78" s="625"/>
      <c r="O78" s="573"/>
      <c r="P78" s="573"/>
      <c r="Q78" s="573"/>
      <c r="R78" s="573"/>
      <c r="S78" s="573"/>
    </row>
    <row r="79" spans="1:19" ht="13.5">
      <c r="A79" s="575"/>
      <c r="B79" s="575"/>
      <c r="C79" s="572"/>
      <c r="D79" s="419"/>
      <c r="E79" s="573" t="s">
        <v>629</v>
      </c>
      <c r="F79" s="843">
        <v>1.656099896621104</v>
      </c>
      <c r="G79" s="611">
        <f>'WKSHT4 - Monthly Tx System Peak'!C57</f>
        <v>383</v>
      </c>
      <c r="H79" s="626">
        <f>+F79*G79*1000</f>
        <v>634286.26040588273</v>
      </c>
      <c r="I79" s="1348">
        <f t="shared" ref="I79:I83" si="5">1365027/12</f>
        <v>113752.25</v>
      </c>
      <c r="J79" s="626">
        <f>+H79-I79</f>
        <v>520534.01040588273</v>
      </c>
      <c r="K79" s="419"/>
      <c r="L79" s="573"/>
      <c r="M79" s="1348"/>
      <c r="N79" s="2014"/>
      <c r="O79" s="573"/>
      <c r="P79" s="573"/>
      <c r="Q79" s="573"/>
      <c r="R79" s="573"/>
      <c r="S79" s="573"/>
    </row>
    <row r="80" spans="1:19" ht="13.5">
      <c r="A80" s="575"/>
      <c r="B80" s="575"/>
      <c r="C80" s="572"/>
      <c r="D80" s="419"/>
      <c r="E80" s="573" t="s">
        <v>630</v>
      </c>
      <c r="F80" s="843">
        <v>1.656099896621104</v>
      </c>
      <c r="G80" s="611">
        <f>'WKSHT4 - Monthly Tx System Peak'!C58</f>
        <v>383</v>
      </c>
      <c r="H80" s="626">
        <f t="shared" ref="H80:H90" si="6">+F80*G80*1000</f>
        <v>634286.26040588273</v>
      </c>
      <c r="I80" s="1348">
        <f t="shared" si="5"/>
        <v>113752.25</v>
      </c>
      <c r="J80" s="626">
        <f t="shared" ref="J80:J90" si="7">+H80-I80</f>
        <v>520534.01040588273</v>
      </c>
      <c r="K80" s="419"/>
      <c r="L80" s="573"/>
      <c r="M80" s="1348"/>
      <c r="N80" s="2014"/>
      <c r="O80" s="573"/>
      <c r="P80" s="573"/>
      <c r="Q80" s="573"/>
      <c r="R80" s="573"/>
      <c r="S80" s="573"/>
    </row>
    <row r="81" spans="1:19" ht="13.5">
      <c r="A81" s="575"/>
      <c r="B81" s="575"/>
      <c r="C81" s="572"/>
      <c r="D81" s="419"/>
      <c r="E81" s="573" t="s">
        <v>631</v>
      </c>
      <c r="F81" s="843">
        <v>1.656099896621104</v>
      </c>
      <c r="G81" s="611">
        <f>'WKSHT4 - Monthly Tx System Peak'!C59</f>
        <v>383</v>
      </c>
      <c r="H81" s="626">
        <f t="shared" si="6"/>
        <v>634286.26040588273</v>
      </c>
      <c r="I81" s="1348">
        <f t="shared" si="5"/>
        <v>113752.25</v>
      </c>
      <c r="J81" s="626">
        <f t="shared" si="7"/>
        <v>520534.01040588273</v>
      </c>
      <c r="K81" s="419"/>
      <c r="L81" s="573"/>
      <c r="M81" s="611"/>
      <c r="N81" s="611"/>
      <c r="O81" s="573"/>
      <c r="P81" s="573"/>
      <c r="Q81" s="573"/>
      <c r="R81" s="573"/>
      <c r="S81" s="573"/>
    </row>
    <row r="82" spans="1:19" ht="13.5">
      <c r="A82" s="575"/>
      <c r="B82" s="575"/>
      <c r="C82" s="572"/>
      <c r="D82" s="419"/>
      <c r="E82" s="573" t="s">
        <v>632</v>
      </c>
      <c r="F82" s="843">
        <v>1.656099896621104</v>
      </c>
      <c r="G82" s="611">
        <f>'WKSHT4 - Monthly Tx System Peak'!C61</f>
        <v>383</v>
      </c>
      <c r="H82" s="626">
        <f>+F82*G82*1000</f>
        <v>634286.26040588273</v>
      </c>
      <c r="I82" s="1348">
        <f t="shared" si="5"/>
        <v>113752.25</v>
      </c>
      <c r="J82" s="626">
        <f t="shared" si="7"/>
        <v>520534.01040588273</v>
      </c>
      <c r="K82" s="419"/>
      <c r="L82" s="573"/>
      <c r="M82" s="611"/>
      <c r="N82" s="611"/>
      <c r="O82" s="573"/>
      <c r="P82" s="573"/>
      <c r="Q82" s="573"/>
      <c r="R82" s="573"/>
      <c r="S82" s="573"/>
    </row>
    <row r="83" spans="1:19" ht="13.5">
      <c r="A83" s="575"/>
      <c r="B83" s="575"/>
      <c r="C83" s="572"/>
      <c r="D83" s="419"/>
      <c r="E83" s="573" t="s">
        <v>627</v>
      </c>
      <c r="F83" s="843">
        <v>1.656099896621104</v>
      </c>
      <c r="G83" s="611">
        <f>'WKSHT4 - Monthly Tx System Peak'!C62</f>
        <v>383</v>
      </c>
      <c r="H83" s="626">
        <f>+F83*G83*1000</f>
        <v>634286.26040588273</v>
      </c>
      <c r="I83" s="1348">
        <f t="shared" si="5"/>
        <v>113752.25</v>
      </c>
      <c r="J83" s="626">
        <f t="shared" si="7"/>
        <v>520534.01040588273</v>
      </c>
      <c r="K83" s="419"/>
      <c r="L83" s="573"/>
      <c r="M83" s="611"/>
      <c r="N83" s="611"/>
      <c r="O83" s="573"/>
      <c r="P83" s="573"/>
      <c r="Q83" s="573"/>
      <c r="R83" s="573"/>
      <c r="S83" s="573"/>
    </row>
    <row r="84" spans="1:19" ht="15.75">
      <c r="A84" s="575"/>
      <c r="B84" s="575"/>
      <c r="C84" s="572"/>
      <c r="D84" s="419"/>
      <c r="E84" s="573" t="s">
        <v>633</v>
      </c>
      <c r="F84" s="843">
        <v>1.4401353452141328</v>
      </c>
      <c r="G84" s="611">
        <f>'WKSHT4 - Monthly Tx System Peak'!C63</f>
        <v>383</v>
      </c>
      <c r="H84" s="848">
        <f t="shared" si="6"/>
        <v>551571.83721701289</v>
      </c>
      <c r="I84" s="1348">
        <f>634662/12</f>
        <v>52888.5</v>
      </c>
      <c r="J84" s="626">
        <f t="shared" si="7"/>
        <v>498683.33721701289</v>
      </c>
      <c r="K84" s="419"/>
      <c r="L84" s="573"/>
      <c r="M84" s="1763">
        <f>SUM(M79:M83)</f>
        <v>0</v>
      </c>
      <c r="N84" s="577" t="s">
        <v>1102</v>
      </c>
      <c r="O84" s="573"/>
      <c r="P84" s="573"/>
      <c r="Q84" s="573"/>
      <c r="R84" s="573"/>
      <c r="S84" s="573"/>
    </row>
    <row r="85" spans="1:19" ht="13.5">
      <c r="A85" s="575"/>
      <c r="B85" s="575"/>
      <c r="C85" s="572"/>
      <c r="D85" s="419"/>
      <c r="E85" s="573" t="s">
        <v>634</v>
      </c>
      <c r="F85" s="843">
        <v>1.4401353452141328</v>
      </c>
      <c r="G85" s="611">
        <f>'WKSHT4 - Monthly Tx System Peak'!C65</f>
        <v>383</v>
      </c>
      <c r="H85" s="626">
        <f t="shared" si="6"/>
        <v>551571.83721701289</v>
      </c>
      <c r="I85" s="1348">
        <f t="shared" ref="I85:I90" si="8">634662/12</f>
        <v>52888.5</v>
      </c>
      <c r="J85" s="626">
        <f t="shared" si="7"/>
        <v>498683.33721701289</v>
      </c>
      <c r="K85" s="419"/>
      <c r="L85" s="573"/>
      <c r="M85" s="573"/>
      <c r="N85" s="573"/>
      <c r="O85" s="573"/>
      <c r="P85" s="573"/>
      <c r="Q85" s="573"/>
      <c r="R85" s="573"/>
      <c r="S85" s="573"/>
    </row>
    <row r="86" spans="1:19" ht="13.5">
      <c r="A86" s="575"/>
      <c r="B86" s="575"/>
      <c r="C86" s="572"/>
      <c r="D86" s="419"/>
      <c r="E86" s="573" t="s">
        <v>635</v>
      </c>
      <c r="F86" s="843">
        <v>1.4401353452141328</v>
      </c>
      <c r="G86" s="611">
        <f>'WKSHT4 - Monthly Tx System Peak'!C66</f>
        <v>383</v>
      </c>
      <c r="H86" s="626">
        <f t="shared" si="6"/>
        <v>551571.83721701289</v>
      </c>
      <c r="I86" s="1348">
        <f t="shared" si="8"/>
        <v>52888.5</v>
      </c>
      <c r="J86" s="626">
        <f t="shared" si="7"/>
        <v>498683.33721701289</v>
      </c>
      <c r="K86" s="419"/>
      <c r="L86" s="573"/>
      <c r="M86" s="573"/>
      <c r="N86" s="573"/>
      <c r="O86" s="573"/>
      <c r="P86" s="573"/>
      <c r="Q86" s="573"/>
      <c r="R86" s="573"/>
      <c r="S86" s="573"/>
    </row>
    <row r="87" spans="1:19" ht="13.5">
      <c r="A87" s="575"/>
      <c r="B87" s="575"/>
      <c r="C87" s="572"/>
      <c r="D87" s="419"/>
      <c r="E87" s="573" t="s">
        <v>636</v>
      </c>
      <c r="F87" s="843">
        <v>1.4401353452141328</v>
      </c>
      <c r="G87" s="611">
        <f>'WKSHT4 - Monthly Tx System Peak'!C67</f>
        <v>383</v>
      </c>
      <c r="H87" s="626">
        <f t="shared" si="6"/>
        <v>551571.83721701289</v>
      </c>
      <c r="I87" s="1348">
        <f t="shared" si="8"/>
        <v>52888.5</v>
      </c>
      <c r="J87" s="626">
        <f t="shared" si="7"/>
        <v>498683.33721701289</v>
      </c>
      <c r="K87" s="419"/>
      <c r="L87" s="573"/>
      <c r="M87" s="573"/>
      <c r="N87" s="573"/>
      <c r="O87" s="573"/>
      <c r="P87" s="573"/>
      <c r="Q87" s="573"/>
      <c r="R87" s="573"/>
      <c r="S87" s="573"/>
    </row>
    <row r="88" spans="1:19" ht="13.5">
      <c r="A88" s="575"/>
      <c r="B88" s="575"/>
      <c r="C88" s="572"/>
      <c r="D88" s="419"/>
      <c r="E88" s="573" t="s">
        <v>637</v>
      </c>
      <c r="F88" s="843">
        <v>1.4401353452141328</v>
      </c>
      <c r="G88" s="611">
        <f>'WKSHT4 - Monthly Tx System Peak'!C69</f>
        <v>383</v>
      </c>
      <c r="H88" s="626">
        <f t="shared" si="6"/>
        <v>551571.83721701289</v>
      </c>
      <c r="I88" s="1348">
        <f t="shared" si="8"/>
        <v>52888.5</v>
      </c>
      <c r="J88" s="626">
        <f t="shared" si="7"/>
        <v>498683.33721701289</v>
      </c>
      <c r="K88" s="419"/>
      <c r="L88" s="573"/>
      <c r="M88" s="573"/>
      <c r="N88" s="573"/>
      <c r="O88" s="573"/>
      <c r="P88" s="573"/>
      <c r="Q88" s="573"/>
      <c r="R88" s="573"/>
      <c r="S88" s="573"/>
    </row>
    <row r="89" spans="1:19" ht="13.5">
      <c r="A89" s="575"/>
      <c r="B89" s="575"/>
      <c r="C89" s="572"/>
      <c r="D89" s="419"/>
      <c r="E89" s="573" t="s">
        <v>638</v>
      </c>
      <c r="F89" s="843">
        <v>1.4401353452141328</v>
      </c>
      <c r="G89" s="611">
        <f>'WKSHT4 - Monthly Tx System Peak'!C70</f>
        <v>383</v>
      </c>
      <c r="H89" s="626">
        <f t="shared" si="6"/>
        <v>551571.83721701289</v>
      </c>
      <c r="I89" s="1348">
        <f t="shared" si="8"/>
        <v>52888.5</v>
      </c>
      <c r="J89" s="626">
        <f t="shared" si="7"/>
        <v>498683.33721701289</v>
      </c>
      <c r="K89" s="419"/>
      <c r="L89" s="573"/>
      <c r="M89" s="573"/>
      <c r="N89" s="573"/>
      <c r="O89" s="573"/>
      <c r="P89" s="573"/>
      <c r="Q89" s="573"/>
      <c r="R89" s="573"/>
      <c r="S89" s="573"/>
    </row>
    <row r="90" spans="1:19" ht="13.5">
      <c r="A90" s="575"/>
      <c r="B90" s="575"/>
      <c r="C90" s="572"/>
      <c r="D90" s="419"/>
      <c r="E90" s="573" t="s">
        <v>639</v>
      </c>
      <c r="F90" s="843">
        <v>1.4401353452141328</v>
      </c>
      <c r="G90" s="611">
        <f>'WKSHT4 - Monthly Tx System Peak'!C71</f>
        <v>713</v>
      </c>
      <c r="H90" s="626">
        <f t="shared" si="6"/>
        <v>1026816.5011376766</v>
      </c>
      <c r="I90" s="1348">
        <f t="shared" si="8"/>
        <v>52888.5</v>
      </c>
      <c r="J90" s="626">
        <f t="shared" si="7"/>
        <v>973928.00113767665</v>
      </c>
      <c r="K90" s="419"/>
      <c r="L90" s="573"/>
      <c r="M90" s="573"/>
      <c r="N90" s="573"/>
      <c r="O90" s="573"/>
      <c r="P90" s="573"/>
      <c r="Q90" s="573"/>
      <c r="R90" s="573"/>
      <c r="S90" s="573"/>
    </row>
    <row r="91" spans="1:19" ht="13.5">
      <c r="A91" s="575"/>
      <c r="B91" s="575"/>
      <c r="C91" s="572"/>
      <c r="D91" s="573"/>
      <c r="E91" s="573" t="s">
        <v>1007</v>
      </c>
      <c r="F91" s="612"/>
      <c r="G91" s="612"/>
      <c r="H91" s="612"/>
      <c r="I91" s="612"/>
      <c r="J91" s="626">
        <f>SUM(J79:J90)</f>
        <v>6568698.0764691671</v>
      </c>
      <c r="K91" s="419"/>
      <c r="L91" s="573"/>
      <c r="M91" s="573"/>
      <c r="N91" s="573"/>
      <c r="O91" s="573"/>
      <c r="P91" s="573"/>
      <c r="Q91" s="573"/>
      <c r="R91" s="573"/>
      <c r="S91" s="573"/>
    </row>
    <row r="92" spans="1:19" ht="13.5">
      <c r="A92" s="575"/>
      <c r="B92" s="575"/>
      <c r="C92" s="572"/>
      <c r="D92" s="573"/>
      <c r="E92" s="612"/>
      <c r="F92" s="612"/>
      <c r="G92" s="612"/>
      <c r="H92" s="612"/>
      <c r="I92" s="612"/>
      <c r="J92" s="419"/>
      <c r="K92" s="419"/>
      <c r="L92" s="573"/>
      <c r="M92" s="573"/>
      <c r="N92" s="573"/>
      <c r="O92" s="573"/>
      <c r="P92" s="573"/>
      <c r="Q92" s="573"/>
      <c r="R92" s="573"/>
      <c r="S92" s="573"/>
    </row>
    <row r="93" spans="1:19" ht="13.5">
      <c r="A93" s="575"/>
      <c r="B93" s="575"/>
      <c r="C93" s="572"/>
      <c r="D93" s="573"/>
      <c r="E93" s="612"/>
      <c r="F93" s="612"/>
      <c r="G93" s="612"/>
      <c r="H93" s="612"/>
      <c r="I93" s="612"/>
      <c r="J93" s="419"/>
      <c r="K93" s="419"/>
      <c r="L93" s="573"/>
      <c r="M93" s="573"/>
      <c r="N93" s="573"/>
      <c r="O93" s="573"/>
      <c r="P93" s="573"/>
      <c r="Q93" s="573"/>
      <c r="R93" s="573"/>
      <c r="S93" s="573"/>
    </row>
    <row r="94" spans="1:19" ht="13.5">
      <c r="A94" s="575"/>
      <c r="B94" s="575"/>
      <c r="C94" s="572"/>
      <c r="D94" s="579"/>
      <c r="E94" s="573"/>
      <c r="F94" s="419"/>
      <c r="G94" s="573"/>
      <c r="H94" s="573"/>
      <c r="I94" s="573"/>
      <c r="J94" s="573"/>
      <c r="K94" s="573"/>
      <c r="L94" s="573"/>
      <c r="M94" s="573"/>
      <c r="N94" s="573"/>
      <c r="O94" s="573"/>
      <c r="P94" s="573"/>
      <c r="Q94" s="573"/>
      <c r="R94" s="573"/>
      <c r="S94" s="573"/>
    </row>
    <row r="95" spans="1:19" ht="31.5">
      <c r="A95" s="575"/>
      <c r="B95" s="575"/>
      <c r="C95" s="572"/>
      <c r="D95" s="574" t="s">
        <v>1008</v>
      </c>
      <c r="E95" s="1765"/>
      <c r="F95" s="1765" t="s">
        <v>983</v>
      </c>
      <c r="G95" s="573"/>
      <c r="H95" s="1766" t="s">
        <v>1103</v>
      </c>
      <c r="I95" s="573"/>
      <c r="J95" s="1767" t="s">
        <v>1104</v>
      </c>
      <c r="K95" s="185"/>
      <c r="L95" s="1768" t="s">
        <v>1105</v>
      </c>
      <c r="M95" s="573"/>
      <c r="N95" s="573"/>
      <c r="O95" s="573"/>
      <c r="P95" s="573"/>
      <c r="Q95" s="573"/>
      <c r="R95" s="573"/>
      <c r="S95" s="573"/>
    </row>
    <row r="96" spans="1:19" ht="15.75">
      <c r="A96" s="575"/>
      <c r="B96" s="575"/>
      <c r="C96" s="579" t="s">
        <v>1009</v>
      </c>
      <c r="D96" s="609">
        <f>D68</f>
        <v>0</v>
      </c>
      <c r="E96" s="572" t="s">
        <v>422</v>
      </c>
      <c r="F96" s="609">
        <f>J91</f>
        <v>6568698.0764691671</v>
      </c>
      <c r="G96" s="572" t="s">
        <v>423</v>
      </c>
      <c r="H96" s="588">
        <f>D96-F96</f>
        <v>-6568698.0764691671</v>
      </c>
      <c r="I96" s="572" t="s">
        <v>422</v>
      </c>
      <c r="J96" s="1783">
        <f>M84</f>
        <v>0</v>
      </c>
      <c r="K96" s="1761" t="s">
        <v>423</v>
      </c>
      <c r="L96" s="1744">
        <f>H96-J96</f>
        <v>-6568698.0764691671</v>
      </c>
      <c r="M96" s="183"/>
      <c r="N96" s="573"/>
      <c r="O96" s="573"/>
      <c r="P96" s="573"/>
      <c r="Q96" s="573"/>
      <c r="R96" s="573"/>
      <c r="S96" s="573"/>
    </row>
    <row r="97" spans="1:19" ht="15.75">
      <c r="A97" s="572"/>
      <c r="B97" s="572"/>
      <c r="C97" s="572"/>
      <c r="D97" s="613"/>
      <c r="E97" s="572"/>
      <c r="F97" s="588"/>
      <c r="G97" s="572"/>
      <c r="H97" s="588"/>
      <c r="I97" s="573"/>
      <c r="J97" s="176"/>
      <c r="K97" s="12"/>
      <c r="L97" s="12"/>
      <c r="M97" s="183"/>
      <c r="N97" s="573"/>
      <c r="O97" s="573"/>
      <c r="P97" s="573"/>
      <c r="Q97" s="573"/>
      <c r="R97" s="573"/>
      <c r="S97" s="573"/>
    </row>
    <row r="98" spans="1:19" ht="15.75">
      <c r="A98" s="572"/>
      <c r="B98" s="572"/>
      <c r="C98" s="572"/>
      <c r="D98" s="613"/>
      <c r="E98" s="572"/>
      <c r="F98" s="588"/>
      <c r="G98" s="572"/>
      <c r="H98" s="588"/>
      <c r="I98" s="573"/>
      <c r="J98" s="176"/>
      <c r="K98" s="12"/>
      <c r="L98" s="12"/>
      <c r="M98" s="183"/>
      <c r="N98" s="573"/>
      <c r="O98" s="573"/>
      <c r="P98" s="573"/>
      <c r="Q98" s="573"/>
      <c r="R98" s="573"/>
      <c r="S98" s="573"/>
    </row>
    <row r="99" spans="1:19" ht="15.75">
      <c r="A99" s="572"/>
      <c r="B99" s="572"/>
      <c r="C99" s="572"/>
      <c r="D99" s="1321" t="s">
        <v>640</v>
      </c>
      <c r="E99" s="575"/>
      <c r="F99" s="609"/>
      <c r="G99" s="572"/>
      <c r="H99" s="588"/>
      <c r="I99" s="573"/>
      <c r="J99" s="176"/>
      <c r="K99" s="12"/>
      <c r="L99" s="12"/>
      <c r="M99" s="183"/>
      <c r="N99" s="573"/>
      <c r="O99" s="573"/>
      <c r="P99" s="573"/>
      <c r="Q99" s="573"/>
      <c r="R99" s="573"/>
      <c r="S99" s="573"/>
    </row>
    <row r="100" spans="1:19" ht="15.75">
      <c r="A100" s="572"/>
      <c r="B100" s="572"/>
      <c r="C100" s="572"/>
      <c r="D100" s="2012" t="s">
        <v>1010</v>
      </c>
      <c r="E100" s="2012"/>
      <c r="F100" s="176">
        <f>'6 - Est and True up'!F119</f>
        <v>6.3E-3</v>
      </c>
      <c r="G100" s="575"/>
      <c r="H100" s="609"/>
      <c r="I100" s="573"/>
      <c r="J100" s="176"/>
      <c r="K100" s="12"/>
      <c r="L100" s="12"/>
      <c r="M100" s="183"/>
      <c r="N100" s="573"/>
      <c r="O100" s="573"/>
      <c r="P100" s="573"/>
      <c r="Q100" s="573"/>
      <c r="R100" s="573"/>
      <c r="S100" s="573"/>
    </row>
    <row r="101" spans="1:19" ht="13.5">
      <c r="A101" s="572"/>
      <c r="B101" s="572"/>
      <c r="C101" s="572"/>
      <c r="D101" s="606" t="s">
        <v>622</v>
      </c>
      <c r="E101" s="572" t="s">
        <v>641</v>
      </c>
      <c r="F101" s="575" t="s">
        <v>1011</v>
      </c>
      <c r="G101" s="1741" t="s">
        <v>1012</v>
      </c>
      <c r="H101" s="575"/>
      <c r="I101" s="606" t="s">
        <v>642</v>
      </c>
      <c r="J101" s="576" t="s">
        <v>1013</v>
      </c>
      <c r="K101" s="573"/>
      <c r="L101" s="573"/>
      <c r="M101" s="573"/>
      <c r="N101" s="573"/>
      <c r="O101" s="573"/>
      <c r="P101" s="573"/>
      <c r="Q101" s="573"/>
      <c r="R101" s="573"/>
      <c r="S101" s="573"/>
    </row>
    <row r="102" spans="1:19" ht="13.5">
      <c r="A102" s="572"/>
      <c r="B102" s="572"/>
      <c r="C102" s="572"/>
      <c r="D102" s="572"/>
      <c r="E102" s="572"/>
      <c r="F102" s="575" t="s">
        <v>1014</v>
      </c>
      <c r="G102" s="575" t="s">
        <v>1015</v>
      </c>
      <c r="H102" s="575" t="s">
        <v>643</v>
      </c>
      <c r="I102" s="572"/>
      <c r="J102" s="572"/>
      <c r="K102" s="573" t="s">
        <v>1016</v>
      </c>
      <c r="L102" s="573"/>
      <c r="M102" s="573"/>
      <c r="N102" s="573"/>
      <c r="O102" s="573"/>
      <c r="P102" s="573"/>
      <c r="Q102" s="573"/>
      <c r="R102" s="573"/>
      <c r="S102" s="573"/>
    </row>
    <row r="103" spans="1:19" ht="13.5">
      <c r="A103" s="572"/>
      <c r="B103" s="572"/>
      <c r="C103" s="572"/>
      <c r="D103" s="573" t="s">
        <v>629</v>
      </c>
      <c r="E103" s="573" t="s">
        <v>367</v>
      </c>
      <c r="F103" s="609">
        <f>L96/12</f>
        <v>-547391.50637243059</v>
      </c>
      <c r="G103" s="1737">
        <f>+F100</f>
        <v>6.3E-3</v>
      </c>
      <c r="H103" s="577">
        <v>12</v>
      </c>
      <c r="I103" s="583">
        <f>+F103*G103*H103</f>
        <v>-41382.797881755752</v>
      </c>
      <c r="J103" s="583">
        <f>+F103+I103</f>
        <v>-588774.30425418634</v>
      </c>
      <c r="K103" s="573" t="s">
        <v>1017</v>
      </c>
      <c r="L103" s="573"/>
      <c r="M103" s="573"/>
      <c r="N103" s="573"/>
      <c r="O103" s="573"/>
      <c r="P103" s="573"/>
      <c r="Q103" s="573"/>
      <c r="R103" s="573"/>
      <c r="S103" s="573"/>
    </row>
    <row r="104" spans="1:19" ht="13.5">
      <c r="A104" s="572"/>
      <c r="B104" s="572"/>
      <c r="C104" s="572"/>
      <c r="D104" s="573" t="s">
        <v>630</v>
      </c>
      <c r="E104" s="573" t="s">
        <v>367</v>
      </c>
      <c r="F104" s="609">
        <f t="shared" ref="F104:G114" si="9">+F103</f>
        <v>-547391.50637243059</v>
      </c>
      <c r="G104" s="1738">
        <f>+G103</f>
        <v>6.3E-3</v>
      </c>
      <c r="H104" s="577">
        <v>11</v>
      </c>
      <c r="I104" s="583">
        <f t="shared" ref="I104:I114" si="10">+F104*G104*H104</f>
        <v>-37934.231391609443</v>
      </c>
      <c r="J104" s="583">
        <f t="shared" ref="J104:J114" si="11">+F104+I104</f>
        <v>-585325.73776404001</v>
      </c>
      <c r="K104" s="573" t="s">
        <v>1018</v>
      </c>
      <c r="L104" s="573"/>
      <c r="M104" s="573"/>
      <c r="N104" s="573"/>
      <c r="O104" s="573"/>
      <c r="P104" s="573"/>
      <c r="Q104" s="573"/>
      <c r="R104" s="573"/>
      <c r="S104" s="573"/>
    </row>
    <row r="105" spans="1:19" ht="13.5">
      <c r="A105" s="572"/>
      <c r="B105" s="572"/>
      <c r="C105" s="572"/>
      <c r="D105" s="573" t="s">
        <v>631</v>
      </c>
      <c r="E105" s="573" t="s">
        <v>367</v>
      </c>
      <c r="F105" s="609">
        <f t="shared" si="9"/>
        <v>-547391.50637243059</v>
      </c>
      <c r="G105" s="1738">
        <f t="shared" si="9"/>
        <v>6.3E-3</v>
      </c>
      <c r="H105" s="577">
        <v>10</v>
      </c>
      <c r="I105" s="583">
        <f t="shared" si="10"/>
        <v>-34485.664901463126</v>
      </c>
      <c r="J105" s="583">
        <f t="shared" si="11"/>
        <v>-581877.17127389368</v>
      </c>
      <c r="K105" s="573"/>
      <c r="L105" s="573"/>
      <c r="M105" s="573"/>
      <c r="N105" s="573"/>
      <c r="O105" s="573"/>
      <c r="P105" s="573"/>
      <c r="Q105" s="573"/>
      <c r="R105" s="573"/>
      <c r="S105" s="573"/>
    </row>
    <row r="106" spans="1:19" ht="13.5">
      <c r="A106" s="572"/>
      <c r="B106" s="572"/>
      <c r="C106" s="572"/>
      <c r="D106" s="573" t="s">
        <v>632</v>
      </c>
      <c r="E106" s="573" t="s">
        <v>367</v>
      </c>
      <c r="F106" s="609">
        <f t="shared" si="9"/>
        <v>-547391.50637243059</v>
      </c>
      <c r="G106" s="1738">
        <f t="shared" si="9"/>
        <v>6.3E-3</v>
      </c>
      <c r="H106" s="577">
        <v>9</v>
      </c>
      <c r="I106" s="583">
        <f t="shared" si="10"/>
        <v>-31037.098411316816</v>
      </c>
      <c r="J106" s="583">
        <f t="shared" si="11"/>
        <v>-578428.60478374746</v>
      </c>
      <c r="K106" s="573"/>
      <c r="L106" s="573"/>
      <c r="M106" s="573"/>
      <c r="N106" s="573"/>
      <c r="O106" s="573"/>
      <c r="P106" s="573"/>
      <c r="Q106" s="573"/>
      <c r="R106" s="573"/>
      <c r="S106" s="573"/>
    </row>
    <row r="107" spans="1:19" ht="13.5">
      <c r="A107" s="572"/>
      <c r="B107" s="572"/>
      <c r="C107" s="572"/>
      <c r="D107" s="573" t="s">
        <v>627</v>
      </c>
      <c r="E107" s="573" t="s">
        <v>367</v>
      </c>
      <c r="F107" s="609">
        <f t="shared" si="9"/>
        <v>-547391.50637243059</v>
      </c>
      <c r="G107" s="1738">
        <f t="shared" si="9"/>
        <v>6.3E-3</v>
      </c>
      <c r="H107" s="577">
        <v>8</v>
      </c>
      <c r="I107" s="583">
        <f t="shared" si="10"/>
        <v>-27588.531921170503</v>
      </c>
      <c r="J107" s="583">
        <f t="shared" si="11"/>
        <v>-574980.03829360113</v>
      </c>
      <c r="K107" s="573"/>
      <c r="L107" s="573"/>
      <c r="M107" s="573"/>
      <c r="N107" s="573"/>
      <c r="O107" s="573"/>
      <c r="P107" s="573"/>
      <c r="Q107" s="573"/>
      <c r="R107" s="573"/>
      <c r="S107" s="573"/>
    </row>
    <row r="108" spans="1:19" ht="13.5">
      <c r="A108" s="572"/>
      <c r="B108" s="572"/>
      <c r="C108" s="572"/>
      <c r="D108" s="573" t="s">
        <v>633</v>
      </c>
      <c r="E108" s="573" t="s">
        <v>367</v>
      </c>
      <c r="F108" s="609">
        <f t="shared" si="9"/>
        <v>-547391.50637243059</v>
      </c>
      <c r="G108" s="1738">
        <f t="shared" si="9"/>
        <v>6.3E-3</v>
      </c>
      <c r="H108" s="577">
        <v>7</v>
      </c>
      <c r="I108" s="583">
        <f t="shared" si="10"/>
        <v>-24139.965431024189</v>
      </c>
      <c r="J108" s="583">
        <f t="shared" si="11"/>
        <v>-571531.4718034548</v>
      </c>
      <c r="K108" s="573"/>
      <c r="L108" s="573"/>
      <c r="M108" s="573"/>
      <c r="N108" s="573"/>
      <c r="O108" s="573"/>
      <c r="P108" s="573"/>
      <c r="Q108" s="573"/>
      <c r="R108" s="573"/>
      <c r="S108" s="573"/>
    </row>
    <row r="109" spans="1:19" ht="13.5">
      <c r="A109" s="572"/>
      <c r="B109" s="572"/>
      <c r="C109" s="572"/>
      <c r="D109" s="573" t="s">
        <v>634</v>
      </c>
      <c r="E109" s="573" t="s">
        <v>367</v>
      </c>
      <c r="F109" s="609">
        <f t="shared" si="9"/>
        <v>-547391.50637243059</v>
      </c>
      <c r="G109" s="1738">
        <f t="shared" si="9"/>
        <v>6.3E-3</v>
      </c>
      <c r="H109" s="577">
        <v>6</v>
      </c>
      <c r="I109" s="583">
        <f t="shared" si="10"/>
        <v>-20691.398940877876</v>
      </c>
      <c r="J109" s="583">
        <f t="shared" si="11"/>
        <v>-568082.90531330847</v>
      </c>
      <c r="K109" s="573"/>
      <c r="L109" s="573"/>
      <c r="M109" s="573"/>
      <c r="N109" s="573"/>
      <c r="O109" s="573"/>
      <c r="P109" s="573"/>
      <c r="Q109" s="573"/>
      <c r="R109" s="573"/>
      <c r="S109" s="573"/>
    </row>
    <row r="110" spans="1:19" ht="13.5">
      <c r="A110" s="572"/>
      <c r="B110" s="572"/>
      <c r="C110" s="572"/>
      <c r="D110" s="573" t="s">
        <v>635</v>
      </c>
      <c r="E110" s="573" t="s">
        <v>601</v>
      </c>
      <c r="F110" s="609">
        <f t="shared" si="9"/>
        <v>-547391.50637243059</v>
      </c>
      <c r="G110" s="1738">
        <f t="shared" si="9"/>
        <v>6.3E-3</v>
      </c>
      <c r="H110" s="577">
        <v>5</v>
      </c>
      <c r="I110" s="583">
        <f t="shared" si="10"/>
        <v>-17242.832450731563</v>
      </c>
      <c r="J110" s="583">
        <f t="shared" si="11"/>
        <v>-564634.33882316214</v>
      </c>
      <c r="K110" s="573"/>
      <c r="L110" s="573"/>
      <c r="M110" s="573"/>
      <c r="N110" s="573"/>
      <c r="O110" s="573"/>
      <c r="P110" s="573"/>
      <c r="Q110" s="573"/>
      <c r="R110" s="573"/>
      <c r="S110" s="573"/>
    </row>
    <row r="111" spans="1:19" ht="13.5">
      <c r="A111" s="572"/>
      <c r="B111" s="572"/>
      <c r="C111" s="572"/>
      <c r="D111" s="573" t="s">
        <v>636</v>
      </c>
      <c r="E111" s="573" t="s">
        <v>601</v>
      </c>
      <c r="F111" s="609">
        <f t="shared" si="9"/>
        <v>-547391.50637243059</v>
      </c>
      <c r="G111" s="1738">
        <f t="shared" si="9"/>
        <v>6.3E-3</v>
      </c>
      <c r="H111" s="577">
        <v>4</v>
      </c>
      <c r="I111" s="583">
        <f t="shared" si="10"/>
        <v>-13794.265960585251</v>
      </c>
      <c r="J111" s="583">
        <f t="shared" si="11"/>
        <v>-561185.7723330158</v>
      </c>
      <c r="K111" s="573"/>
      <c r="L111" s="573"/>
      <c r="M111" s="573"/>
      <c r="N111" s="573"/>
      <c r="O111" s="573"/>
      <c r="P111" s="573"/>
      <c r="Q111" s="573"/>
      <c r="R111" s="573"/>
      <c r="S111" s="573"/>
    </row>
    <row r="112" spans="1:19" ht="13.5">
      <c r="A112" s="572"/>
      <c r="B112" s="572"/>
      <c r="C112" s="572"/>
      <c r="D112" s="573" t="s">
        <v>637</v>
      </c>
      <c r="E112" s="573" t="s">
        <v>601</v>
      </c>
      <c r="F112" s="609">
        <f t="shared" si="9"/>
        <v>-547391.50637243059</v>
      </c>
      <c r="G112" s="1738">
        <f t="shared" si="9"/>
        <v>6.3E-3</v>
      </c>
      <c r="H112" s="577">
        <v>3</v>
      </c>
      <c r="I112" s="583">
        <f t="shared" si="10"/>
        <v>-10345.699470438938</v>
      </c>
      <c r="J112" s="583">
        <f t="shared" si="11"/>
        <v>-557737.20584286959</v>
      </c>
      <c r="K112" s="573"/>
      <c r="L112" s="573"/>
      <c r="M112" s="573"/>
      <c r="N112" s="573"/>
      <c r="O112" s="573"/>
      <c r="P112" s="573"/>
      <c r="Q112" s="573"/>
      <c r="R112" s="573"/>
      <c r="S112" s="573"/>
    </row>
    <row r="113" spans="1:19" ht="13.5">
      <c r="A113" s="572"/>
      <c r="B113" s="572"/>
      <c r="C113" s="572"/>
      <c r="D113" s="573" t="s">
        <v>638</v>
      </c>
      <c r="E113" s="573" t="s">
        <v>601</v>
      </c>
      <c r="F113" s="609">
        <f t="shared" si="9"/>
        <v>-547391.50637243059</v>
      </c>
      <c r="G113" s="1738">
        <f t="shared" si="9"/>
        <v>6.3E-3</v>
      </c>
      <c r="H113" s="577">
        <v>2</v>
      </c>
      <c r="I113" s="583">
        <f t="shared" si="10"/>
        <v>-6897.1329802926257</v>
      </c>
      <c r="J113" s="583">
        <f t="shared" si="11"/>
        <v>-554288.63935272326</v>
      </c>
      <c r="K113" s="573"/>
      <c r="L113" s="573"/>
      <c r="M113" s="573"/>
      <c r="N113" s="573"/>
      <c r="O113" s="573"/>
      <c r="P113" s="573"/>
      <c r="Q113" s="573"/>
      <c r="R113" s="573"/>
      <c r="S113" s="573"/>
    </row>
    <row r="114" spans="1:19" ht="13.5">
      <c r="A114" s="572"/>
      <c r="B114" s="572"/>
      <c r="C114" s="572"/>
      <c r="D114" s="573" t="s">
        <v>639</v>
      </c>
      <c r="E114" s="573" t="s">
        <v>601</v>
      </c>
      <c r="F114" s="609">
        <f t="shared" si="9"/>
        <v>-547391.50637243059</v>
      </c>
      <c r="G114" s="1738">
        <f t="shared" si="9"/>
        <v>6.3E-3</v>
      </c>
      <c r="H114" s="577">
        <v>1</v>
      </c>
      <c r="I114" s="583">
        <f t="shared" si="10"/>
        <v>-3448.5664901463128</v>
      </c>
      <c r="J114" s="583">
        <f t="shared" si="11"/>
        <v>-550840.07286257693</v>
      </c>
      <c r="K114" s="573"/>
      <c r="L114" s="573"/>
      <c r="M114" s="573"/>
      <c r="N114" s="573"/>
      <c r="O114" s="573"/>
      <c r="P114" s="573"/>
      <c r="Q114" s="573"/>
      <c r="R114" s="573"/>
      <c r="S114" s="573"/>
    </row>
    <row r="115" spans="1:19" ht="13.5">
      <c r="A115" s="572"/>
      <c r="B115" s="572"/>
      <c r="C115" s="572"/>
      <c r="D115" s="573" t="s">
        <v>851</v>
      </c>
      <c r="E115" s="573"/>
      <c r="F115" s="609">
        <v>0</v>
      </c>
      <c r="G115" s="577"/>
      <c r="H115" s="577"/>
      <c r="I115" s="573"/>
      <c r="J115" s="583">
        <f>SUM(J103:J114)</f>
        <v>-6837686.2627005782</v>
      </c>
      <c r="K115" s="573"/>
      <c r="L115" s="573"/>
      <c r="M115" s="573"/>
      <c r="N115" s="573"/>
      <c r="O115" s="573"/>
      <c r="P115" s="573"/>
      <c r="Q115" s="573"/>
      <c r="R115" s="573"/>
      <c r="S115" s="573"/>
    </row>
    <row r="116" spans="1:19" ht="27">
      <c r="A116" s="572"/>
      <c r="B116" s="572"/>
      <c r="C116" s="572"/>
      <c r="D116" s="573"/>
      <c r="E116" s="573"/>
      <c r="F116" s="1741" t="s">
        <v>644</v>
      </c>
      <c r="G116" s="1739" t="s">
        <v>1019</v>
      </c>
      <c r="H116" s="1739" t="s">
        <v>1020</v>
      </c>
      <c r="I116" s="606" t="s">
        <v>642</v>
      </c>
      <c r="J116" s="583" t="str">
        <f>+J101</f>
        <v>Surcharge (Refund) Owed</v>
      </c>
      <c r="K116" s="573"/>
      <c r="L116" s="573"/>
      <c r="M116" s="573"/>
      <c r="N116" s="573"/>
      <c r="O116" s="573"/>
      <c r="P116" s="573"/>
      <c r="Q116" s="573"/>
      <c r="R116" s="573"/>
      <c r="S116" s="573"/>
    </row>
    <row r="117" spans="1:19" ht="13.5">
      <c r="A117" s="572"/>
      <c r="B117" s="572"/>
      <c r="C117" s="572"/>
      <c r="D117" s="573" t="s">
        <v>629</v>
      </c>
      <c r="E117" s="573" t="s">
        <v>601</v>
      </c>
      <c r="F117" s="609">
        <f>+J115</f>
        <v>-6837686.2627005782</v>
      </c>
      <c r="G117" s="1738">
        <f>+G114</f>
        <v>6.3E-3</v>
      </c>
      <c r="H117" s="590">
        <v>0</v>
      </c>
      <c r="I117" s="583">
        <f t="shared" ref="I117:I133" si="12">+F117*G117</f>
        <v>-43077.423455013646</v>
      </c>
      <c r="J117" s="583">
        <f>+F117+I117-H117</f>
        <v>-6880763.6861555921</v>
      </c>
      <c r="K117" s="573"/>
      <c r="L117" s="573"/>
      <c r="M117" s="573"/>
      <c r="N117" s="573"/>
      <c r="O117" s="573"/>
      <c r="P117" s="573"/>
      <c r="Q117" s="573"/>
      <c r="R117" s="573"/>
      <c r="S117" s="573"/>
    </row>
    <row r="118" spans="1:19" ht="13.5">
      <c r="A118" s="572"/>
      <c r="B118" s="572"/>
      <c r="C118" s="572"/>
      <c r="D118" s="573" t="s">
        <v>630</v>
      </c>
      <c r="E118" s="573" t="s">
        <v>601</v>
      </c>
      <c r="F118" s="609">
        <f>+J117</f>
        <v>-6880763.6861555921</v>
      </c>
      <c r="G118" s="1738">
        <f>+G117</f>
        <v>6.3E-3</v>
      </c>
      <c r="H118" s="590">
        <f>H117</f>
        <v>0</v>
      </c>
      <c r="I118" s="583">
        <f t="shared" si="12"/>
        <v>-43348.811222780234</v>
      </c>
      <c r="J118" s="583">
        <f t="shared" ref="J118:J133" si="13">+F118+I118-H118</f>
        <v>-6924112.4973783726</v>
      </c>
      <c r="K118" s="573"/>
      <c r="L118" s="573"/>
      <c r="M118" s="573"/>
      <c r="N118" s="573"/>
      <c r="O118" s="573"/>
      <c r="P118" s="573"/>
      <c r="Q118" s="573"/>
      <c r="R118" s="573"/>
      <c r="S118" s="573"/>
    </row>
    <row r="119" spans="1:19" ht="13.5">
      <c r="A119" s="572"/>
      <c r="B119" s="572"/>
      <c r="C119" s="572"/>
      <c r="D119" s="573" t="s">
        <v>631</v>
      </c>
      <c r="E119" s="573" t="s">
        <v>601</v>
      </c>
      <c r="F119" s="609">
        <f t="shared" ref="F119:F133" si="14">+J118</f>
        <v>-6924112.4973783726</v>
      </c>
      <c r="G119" s="1738">
        <f t="shared" ref="G119:G133" si="15">+G118</f>
        <v>6.3E-3</v>
      </c>
      <c r="H119" s="590">
        <f t="shared" ref="H119:H133" si="16">H118</f>
        <v>0</v>
      </c>
      <c r="I119" s="583">
        <f t="shared" si="12"/>
        <v>-43621.908733483746</v>
      </c>
      <c r="J119" s="583">
        <f t="shared" si="13"/>
        <v>-6967734.406111856</v>
      </c>
      <c r="K119" s="573"/>
      <c r="L119" s="573"/>
      <c r="M119" s="573"/>
      <c r="N119" s="573"/>
      <c r="O119" s="573"/>
      <c r="P119" s="573"/>
      <c r="Q119" s="573"/>
      <c r="R119" s="573"/>
      <c r="S119" s="573"/>
    </row>
    <row r="120" spans="1:19" ht="13.5">
      <c r="A120" s="572"/>
      <c r="B120" s="572"/>
      <c r="C120" s="572"/>
      <c r="D120" s="573" t="s">
        <v>632</v>
      </c>
      <c r="E120" s="573" t="s">
        <v>601</v>
      </c>
      <c r="F120" s="609">
        <f t="shared" si="14"/>
        <v>-6967734.406111856</v>
      </c>
      <c r="G120" s="1738">
        <f t="shared" si="15"/>
        <v>6.3E-3</v>
      </c>
      <c r="H120" s="590">
        <f t="shared" si="16"/>
        <v>0</v>
      </c>
      <c r="I120" s="583">
        <f t="shared" si="12"/>
        <v>-43896.726758504694</v>
      </c>
      <c r="J120" s="583">
        <f t="shared" si="13"/>
        <v>-7011631.1328703603</v>
      </c>
      <c r="K120" s="616"/>
      <c r="L120" s="573"/>
      <c r="M120" s="573"/>
      <c r="N120" s="573"/>
      <c r="O120" s="573"/>
      <c r="P120" s="573"/>
      <c r="Q120" s="573"/>
      <c r="R120" s="573"/>
      <c r="S120" s="573"/>
    </row>
    <row r="121" spans="1:19" ht="13.5">
      <c r="A121" s="572"/>
      <c r="B121" s="572"/>
      <c r="C121" s="572"/>
      <c r="D121" s="573" t="s">
        <v>627</v>
      </c>
      <c r="E121" s="573" t="s">
        <v>601</v>
      </c>
      <c r="F121" s="609">
        <f t="shared" si="14"/>
        <v>-7011631.1328703603</v>
      </c>
      <c r="G121" s="1738">
        <f t="shared" si="15"/>
        <v>6.3E-3</v>
      </c>
      <c r="H121" s="590">
        <f t="shared" si="16"/>
        <v>0</v>
      </c>
      <c r="I121" s="583">
        <f t="shared" si="12"/>
        <v>-44173.276137083267</v>
      </c>
      <c r="J121" s="583">
        <f t="shared" si="13"/>
        <v>-7055804.4090074431</v>
      </c>
      <c r="K121" s="615"/>
      <c r="L121" s="573"/>
      <c r="M121" s="573"/>
      <c r="N121" s="573"/>
      <c r="O121" s="573"/>
      <c r="P121" s="573"/>
      <c r="Q121" s="573"/>
      <c r="R121" s="573"/>
      <c r="S121" s="573"/>
    </row>
    <row r="122" spans="1:19" ht="13.5">
      <c r="A122" s="572"/>
      <c r="B122" s="572"/>
      <c r="C122" s="572"/>
      <c r="D122" s="573" t="s">
        <v>633</v>
      </c>
      <c r="E122" s="573" t="s">
        <v>601</v>
      </c>
      <c r="F122" s="609">
        <f t="shared" si="14"/>
        <v>-7055804.4090074431</v>
      </c>
      <c r="G122" s="1738">
        <f t="shared" si="15"/>
        <v>6.3E-3</v>
      </c>
      <c r="H122" s="590">
        <f>-PMT(G122,12,J121)</f>
        <v>-612338.83464298781</v>
      </c>
      <c r="I122" s="583">
        <f t="shared" si="12"/>
        <v>-44451.567776746895</v>
      </c>
      <c r="J122" s="583">
        <f t="shared" si="13"/>
        <v>-6487917.1421412025</v>
      </c>
      <c r="K122" s="573"/>
      <c r="L122" s="573"/>
      <c r="M122" s="573"/>
      <c r="N122" s="573"/>
      <c r="O122" s="573"/>
      <c r="P122" s="573"/>
      <c r="Q122" s="573"/>
      <c r="R122" s="573"/>
      <c r="S122" s="573"/>
    </row>
    <row r="123" spans="1:19" ht="13.5">
      <c r="A123" s="572"/>
      <c r="B123" s="572"/>
      <c r="C123" s="572"/>
      <c r="D123" s="573" t="s">
        <v>634</v>
      </c>
      <c r="E123" s="573" t="s">
        <v>601</v>
      </c>
      <c r="F123" s="609">
        <f t="shared" si="14"/>
        <v>-6487917.1421412025</v>
      </c>
      <c r="G123" s="1738">
        <f t="shared" si="15"/>
        <v>6.3E-3</v>
      </c>
      <c r="H123" s="590">
        <f t="shared" si="16"/>
        <v>-612338.83464298781</v>
      </c>
      <c r="I123" s="583">
        <f t="shared" si="12"/>
        <v>-40873.877995489573</v>
      </c>
      <c r="J123" s="583">
        <f t="shared" si="13"/>
        <v>-5916452.1854937039</v>
      </c>
      <c r="K123" s="573"/>
      <c r="L123" s="573"/>
      <c r="M123" s="573"/>
      <c r="N123" s="573"/>
      <c r="O123" s="573"/>
      <c r="P123" s="573"/>
      <c r="Q123" s="573"/>
      <c r="R123" s="573"/>
      <c r="S123" s="573"/>
    </row>
    <row r="124" spans="1:19" ht="13.5">
      <c r="A124" s="572"/>
      <c r="B124" s="572"/>
      <c r="C124" s="572"/>
      <c r="D124" s="573" t="s">
        <v>635</v>
      </c>
      <c r="E124" s="573" t="s">
        <v>601</v>
      </c>
      <c r="F124" s="609">
        <f t="shared" si="14"/>
        <v>-5916452.1854937039</v>
      </c>
      <c r="G124" s="1738">
        <f t="shared" si="15"/>
        <v>6.3E-3</v>
      </c>
      <c r="H124" s="590">
        <f t="shared" si="16"/>
        <v>-612338.83464298781</v>
      </c>
      <c r="I124" s="583">
        <f t="shared" si="12"/>
        <v>-37273.648768610336</v>
      </c>
      <c r="J124" s="583">
        <f t="shared" si="13"/>
        <v>-5341386.9996193266</v>
      </c>
      <c r="K124" s="573"/>
      <c r="L124" s="573"/>
      <c r="M124" s="573"/>
      <c r="N124" s="573"/>
      <c r="O124" s="573"/>
      <c r="P124" s="573"/>
      <c r="Q124" s="573"/>
      <c r="R124" s="573"/>
      <c r="S124" s="573"/>
    </row>
    <row r="125" spans="1:19" ht="13.5">
      <c r="A125" s="572"/>
      <c r="B125" s="572"/>
      <c r="C125" s="572"/>
      <c r="D125" s="573" t="s">
        <v>636</v>
      </c>
      <c r="E125" s="573" t="s">
        <v>601</v>
      </c>
      <c r="F125" s="609">
        <f t="shared" si="14"/>
        <v>-5341386.9996193266</v>
      </c>
      <c r="G125" s="1738">
        <f t="shared" si="15"/>
        <v>6.3E-3</v>
      </c>
      <c r="H125" s="590">
        <f t="shared" si="16"/>
        <v>-612338.83464298781</v>
      </c>
      <c r="I125" s="583">
        <f t="shared" si="12"/>
        <v>-33650.738097601759</v>
      </c>
      <c r="J125" s="583">
        <f t="shared" si="13"/>
        <v>-4762698.9030739404</v>
      </c>
      <c r="K125" s="573"/>
      <c r="L125" s="573"/>
      <c r="M125" s="573"/>
      <c r="N125" s="573"/>
      <c r="O125" s="573"/>
      <c r="P125" s="573"/>
      <c r="Q125" s="573"/>
      <c r="R125" s="573"/>
      <c r="S125" s="573"/>
    </row>
    <row r="126" spans="1:19" ht="13.5">
      <c r="A126" s="572"/>
      <c r="B126" s="572"/>
      <c r="C126" s="572"/>
      <c r="D126" s="573" t="s">
        <v>637</v>
      </c>
      <c r="E126" s="573" t="s">
        <v>601</v>
      </c>
      <c r="F126" s="609">
        <f t="shared" si="14"/>
        <v>-4762698.9030739404</v>
      </c>
      <c r="G126" s="1738">
        <f t="shared" si="15"/>
        <v>6.3E-3</v>
      </c>
      <c r="H126" s="590">
        <f t="shared" si="16"/>
        <v>-612338.83464298781</v>
      </c>
      <c r="I126" s="583">
        <f t="shared" si="12"/>
        <v>-30005.003089365826</v>
      </c>
      <c r="J126" s="583">
        <f t="shared" si="13"/>
        <v>-4180365.0715203183</v>
      </c>
      <c r="K126" s="573"/>
      <c r="L126" s="573"/>
      <c r="M126" s="573"/>
      <c r="N126" s="573"/>
      <c r="O126" s="573"/>
      <c r="P126" s="573"/>
      <c r="Q126" s="573"/>
      <c r="R126" s="573"/>
      <c r="S126" s="573"/>
    </row>
    <row r="127" spans="1:19" ht="13.5">
      <c r="A127" s="572"/>
      <c r="B127" s="572"/>
      <c r="C127" s="572"/>
      <c r="D127" s="573" t="s">
        <v>638</v>
      </c>
      <c r="E127" s="573" t="s">
        <v>601</v>
      </c>
      <c r="F127" s="609">
        <f t="shared" si="14"/>
        <v>-4180365.0715203183</v>
      </c>
      <c r="G127" s="1738">
        <f t="shared" si="15"/>
        <v>6.3E-3</v>
      </c>
      <c r="H127" s="590">
        <f t="shared" si="16"/>
        <v>-612338.83464298781</v>
      </c>
      <c r="I127" s="583">
        <f t="shared" si="12"/>
        <v>-26336.299950578006</v>
      </c>
      <c r="J127" s="583">
        <f t="shared" si="13"/>
        <v>-3594362.5368279088</v>
      </c>
      <c r="K127" s="573"/>
      <c r="L127" s="573"/>
      <c r="M127" s="573"/>
      <c r="N127" s="573"/>
      <c r="O127" s="573"/>
      <c r="P127" s="573"/>
      <c r="Q127" s="573"/>
      <c r="R127" s="573"/>
      <c r="S127" s="573"/>
    </row>
    <row r="128" spans="1:19" ht="13.5">
      <c r="A128" s="572"/>
      <c r="B128" s="572"/>
      <c r="C128" s="572"/>
      <c r="D128" s="573" t="s">
        <v>639</v>
      </c>
      <c r="E128" s="573" t="s">
        <v>601</v>
      </c>
      <c r="F128" s="609">
        <f t="shared" si="14"/>
        <v>-3594362.5368279088</v>
      </c>
      <c r="G128" s="1738">
        <f t="shared" si="15"/>
        <v>6.3E-3</v>
      </c>
      <c r="H128" s="590">
        <f t="shared" si="16"/>
        <v>-612338.83464298781</v>
      </c>
      <c r="I128" s="583">
        <f t="shared" si="12"/>
        <v>-22644.483982015827</v>
      </c>
      <c r="J128" s="583">
        <f t="shared" si="13"/>
        <v>-3004668.186166937</v>
      </c>
      <c r="K128" s="573"/>
      <c r="L128" s="573"/>
      <c r="M128" s="573"/>
      <c r="N128" s="573"/>
      <c r="O128" s="573"/>
      <c r="P128" s="573"/>
      <c r="Q128" s="573"/>
      <c r="R128" s="573"/>
      <c r="S128" s="573"/>
    </row>
    <row r="129" spans="1:19" ht="13.5">
      <c r="A129" s="572"/>
      <c r="B129" s="572"/>
      <c r="C129" s="572"/>
      <c r="D129" s="573" t="s">
        <v>629</v>
      </c>
      <c r="E129" s="573" t="s">
        <v>602</v>
      </c>
      <c r="F129" s="609">
        <f t="shared" si="14"/>
        <v>-3004668.186166937</v>
      </c>
      <c r="G129" s="1738">
        <f t="shared" si="15"/>
        <v>6.3E-3</v>
      </c>
      <c r="H129" s="590">
        <f t="shared" si="16"/>
        <v>-612338.83464298781</v>
      </c>
      <c r="I129" s="583">
        <f t="shared" si="12"/>
        <v>-18929.409572851702</v>
      </c>
      <c r="J129" s="583">
        <f t="shared" si="13"/>
        <v>-2411258.7610968011</v>
      </c>
      <c r="K129" s="573"/>
      <c r="L129" s="573"/>
      <c r="M129" s="573"/>
      <c r="N129" s="573"/>
      <c r="O129" s="573"/>
      <c r="P129" s="573"/>
      <c r="Q129" s="573"/>
      <c r="R129" s="573"/>
      <c r="S129" s="573"/>
    </row>
    <row r="130" spans="1:19" ht="13.5">
      <c r="A130" s="572"/>
      <c r="B130" s="572"/>
      <c r="C130" s="572"/>
      <c r="D130" s="573" t="s">
        <v>630</v>
      </c>
      <c r="E130" s="573" t="s">
        <v>602</v>
      </c>
      <c r="F130" s="609">
        <f t="shared" si="14"/>
        <v>-2411258.7610968011</v>
      </c>
      <c r="G130" s="1738">
        <f t="shared" si="15"/>
        <v>6.3E-3</v>
      </c>
      <c r="H130" s="590">
        <f t="shared" si="16"/>
        <v>-612338.83464298781</v>
      </c>
      <c r="I130" s="583">
        <f t="shared" si="12"/>
        <v>-15190.930194909848</v>
      </c>
      <c r="J130" s="583">
        <f t="shared" si="13"/>
        <v>-1814110.8566487231</v>
      </c>
      <c r="K130" s="573"/>
      <c r="L130" s="573"/>
      <c r="M130" s="573"/>
      <c r="N130" s="573"/>
      <c r="O130" s="573"/>
      <c r="P130" s="573"/>
      <c r="Q130" s="573"/>
      <c r="R130" s="573"/>
      <c r="S130" s="573"/>
    </row>
    <row r="131" spans="1:19" ht="13.5">
      <c r="A131" s="572"/>
      <c r="B131" s="572"/>
      <c r="C131" s="572"/>
      <c r="D131" s="573" t="s">
        <v>631</v>
      </c>
      <c r="E131" s="573" t="s">
        <v>602</v>
      </c>
      <c r="F131" s="609">
        <f t="shared" si="14"/>
        <v>-1814110.8566487231</v>
      </c>
      <c r="G131" s="1738">
        <f t="shared" si="15"/>
        <v>6.3E-3</v>
      </c>
      <c r="H131" s="590">
        <f t="shared" si="16"/>
        <v>-612338.83464298781</v>
      </c>
      <c r="I131" s="583">
        <f t="shared" si="12"/>
        <v>-11428.898396886956</v>
      </c>
      <c r="J131" s="583">
        <f t="shared" si="13"/>
        <v>-1213200.9204026223</v>
      </c>
      <c r="K131" s="573"/>
      <c r="L131" s="573"/>
      <c r="M131" s="573"/>
      <c r="N131" s="573"/>
      <c r="O131" s="573"/>
      <c r="P131" s="573"/>
      <c r="Q131" s="573"/>
      <c r="R131" s="573"/>
      <c r="S131" s="573"/>
    </row>
    <row r="132" spans="1:19" ht="13.5">
      <c r="A132" s="572"/>
      <c r="B132" s="572"/>
      <c r="C132" s="572"/>
      <c r="D132" s="573" t="s">
        <v>632</v>
      </c>
      <c r="E132" s="573" t="s">
        <v>602</v>
      </c>
      <c r="F132" s="609">
        <f t="shared" si="14"/>
        <v>-1213200.9204026223</v>
      </c>
      <c r="G132" s="1738">
        <f t="shared" si="15"/>
        <v>6.3E-3</v>
      </c>
      <c r="H132" s="590">
        <f t="shared" si="16"/>
        <v>-612338.83464298781</v>
      </c>
      <c r="I132" s="583">
        <f t="shared" si="12"/>
        <v>-7643.1657985365209</v>
      </c>
      <c r="J132" s="583">
        <f t="shared" si="13"/>
        <v>-608505.251558171</v>
      </c>
      <c r="K132" s="573"/>
      <c r="L132" s="573"/>
      <c r="M132" s="573"/>
      <c r="N132" s="573"/>
      <c r="O132" s="573"/>
      <c r="P132" s="573"/>
      <c r="Q132" s="573"/>
      <c r="R132" s="573"/>
      <c r="S132" s="573"/>
    </row>
    <row r="133" spans="1:19" ht="13.5">
      <c r="A133" s="572"/>
      <c r="B133" s="572"/>
      <c r="C133" s="572"/>
      <c r="D133" s="573" t="s">
        <v>627</v>
      </c>
      <c r="E133" s="573" t="s">
        <v>602</v>
      </c>
      <c r="F133" s="609">
        <f t="shared" si="14"/>
        <v>-608505.251558171</v>
      </c>
      <c r="G133" s="1738">
        <f t="shared" si="15"/>
        <v>6.3E-3</v>
      </c>
      <c r="H133" s="590">
        <f t="shared" si="16"/>
        <v>-612338.83464298781</v>
      </c>
      <c r="I133" s="583">
        <f t="shared" si="12"/>
        <v>-3833.5830848164774</v>
      </c>
      <c r="J133" s="583">
        <f t="shared" si="13"/>
        <v>0</v>
      </c>
      <c r="K133" s="573"/>
      <c r="L133" s="573"/>
      <c r="M133" s="573"/>
      <c r="N133" s="573"/>
      <c r="O133" s="573"/>
      <c r="P133" s="573"/>
      <c r="Q133" s="573"/>
      <c r="R133" s="573"/>
      <c r="S133" s="573"/>
    </row>
    <row r="134" spans="1:19" ht="13.5">
      <c r="A134" s="572"/>
      <c r="B134" s="572"/>
      <c r="C134" s="572"/>
      <c r="D134" s="573" t="s">
        <v>658</v>
      </c>
      <c r="E134" s="573"/>
      <c r="F134" s="573"/>
      <c r="G134" s="573"/>
      <c r="H134" s="588">
        <f>SUM(H117:H133)</f>
        <v>-7348066.0157158533</v>
      </c>
      <c r="I134" s="573"/>
      <c r="J134" s="573"/>
      <c r="K134" s="573"/>
      <c r="L134" s="573"/>
      <c r="M134" s="573"/>
      <c r="N134" s="573"/>
      <c r="O134" s="573"/>
      <c r="P134" s="573"/>
      <c r="Q134" s="573"/>
      <c r="R134" s="573"/>
      <c r="S134" s="573"/>
    </row>
    <row r="135" spans="1:19" ht="13.5">
      <c r="A135" s="572"/>
      <c r="B135" s="572"/>
      <c r="C135" s="572"/>
      <c r="D135" s="573"/>
      <c r="E135" s="573"/>
      <c r="F135" s="573"/>
      <c r="G135" s="573"/>
      <c r="H135" s="573"/>
      <c r="I135" s="573"/>
      <c r="J135" s="573"/>
      <c r="K135" s="573"/>
      <c r="L135" s="573"/>
      <c r="M135" s="573"/>
      <c r="N135" s="573"/>
      <c r="O135" s="573"/>
      <c r="P135" s="573"/>
      <c r="Q135" s="573"/>
      <c r="R135" s="573"/>
      <c r="S135" s="573"/>
    </row>
    <row r="136" spans="1:19" ht="13.5">
      <c r="A136" s="420"/>
      <c r="B136" s="572"/>
      <c r="C136" s="572"/>
      <c r="D136" s="614" t="str">
        <f>+D134</f>
        <v>Total with interest</v>
      </c>
      <c r="E136" s="572"/>
      <c r="F136" s="419"/>
      <c r="G136" s="572"/>
      <c r="H136" s="588">
        <f>+H134</f>
        <v>-7348066.0157158533</v>
      </c>
      <c r="I136" s="572"/>
      <c r="J136" s="588"/>
      <c r="K136" s="573"/>
      <c r="L136" s="573"/>
      <c r="M136" s="573"/>
      <c r="N136" s="573"/>
      <c r="O136" s="573"/>
      <c r="P136" s="573"/>
      <c r="Q136" s="573"/>
      <c r="R136" s="573"/>
      <c r="S136" s="573"/>
    </row>
    <row r="137" spans="1:19" ht="13.5">
      <c r="A137" s="420"/>
      <c r="B137" s="572"/>
      <c r="C137" s="572"/>
      <c r="D137" s="614" t="s">
        <v>66</v>
      </c>
      <c r="E137" s="572"/>
      <c r="F137" s="419"/>
      <c r="G137" s="572"/>
      <c r="H137" s="617">
        <f>'ATT H-1 '!K286</f>
        <v>5823318.207417218</v>
      </c>
      <c r="I137" s="585"/>
      <c r="J137" s="609"/>
      <c r="K137" s="573"/>
      <c r="L137" s="573"/>
      <c r="M137" s="573"/>
      <c r="N137" s="573"/>
      <c r="O137" s="573"/>
      <c r="P137" s="573"/>
      <c r="Q137" s="573"/>
      <c r="R137" s="573"/>
      <c r="S137" s="573"/>
    </row>
    <row r="138" spans="1:19" ht="13.5">
      <c r="A138" s="420"/>
      <c r="B138" s="572"/>
      <c r="C138" s="572"/>
      <c r="D138" s="614" t="s">
        <v>67</v>
      </c>
      <c r="E138" s="572"/>
      <c r="F138" s="419"/>
      <c r="G138" s="572"/>
      <c r="H138" s="588">
        <f>+H136+H137</f>
        <v>-1524747.8082986353</v>
      </c>
      <c r="I138" s="576"/>
      <c r="J138" s="609"/>
      <c r="K138" s="573"/>
      <c r="L138" s="573"/>
      <c r="M138" s="573"/>
      <c r="N138" s="573"/>
      <c r="O138" s="573"/>
      <c r="P138" s="573"/>
      <c r="Q138" s="573"/>
      <c r="R138" s="573"/>
      <c r="S138" s="573"/>
    </row>
    <row r="139" spans="1:19" ht="13.5">
      <c r="A139" s="572"/>
      <c r="B139" s="572"/>
      <c r="C139" s="572"/>
      <c r="D139" s="605"/>
      <c r="E139" s="573"/>
      <c r="F139" s="573"/>
      <c r="G139" s="577"/>
      <c r="H139" s="609"/>
      <c r="I139" s="577"/>
      <c r="J139" s="573"/>
      <c r="K139" s="573"/>
      <c r="L139" s="573"/>
      <c r="M139" s="573"/>
      <c r="N139" s="573"/>
      <c r="O139" s="573"/>
      <c r="P139" s="573"/>
      <c r="Q139" s="573"/>
      <c r="R139" s="573"/>
      <c r="S139" s="573"/>
    </row>
    <row r="140" spans="1:19" ht="13.5">
      <c r="A140" s="572">
        <v>9</v>
      </c>
      <c r="B140" s="572" t="s">
        <v>626</v>
      </c>
      <c r="C140" s="572" t="s">
        <v>602</v>
      </c>
      <c r="D140" s="579" t="s">
        <v>1109</v>
      </c>
      <c r="E140" s="573"/>
      <c r="F140" s="573"/>
      <c r="G140" s="573"/>
      <c r="H140" s="573"/>
      <c r="I140" s="573"/>
      <c r="J140" s="419"/>
      <c r="K140" s="573"/>
      <c r="L140" s="573"/>
      <c r="M140" s="573"/>
      <c r="N140" s="573"/>
      <c r="O140" s="573"/>
      <c r="P140" s="573"/>
      <c r="Q140" s="573"/>
      <c r="R140" s="573"/>
      <c r="S140" s="573"/>
    </row>
    <row r="141" spans="1:19" ht="13.5">
      <c r="A141" s="572"/>
      <c r="B141" s="572"/>
      <c r="C141" s="572"/>
      <c r="D141" s="579"/>
      <c r="E141" s="573"/>
      <c r="F141" s="573"/>
      <c r="G141" s="573"/>
      <c r="H141" s="573"/>
      <c r="I141" s="573"/>
      <c r="J141" s="419"/>
      <c r="K141" s="573"/>
      <c r="L141" s="573"/>
      <c r="M141" s="573"/>
      <c r="N141" s="573"/>
      <c r="O141" s="573"/>
      <c r="P141" s="573"/>
      <c r="Q141" s="573"/>
      <c r="R141" s="573"/>
      <c r="S141" s="573"/>
    </row>
    <row r="142" spans="1:19" ht="13.5">
      <c r="A142" s="572"/>
      <c r="B142" s="419"/>
      <c r="C142" s="479" t="s">
        <v>263</v>
      </c>
      <c r="D142" s="479" t="s">
        <v>264</v>
      </c>
      <c r="E142" s="479" t="s">
        <v>356</v>
      </c>
      <c r="F142" s="479" t="s">
        <v>265</v>
      </c>
      <c r="G142" s="479" t="s">
        <v>266</v>
      </c>
      <c r="H142" s="479" t="s">
        <v>262</v>
      </c>
      <c r="I142" s="479"/>
      <c r="J142" s="479" t="s">
        <v>570</v>
      </c>
      <c r="K142" s="479" t="s">
        <v>571</v>
      </c>
      <c r="L142" s="479" t="s">
        <v>963</v>
      </c>
      <c r="M142" s="575" t="s">
        <v>964</v>
      </c>
      <c r="N142" s="572" t="s">
        <v>965</v>
      </c>
      <c r="O142" s="572" t="s">
        <v>966</v>
      </c>
      <c r="P142" s="572"/>
      <c r="Q142" s="572"/>
      <c r="R142" s="572"/>
      <c r="S142" s="572"/>
    </row>
    <row r="143" spans="1:19" ht="13.5">
      <c r="A143" s="572"/>
      <c r="B143" s="419"/>
      <c r="C143" s="572" t="s">
        <v>219</v>
      </c>
      <c r="D143" s="572" t="s">
        <v>219</v>
      </c>
      <c r="E143" s="572" t="s">
        <v>219</v>
      </c>
      <c r="F143" s="572" t="s">
        <v>219</v>
      </c>
      <c r="G143" s="572" t="s">
        <v>219</v>
      </c>
      <c r="H143" s="572" t="s">
        <v>219</v>
      </c>
      <c r="I143" s="572"/>
      <c r="J143" s="572" t="s">
        <v>72</v>
      </c>
      <c r="K143" s="572" t="s">
        <v>72</v>
      </c>
      <c r="L143" s="572" t="s">
        <v>72</v>
      </c>
      <c r="M143" s="572" t="s">
        <v>72</v>
      </c>
      <c r="N143" s="572" t="s">
        <v>72</v>
      </c>
      <c r="O143" s="572" t="s">
        <v>72</v>
      </c>
      <c r="P143" s="572"/>
      <c r="Q143" s="572"/>
      <c r="R143" s="572"/>
      <c r="S143" s="572"/>
    </row>
    <row r="144" spans="1:19" ht="13.5">
      <c r="A144" s="572"/>
      <c r="B144" s="573"/>
      <c r="C144" s="572" t="s">
        <v>68</v>
      </c>
      <c r="D144" s="572" t="s">
        <v>68</v>
      </c>
      <c r="E144" s="572" t="s">
        <v>68</v>
      </c>
      <c r="F144" s="623"/>
      <c r="G144" s="623"/>
      <c r="H144" s="623"/>
      <c r="I144" s="572"/>
      <c r="J144" s="572" t="s">
        <v>73</v>
      </c>
      <c r="K144" s="572" t="s">
        <v>74</v>
      </c>
      <c r="L144" s="572" t="s">
        <v>75</v>
      </c>
      <c r="M144" s="572" t="s">
        <v>76</v>
      </c>
      <c r="N144" s="572" t="s">
        <v>77</v>
      </c>
      <c r="O144" s="572" t="s">
        <v>78</v>
      </c>
      <c r="P144" s="572"/>
      <c r="Q144" s="572"/>
      <c r="R144" s="572"/>
      <c r="S144" s="572"/>
    </row>
    <row r="145" spans="1:19" ht="13.5">
      <c r="A145" s="572"/>
      <c r="B145" s="573"/>
      <c r="C145" s="572"/>
      <c r="D145" s="572"/>
      <c r="E145" s="572"/>
      <c r="F145" s="572" t="s">
        <v>69</v>
      </c>
      <c r="G145" s="572" t="s">
        <v>70</v>
      </c>
      <c r="H145" s="572" t="s">
        <v>71</v>
      </c>
      <c r="I145" s="572"/>
      <c r="J145" s="572"/>
      <c r="K145" s="572"/>
      <c r="L145" s="572"/>
      <c r="M145" s="572"/>
      <c r="N145" s="572"/>
      <c r="O145" s="572"/>
      <c r="P145" s="572"/>
      <c r="Q145" s="572"/>
      <c r="R145" s="572"/>
      <c r="S145" s="572"/>
    </row>
    <row r="146" spans="1:19" ht="13.5">
      <c r="A146" s="572"/>
      <c r="B146" s="573"/>
      <c r="C146" s="572"/>
      <c r="D146" s="587"/>
      <c r="E146" s="587"/>
      <c r="F146" s="587"/>
      <c r="G146" s="572"/>
      <c r="H146" s="572"/>
      <c r="I146" s="622"/>
      <c r="J146" s="572"/>
      <c r="K146" s="572"/>
      <c r="L146" s="588"/>
      <c r="M146" s="572"/>
      <c r="N146" s="572"/>
      <c r="O146" s="583"/>
      <c r="P146" s="572"/>
      <c r="Q146" s="606"/>
      <c r="R146" s="588"/>
      <c r="S146" s="572"/>
    </row>
    <row r="147" spans="1:19" ht="13.5">
      <c r="A147" s="572"/>
      <c r="B147" s="573" t="s">
        <v>629</v>
      </c>
      <c r="C147" s="589"/>
      <c r="D147" s="589"/>
      <c r="E147" s="589"/>
      <c r="F147" s="589"/>
      <c r="G147" s="589"/>
      <c r="H147" s="589"/>
      <c r="I147" s="622"/>
      <c r="J147" s="588">
        <f t="shared" ref="J147:O147" si="17">C147</f>
        <v>0</v>
      </c>
      <c r="K147" s="588">
        <f t="shared" si="17"/>
        <v>0</v>
      </c>
      <c r="L147" s="588">
        <f t="shared" si="17"/>
        <v>0</v>
      </c>
      <c r="M147" s="588">
        <f t="shared" si="17"/>
        <v>0</v>
      </c>
      <c r="N147" s="588">
        <f t="shared" si="17"/>
        <v>0</v>
      </c>
      <c r="O147" s="588">
        <f t="shared" si="17"/>
        <v>0</v>
      </c>
      <c r="P147" s="588"/>
      <c r="Q147" s="588"/>
      <c r="R147" s="588"/>
      <c r="S147" s="583"/>
    </row>
    <row r="148" spans="1:19" ht="13.5">
      <c r="A148" s="572"/>
      <c r="B148" s="573" t="s">
        <v>630</v>
      </c>
      <c r="C148" s="589"/>
      <c r="D148" s="589"/>
      <c r="E148" s="589"/>
      <c r="F148" s="589"/>
      <c r="G148" s="589"/>
      <c r="H148" s="589"/>
      <c r="I148" s="622"/>
      <c r="J148" s="588">
        <f>J147+C148</f>
        <v>0</v>
      </c>
      <c r="K148" s="588">
        <f t="shared" ref="K148:K158" si="18">K147+D148</f>
        <v>0</v>
      </c>
      <c r="L148" s="588">
        <f t="shared" ref="L148:L158" si="19">L147+E148</f>
        <v>0</v>
      </c>
      <c r="M148" s="588">
        <f t="shared" ref="M148:M158" si="20">M147+F148</f>
        <v>0</v>
      </c>
      <c r="N148" s="588">
        <f t="shared" ref="N148:N158" si="21">N147+G148</f>
        <v>0</v>
      </c>
      <c r="O148" s="588">
        <f t="shared" ref="O148:O158" si="22">O147+H148</f>
        <v>0</v>
      </c>
      <c r="P148" s="588"/>
      <c r="Q148" s="588"/>
      <c r="R148" s="588"/>
      <c r="S148" s="583"/>
    </row>
    <row r="149" spans="1:19" ht="13.5">
      <c r="A149" s="572"/>
      <c r="B149" s="573" t="s">
        <v>631</v>
      </c>
      <c r="C149" s="589"/>
      <c r="D149" s="589"/>
      <c r="E149" s="589"/>
      <c r="F149" s="589"/>
      <c r="G149" s="589"/>
      <c r="H149" s="589"/>
      <c r="I149" s="622"/>
      <c r="J149" s="588">
        <f t="shared" ref="J149:J158" si="23">J148+C149</f>
        <v>0</v>
      </c>
      <c r="K149" s="588">
        <f t="shared" si="18"/>
        <v>0</v>
      </c>
      <c r="L149" s="588">
        <f t="shared" si="19"/>
        <v>0</v>
      </c>
      <c r="M149" s="588">
        <f t="shared" si="20"/>
        <v>0</v>
      </c>
      <c r="N149" s="588">
        <f t="shared" si="21"/>
        <v>0</v>
      </c>
      <c r="O149" s="588">
        <f t="shared" si="22"/>
        <v>0</v>
      </c>
      <c r="P149" s="588"/>
      <c r="Q149" s="588"/>
      <c r="R149" s="588"/>
      <c r="S149" s="583"/>
    </row>
    <row r="150" spans="1:19" ht="13.5">
      <c r="A150" s="572"/>
      <c r="B150" s="573" t="s">
        <v>632</v>
      </c>
      <c r="C150" s="589"/>
      <c r="D150" s="589"/>
      <c r="E150" s="589"/>
      <c r="F150" s="589"/>
      <c r="G150" s="589"/>
      <c r="H150" s="589"/>
      <c r="I150" s="622"/>
      <c r="J150" s="588">
        <f t="shared" si="23"/>
        <v>0</v>
      </c>
      <c r="K150" s="588">
        <f t="shared" si="18"/>
        <v>0</v>
      </c>
      <c r="L150" s="588">
        <f t="shared" si="19"/>
        <v>0</v>
      </c>
      <c r="M150" s="588">
        <f t="shared" si="20"/>
        <v>0</v>
      </c>
      <c r="N150" s="588">
        <f t="shared" si="21"/>
        <v>0</v>
      </c>
      <c r="O150" s="588">
        <f t="shared" si="22"/>
        <v>0</v>
      </c>
      <c r="P150" s="588"/>
      <c r="Q150" s="588"/>
      <c r="R150" s="588"/>
      <c r="S150" s="583"/>
    </row>
    <row r="151" spans="1:19" ht="13.5">
      <c r="A151" s="572"/>
      <c r="B151" s="573" t="s">
        <v>627</v>
      </c>
      <c r="C151" s="589"/>
      <c r="D151" s="589"/>
      <c r="E151" s="589"/>
      <c r="F151" s="589"/>
      <c r="G151" s="589"/>
      <c r="H151" s="589"/>
      <c r="I151" s="622"/>
      <c r="J151" s="588">
        <f t="shared" si="23"/>
        <v>0</v>
      </c>
      <c r="K151" s="588">
        <f t="shared" si="18"/>
        <v>0</v>
      </c>
      <c r="L151" s="588">
        <f t="shared" si="19"/>
        <v>0</v>
      </c>
      <c r="M151" s="588">
        <f t="shared" si="20"/>
        <v>0</v>
      </c>
      <c r="N151" s="588">
        <f t="shared" si="21"/>
        <v>0</v>
      </c>
      <c r="O151" s="588">
        <f t="shared" si="22"/>
        <v>0</v>
      </c>
      <c r="P151" s="588"/>
      <c r="Q151" s="588"/>
      <c r="R151" s="588"/>
      <c r="S151" s="583"/>
    </row>
    <row r="152" spans="1:19" ht="13.5">
      <c r="A152" s="572"/>
      <c r="B152" s="573" t="s">
        <v>633</v>
      </c>
      <c r="C152" s="589"/>
      <c r="D152" s="589"/>
      <c r="E152" s="589"/>
      <c r="F152" s="589"/>
      <c r="G152" s="589"/>
      <c r="H152" s="589"/>
      <c r="I152" s="622"/>
      <c r="J152" s="588">
        <f t="shared" si="23"/>
        <v>0</v>
      </c>
      <c r="K152" s="588">
        <f t="shared" si="18"/>
        <v>0</v>
      </c>
      <c r="L152" s="588">
        <f t="shared" si="19"/>
        <v>0</v>
      </c>
      <c r="M152" s="588">
        <f t="shared" si="20"/>
        <v>0</v>
      </c>
      <c r="N152" s="588">
        <f t="shared" si="21"/>
        <v>0</v>
      </c>
      <c r="O152" s="588">
        <f t="shared" si="22"/>
        <v>0</v>
      </c>
      <c r="P152" s="588"/>
      <c r="Q152" s="588"/>
      <c r="R152" s="588"/>
      <c r="S152" s="583"/>
    </row>
    <row r="153" spans="1:19" ht="13.5">
      <c r="A153" s="572"/>
      <c r="B153" s="573" t="s">
        <v>634</v>
      </c>
      <c r="C153" s="589"/>
      <c r="D153" s="589"/>
      <c r="E153" s="589"/>
      <c r="F153" s="589"/>
      <c r="G153" s="589"/>
      <c r="H153" s="589"/>
      <c r="I153" s="622"/>
      <c r="J153" s="588">
        <f t="shared" si="23"/>
        <v>0</v>
      </c>
      <c r="K153" s="588">
        <f t="shared" si="18"/>
        <v>0</v>
      </c>
      <c r="L153" s="588">
        <f t="shared" si="19"/>
        <v>0</v>
      </c>
      <c r="M153" s="588">
        <f t="shared" si="20"/>
        <v>0</v>
      </c>
      <c r="N153" s="588">
        <f t="shared" si="21"/>
        <v>0</v>
      </c>
      <c r="O153" s="588">
        <f t="shared" si="22"/>
        <v>0</v>
      </c>
      <c r="P153" s="588"/>
      <c r="Q153" s="588"/>
      <c r="R153" s="588"/>
      <c r="S153" s="583"/>
    </row>
    <row r="154" spans="1:19" ht="13.5">
      <c r="A154" s="572"/>
      <c r="B154" s="573" t="s">
        <v>635</v>
      </c>
      <c r="C154" s="589"/>
      <c r="D154" s="589"/>
      <c r="E154" s="589"/>
      <c r="F154" s="589"/>
      <c r="G154" s="589"/>
      <c r="H154" s="589"/>
      <c r="I154" s="622"/>
      <c r="J154" s="588">
        <f t="shared" si="23"/>
        <v>0</v>
      </c>
      <c r="K154" s="588">
        <f t="shared" si="18"/>
        <v>0</v>
      </c>
      <c r="L154" s="588">
        <f t="shared" si="19"/>
        <v>0</v>
      </c>
      <c r="M154" s="588">
        <f t="shared" si="20"/>
        <v>0</v>
      </c>
      <c r="N154" s="588">
        <f t="shared" si="21"/>
        <v>0</v>
      </c>
      <c r="O154" s="588">
        <f t="shared" si="22"/>
        <v>0</v>
      </c>
      <c r="P154" s="588"/>
      <c r="Q154" s="588"/>
      <c r="R154" s="588"/>
      <c r="S154" s="583"/>
    </row>
    <row r="155" spans="1:19" ht="13.5">
      <c r="A155" s="572"/>
      <c r="B155" s="573" t="s">
        <v>636</v>
      </c>
      <c r="C155" s="589"/>
      <c r="D155" s="589"/>
      <c r="E155" s="589"/>
      <c r="F155" s="589"/>
      <c r="G155" s="589"/>
      <c r="H155" s="589"/>
      <c r="I155" s="622"/>
      <c r="J155" s="588">
        <f t="shared" si="23"/>
        <v>0</v>
      </c>
      <c r="K155" s="588">
        <f t="shared" si="18"/>
        <v>0</v>
      </c>
      <c r="L155" s="588">
        <f t="shared" si="19"/>
        <v>0</v>
      </c>
      <c r="M155" s="588">
        <f t="shared" si="20"/>
        <v>0</v>
      </c>
      <c r="N155" s="588">
        <f t="shared" si="21"/>
        <v>0</v>
      </c>
      <c r="O155" s="588">
        <f t="shared" si="22"/>
        <v>0</v>
      </c>
      <c r="P155" s="588"/>
      <c r="Q155" s="588"/>
      <c r="R155" s="588"/>
      <c r="S155" s="583"/>
    </row>
    <row r="156" spans="1:19" ht="13.5">
      <c r="A156" s="572"/>
      <c r="B156" s="573" t="s">
        <v>637</v>
      </c>
      <c r="C156" s="589"/>
      <c r="D156" s="589"/>
      <c r="E156" s="589"/>
      <c r="F156" s="589"/>
      <c r="G156" s="589"/>
      <c r="H156" s="589"/>
      <c r="I156" s="622"/>
      <c r="J156" s="588">
        <f t="shared" si="23"/>
        <v>0</v>
      </c>
      <c r="K156" s="588">
        <f t="shared" si="18"/>
        <v>0</v>
      </c>
      <c r="L156" s="588">
        <f t="shared" si="19"/>
        <v>0</v>
      </c>
      <c r="M156" s="588">
        <f t="shared" si="20"/>
        <v>0</v>
      </c>
      <c r="N156" s="588">
        <f t="shared" si="21"/>
        <v>0</v>
      </c>
      <c r="O156" s="588">
        <f t="shared" si="22"/>
        <v>0</v>
      </c>
      <c r="P156" s="588"/>
      <c r="Q156" s="588"/>
      <c r="R156" s="588"/>
      <c r="S156" s="583"/>
    </row>
    <row r="157" spans="1:19" ht="13.5">
      <c r="A157" s="572"/>
      <c r="B157" s="573" t="s">
        <v>638</v>
      </c>
      <c r="C157" s="589"/>
      <c r="D157" s="589"/>
      <c r="E157" s="589"/>
      <c r="F157" s="589"/>
      <c r="G157" s="589"/>
      <c r="H157" s="589"/>
      <c r="I157" s="622"/>
      <c r="J157" s="588">
        <f t="shared" si="23"/>
        <v>0</v>
      </c>
      <c r="K157" s="588">
        <f t="shared" si="18"/>
        <v>0</v>
      </c>
      <c r="L157" s="588">
        <f t="shared" si="19"/>
        <v>0</v>
      </c>
      <c r="M157" s="588">
        <f t="shared" si="20"/>
        <v>0</v>
      </c>
      <c r="N157" s="588">
        <f t="shared" si="21"/>
        <v>0</v>
      </c>
      <c r="O157" s="588">
        <f t="shared" si="22"/>
        <v>0</v>
      </c>
      <c r="P157" s="588"/>
      <c r="Q157" s="588"/>
      <c r="R157" s="588"/>
      <c r="S157" s="583"/>
    </row>
    <row r="158" spans="1:19" ht="13.5">
      <c r="A158" s="572"/>
      <c r="B158" s="573" t="s">
        <v>639</v>
      </c>
      <c r="C158" s="589"/>
      <c r="D158" s="589"/>
      <c r="E158" s="589"/>
      <c r="F158" s="589"/>
      <c r="G158" s="589"/>
      <c r="H158" s="589"/>
      <c r="I158" s="622"/>
      <c r="J158" s="588">
        <f t="shared" si="23"/>
        <v>0</v>
      </c>
      <c r="K158" s="588">
        <f t="shared" si="18"/>
        <v>0</v>
      </c>
      <c r="L158" s="588">
        <f t="shared" si="19"/>
        <v>0</v>
      </c>
      <c r="M158" s="588">
        <f t="shared" si="20"/>
        <v>0</v>
      </c>
      <c r="N158" s="588">
        <f t="shared" si="21"/>
        <v>0</v>
      </c>
      <c r="O158" s="588">
        <f t="shared" si="22"/>
        <v>0</v>
      </c>
      <c r="P158" s="588"/>
      <c r="Q158" s="588"/>
      <c r="R158" s="588"/>
      <c r="S158" s="583"/>
    </row>
    <row r="159" spans="1:19" ht="13.5">
      <c r="A159" s="572"/>
      <c r="B159" s="573" t="s">
        <v>851</v>
      </c>
      <c r="C159" s="588">
        <f t="shared" ref="C159:H159" si="24">SUM(C147:C158)</f>
        <v>0</v>
      </c>
      <c r="D159" s="588">
        <f t="shared" si="24"/>
        <v>0</v>
      </c>
      <c r="E159" s="588">
        <f t="shared" si="24"/>
        <v>0</v>
      </c>
      <c r="F159" s="588">
        <f t="shared" si="24"/>
        <v>0</v>
      </c>
      <c r="G159" s="588">
        <f t="shared" si="24"/>
        <v>0</v>
      </c>
      <c r="H159" s="588">
        <f t="shared" si="24"/>
        <v>0</v>
      </c>
      <c r="I159" s="588" t="s">
        <v>79</v>
      </c>
      <c r="J159" s="588">
        <f t="shared" ref="J159:O159" si="25">AVERAGE(J147:J158)</f>
        <v>0</v>
      </c>
      <c r="K159" s="588">
        <f t="shared" si="25"/>
        <v>0</v>
      </c>
      <c r="L159" s="588">
        <f t="shared" si="25"/>
        <v>0</v>
      </c>
      <c r="M159" s="588">
        <f t="shared" si="25"/>
        <v>0</v>
      </c>
      <c r="N159" s="588">
        <f t="shared" si="25"/>
        <v>0</v>
      </c>
      <c r="O159" s="588">
        <f t="shared" si="25"/>
        <v>0</v>
      </c>
      <c r="P159" s="588"/>
      <c r="Q159" s="588"/>
      <c r="R159" s="588"/>
      <c r="S159" s="588"/>
    </row>
    <row r="160" spans="1:19" ht="13.5">
      <c r="A160" s="572"/>
      <c r="C160" s="573"/>
      <c r="D160" s="419"/>
      <c r="E160" s="419"/>
      <c r="F160" s="419"/>
      <c r="G160" s="419"/>
      <c r="H160" s="419"/>
      <c r="I160" s="419"/>
      <c r="J160" s="419"/>
      <c r="K160" s="419"/>
      <c r="L160" s="590"/>
      <c r="M160" s="573"/>
      <c r="N160" s="573"/>
      <c r="O160" s="573"/>
      <c r="P160" s="419"/>
      <c r="Q160" s="590"/>
      <c r="R160" s="573"/>
      <c r="S160" s="573"/>
    </row>
    <row r="161" spans="1:19" ht="15.75">
      <c r="A161" s="572" t="s">
        <v>760</v>
      </c>
      <c r="B161" s="573" t="s">
        <v>81</v>
      </c>
      <c r="C161" s="573"/>
      <c r="D161" s="419"/>
      <c r="E161" s="419"/>
      <c r="F161" s="419"/>
      <c r="G161" s="419"/>
      <c r="H161" s="419"/>
      <c r="I161" s="419"/>
      <c r="J161" s="573"/>
      <c r="K161" s="624" t="s">
        <v>80</v>
      </c>
      <c r="L161" s="419"/>
      <c r="M161" s="588">
        <f>SUM(J159:O159)</f>
        <v>0</v>
      </c>
      <c r="N161" s="588"/>
      <c r="O161" s="1774" t="s">
        <v>1110</v>
      </c>
      <c r="P161" s="573"/>
      <c r="Q161" s="590"/>
      <c r="R161" s="588"/>
      <c r="S161" s="588"/>
    </row>
    <row r="162" spans="1:19" ht="13.5">
      <c r="A162" s="572"/>
      <c r="B162" s="573"/>
      <c r="C162" s="573"/>
      <c r="D162" s="419"/>
      <c r="E162" s="419"/>
      <c r="F162" s="419"/>
      <c r="G162" s="419"/>
      <c r="H162" s="419"/>
      <c r="I162" s="419"/>
      <c r="J162" s="573"/>
      <c r="K162" s="573"/>
      <c r="L162" s="588"/>
      <c r="M162" s="573"/>
      <c r="N162" s="419"/>
      <c r="O162" s="573"/>
      <c r="P162" s="573"/>
      <c r="Q162" s="573"/>
      <c r="R162" s="573"/>
      <c r="S162" s="573"/>
    </row>
    <row r="163" spans="1:19" ht="13.5">
      <c r="A163" s="572"/>
      <c r="B163" s="572"/>
      <c r="C163" s="572"/>
      <c r="D163" s="594"/>
      <c r="E163" s="572"/>
      <c r="F163" s="588"/>
      <c r="G163" s="572"/>
      <c r="H163" s="588"/>
      <c r="I163" s="576"/>
      <c r="J163" s="609"/>
      <c r="K163" s="573"/>
      <c r="L163" s="573"/>
      <c r="M163" s="573"/>
      <c r="N163" s="573"/>
      <c r="O163" s="573"/>
      <c r="P163" s="573"/>
      <c r="Q163" s="573"/>
      <c r="R163" s="573"/>
      <c r="S163" s="573"/>
    </row>
    <row r="164" spans="1:19" ht="13.5">
      <c r="A164" s="572">
        <v>10</v>
      </c>
      <c r="B164" s="572" t="s">
        <v>627</v>
      </c>
      <c r="C164" s="572" t="s">
        <v>602</v>
      </c>
      <c r="D164" s="579" t="s">
        <v>460</v>
      </c>
      <c r="E164" s="573"/>
      <c r="F164" s="573"/>
      <c r="G164" s="573"/>
      <c r="H164" s="573"/>
      <c r="I164" s="576"/>
      <c r="J164" s="577"/>
      <c r="K164" s="573"/>
      <c r="L164" s="573"/>
      <c r="M164" s="573"/>
      <c r="N164" s="573"/>
      <c r="O164" s="573"/>
      <c r="P164" s="573"/>
      <c r="Q164" s="577"/>
      <c r="R164" s="618"/>
      <c r="S164" s="618"/>
    </row>
    <row r="165" spans="1:19" ht="13.5">
      <c r="A165" s="572"/>
      <c r="B165" s="572"/>
      <c r="C165" s="572"/>
      <c r="D165" s="595"/>
      <c r="E165" s="573" t="s">
        <v>962</v>
      </c>
      <c r="F165" s="573"/>
      <c r="G165" s="573"/>
      <c r="H165" s="573"/>
      <c r="I165" s="577"/>
      <c r="J165" s="577"/>
      <c r="K165" s="573"/>
      <c r="L165" s="573"/>
      <c r="M165" s="573"/>
      <c r="N165" s="573"/>
      <c r="O165" s="573"/>
      <c r="P165" s="573"/>
      <c r="Q165" s="573"/>
      <c r="R165" s="573"/>
      <c r="S165" s="573"/>
    </row>
    <row r="166" spans="1:19" ht="13.5">
      <c r="A166" s="572"/>
      <c r="B166" s="572"/>
      <c r="C166" s="572"/>
      <c r="D166" s="601"/>
      <c r="E166" s="594"/>
      <c r="F166" s="573"/>
      <c r="G166" s="573"/>
      <c r="H166" s="573"/>
      <c r="I166" s="577"/>
      <c r="J166" s="577"/>
      <c r="K166" s="573"/>
      <c r="L166" s="573"/>
      <c r="M166" s="573"/>
      <c r="N166" s="573"/>
      <c r="O166" s="573"/>
      <c r="P166" s="573"/>
      <c r="Q166" s="573"/>
      <c r="R166" s="573"/>
      <c r="S166" s="573"/>
    </row>
    <row r="167" spans="1:19" ht="13.5">
      <c r="A167" s="572"/>
      <c r="B167" s="572"/>
      <c r="C167" s="572"/>
      <c r="D167" s="595"/>
      <c r="E167" s="573"/>
      <c r="F167" s="573"/>
      <c r="G167" s="573"/>
      <c r="H167" s="573"/>
      <c r="I167" s="577"/>
      <c r="J167" s="577"/>
      <c r="K167" s="573"/>
      <c r="L167" s="573"/>
      <c r="M167" s="573"/>
      <c r="N167" s="573"/>
      <c r="O167" s="573"/>
      <c r="P167" s="573"/>
      <c r="Q167" s="573"/>
      <c r="R167" s="573"/>
      <c r="S167" s="573"/>
    </row>
    <row r="168" spans="1:19" ht="13.5">
      <c r="A168" s="572">
        <v>11</v>
      </c>
      <c r="B168" s="572" t="s">
        <v>628</v>
      </c>
      <c r="C168" s="572" t="s">
        <v>602</v>
      </c>
      <c r="D168" s="602" t="s">
        <v>1099</v>
      </c>
      <c r="E168" s="573"/>
      <c r="F168" s="573"/>
      <c r="G168" s="573"/>
      <c r="H168" s="573"/>
      <c r="I168" s="573"/>
      <c r="J168" s="573"/>
      <c r="K168" s="573"/>
      <c r="L168" s="573"/>
      <c r="M168" s="573"/>
      <c r="N168" s="573"/>
      <c r="O168" s="573"/>
      <c r="P168" s="573"/>
      <c r="Q168" s="573"/>
      <c r="R168" s="573"/>
      <c r="S168" s="573"/>
    </row>
    <row r="169" spans="1:19" ht="13.5">
      <c r="A169" s="572"/>
      <c r="B169" s="572"/>
      <c r="C169" s="572"/>
      <c r="D169" s="619">
        <v>0</v>
      </c>
      <c r="E169" s="573"/>
      <c r="F169" s="573"/>
      <c r="G169" s="573"/>
      <c r="H169" s="573"/>
      <c r="I169" s="573"/>
      <c r="J169" s="573"/>
      <c r="K169" s="573"/>
      <c r="L169" s="573"/>
      <c r="M169" s="573"/>
      <c r="N169" s="573"/>
      <c r="O169" s="573"/>
      <c r="P169" s="573"/>
      <c r="Q169" s="573"/>
      <c r="R169" s="573"/>
      <c r="S169" s="573"/>
    </row>
    <row r="170" spans="1:19" ht="13.5">
      <c r="A170" s="572"/>
      <c r="B170" s="572"/>
      <c r="C170" s="572"/>
      <c r="D170" s="573"/>
      <c r="E170" s="573"/>
      <c r="F170" s="573"/>
      <c r="G170" s="573"/>
      <c r="H170" s="573"/>
      <c r="I170" s="573"/>
      <c r="J170" s="573"/>
      <c r="K170" s="573"/>
      <c r="L170" s="573"/>
      <c r="M170" s="573"/>
      <c r="N170" s="573"/>
      <c r="O170" s="573"/>
      <c r="P170" s="573"/>
      <c r="Q170" s="573"/>
      <c r="R170" s="573"/>
      <c r="S170" s="573"/>
    </row>
    <row r="171" spans="1:19" ht="13.5">
      <c r="A171" s="572"/>
      <c r="B171" s="573"/>
      <c r="C171" s="572"/>
      <c r="D171" s="594"/>
      <c r="E171" s="573"/>
      <c r="F171" s="573"/>
      <c r="G171" s="573"/>
      <c r="H171" s="573"/>
      <c r="I171" s="573"/>
      <c r="J171" s="573"/>
      <c r="K171" s="573"/>
      <c r="L171" s="573"/>
      <c r="M171" s="573"/>
      <c r="N171" s="573"/>
      <c r="O171" s="573"/>
      <c r="P171" s="573"/>
      <c r="Q171" s="573"/>
      <c r="R171" s="573"/>
      <c r="S171" s="573"/>
    </row>
    <row r="172" spans="1:19" ht="13.5">
      <c r="A172" s="572"/>
      <c r="B172" s="572"/>
      <c r="C172" s="572"/>
      <c r="D172" s="573"/>
      <c r="E172" s="573"/>
      <c r="F172" s="573"/>
      <c r="G172" s="573"/>
      <c r="H172" s="573"/>
      <c r="I172" s="573"/>
      <c r="J172" s="573"/>
      <c r="K172" s="573"/>
      <c r="L172" s="573"/>
      <c r="M172" s="573"/>
      <c r="N172" s="573"/>
      <c r="O172" s="573"/>
      <c r="P172" s="573"/>
      <c r="Q172" s="573"/>
      <c r="R172" s="573"/>
      <c r="S172" s="573"/>
    </row>
    <row r="173" spans="1:19" ht="13.5">
      <c r="A173" s="572"/>
      <c r="B173" s="572"/>
      <c r="C173" s="572"/>
      <c r="D173" s="573"/>
      <c r="E173" s="573"/>
      <c r="F173" s="573"/>
      <c r="G173" s="573"/>
      <c r="H173" s="573"/>
      <c r="I173" s="573"/>
      <c r="J173" s="573"/>
      <c r="K173" s="573"/>
      <c r="L173" s="573"/>
      <c r="M173" s="573"/>
      <c r="N173" s="573"/>
      <c r="O173" s="573"/>
      <c r="P173" s="573"/>
      <c r="Q173" s="573"/>
      <c r="R173" s="573"/>
      <c r="S173" s="573"/>
    </row>
    <row r="174" spans="1:19" ht="13.5">
      <c r="A174" s="572"/>
      <c r="B174" s="572"/>
      <c r="C174" s="572"/>
      <c r="D174" s="573"/>
      <c r="E174" s="573"/>
      <c r="F174" s="573"/>
      <c r="G174" s="573"/>
      <c r="H174" s="573"/>
      <c r="I174" s="573"/>
      <c r="J174" s="573"/>
      <c r="K174" s="573"/>
      <c r="L174" s="573"/>
      <c r="M174" s="573"/>
      <c r="N174" s="573"/>
      <c r="O174" s="573"/>
      <c r="P174" s="573"/>
      <c r="Q174" s="573"/>
      <c r="R174" s="573"/>
      <c r="S174" s="573"/>
    </row>
    <row r="175" spans="1:19" ht="13.5">
      <c r="A175" s="572"/>
      <c r="B175" s="572"/>
      <c r="C175" s="572"/>
      <c r="D175" s="573"/>
      <c r="E175" s="573"/>
      <c r="F175" s="573"/>
      <c r="G175" s="573"/>
      <c r="H175" s="573"/>
      <c r="I175" s="573"/>
      <c r="J175" s="573"/>
      <c r="K175" s="573"/>
      <c r="L175" s="573"/>
      <c r="M175" s="573"/>
      <c r="N175" s="573"/>
      <c r="O175" s="573"/>
      <c r="P175" s="573"/>
      <c r="Q175" s="573"/>
      <c r="R175" s="573"/>
      <c r="S175" s="573"/>
    </row>
    <row r="176" spans="1:19" ht="13.5">
      <c r="A176" s="572"/>
      <c r="B176" s="572"/>
      <c r="C176" s="572"/>
      <c r="D176" s="573"/>
      <c r="E176" s="573"/>
      <c r="F176" s="573"/>
      <c r="G176" s="573"/>
      <c r="H176" s="573"/>
      <c r="I176" s="573"/>
      <c r="J176" s="573"/>
      <c r="K176" s="573"/>
      <c r="L176" s="573"/>
      <c r="M176" s="573"/>
      <c r="N176" s="573"/>
      <c r="O176" s="573"/>
      <c r="P176" s="573"/>
      <c r="Q176" s="573"/>
      <c r="R176" s="573"/>
      <c r="S176" s="573"/>
    </row>
    <row r="177" spans="1:19" ht="13.5">
      <c r="A177" s="572"/>
      <c r="B177" s="572"/>
      <c r="C177" s="572"/>
      <c r="D177" s="573"/>
      <c r="E177" s="573"/>
      <c r="F177" s="573"/>
      <c r="G177" s="573"/>
      <c r="H177" s="573"/>
      <c r="I177" s="573"/>
      <c r="J177" s="573"/>
      <c r="K177" s="573"/>
      <c r="L177" s="573"/>
      <c r="M177" s="573"/>
      <c r="N177" s="573"/>
      <c r="O177" s="573"/>
      <c r="P177" s="573"/>
      <c r="Q177" s="573"/>
      <c r="R177" s="573"/>
      <c r="S177" s="573"/>
    </row>
    <row r="178" spans="1:19" ht="13.5">
      <c r="A178" s="572"/>
      <c r="B178" s="572"/>
      <c r="C178" s="572"/>
      <c r="D178" s="573"/>
      <c r="E178" s="573"/>
      <c r="F178" s="573"/>
      <c r="G178" s="573"/>
      <c r="H178" s="573"/>
      <c r="I178" s="573"/>
      <c r="J178" s="573"/>
      <c r="K178" s="573"/>
      <c r="L178" s="573"/>
      <c r="M178" s="573"/>
      <c r="N178" s="573"/>
      <c r="O178" s="573"/>
      <c r="P178" s="573"/>
      <c r="Q178" s="573"/>
      <c r="R178" s="573"/>
      <c r="S178" s="573"/>
    </row>
    <row r="179" spans="1:19" ht="13.5">
      <c r="A179" s="572"/>
      <c r="B179" s="572"/>
      <c r="C179" s="572"/>
      <c r="D179" s="573"/>
      <c r="E179" s="573"/>
      <c r="F179" s="573"/>
      <c r="G179" s="573"/>
      <c r="H179" s="573"/>
      <c r="I179" s="573"/>
      <c r="J179" s="573"/>
      <c r="K179" s="573"/>
      <c r="L179" s="573"/>
      <c r="M179" s="573"/>
      <c r="N179" s="573"/>
      <c r="O179" s="573"/>
      <c r="P179" s="573"/>
      <c r="Q179" s="573"/>
      <c r="R179" s="573"/>
      <c r="S179" s="573"/>
    </row>
    <row r="180" spans="1:19" ht="13.5">
      <c r="A180" s="572"/>
      <c r="B180" s="572"/>
      <c r="C180" s="572"/>
      <c r="D180" s="573"/>
      <c r="E180" s="573"/>
      <c r="F180" s="573"/>
      <c r="G180" s="573"/>
      <c r="H180" s="573"/>
      <c r="I180" s="573"/>
      <c r="J180" s="573"/>
      <c r="K180" s="573"/>
      <c r="L180" s="573"/>
      <c r="M180" s="573"/>
      <c r="N180" s="573"/>
      <c r="O180" s="573"/>
      <c r="P180" s="573"/>
      <c r="Q180" s="573"/>
      <c r="R180" s="573"/>
      <c r="S180" s="573"/>
    </row>
    <row r="181" spans="1:19" ht="13.5">
      <c r="A181" s="572"/>
      <c r="B181" s="572"/>
      <c r="C181" s="572"/>
      <c r="D181" s="573"/>
      <c r="E181" s="573"/>
      <c r="F181" s="573"/>
      <c r="G181" s="573"/>
      <c r="H181" s="573"/>
      <c r="I181" s="573"/>
      <c r="J181" s="573"/>
      <c r="K181" s="573"/>
      <c r="L181" s="573"/>
      <c r="M181" s="573"/>
      <c r="N181" s="573"/>
      <c r="O181" s="573"/>
      <c r="P181" s="573"/>
      <c r="Q181" s="573"/>
      <c r="R181" s="573"/>
      <c r="S181" s="573"/>
    </row>
    <row r="182" spans="1:19" ht="13.5">
      <c r="A182" s="572"/>
      <c r="B182" s="572"/>
      <c r="C182" s="572"/>
      <c r="D182" s="573"/>
      <c r="E182" s="573"/>
      <c r="F182" s="573"/>
      <c r="G182" s="573"/>
      <c r="H182" s="573"/>
      <c r="I182" s="573"/>
      <c r="J182" s="573"/>
      <c r="K182" s="573"/>
      <c r="L182" s="573"/>
      <c r="M182" s="573"/>
      <c r="N182" s="573"/>
      <c r="O182" s="573"/>
      <c r="P182" s="573"/>
      <c r="Q182" s="573"/>
      <c r="R182" s="573"/>
      <c r="S182" s="573"/>
    </row>
    <row r="183" spans="1:19" ht="13.5">
      <c r="A183" s="572"/>
      <c r="B183" s="572"/>
      <c r="C183" s="572"/>
      <c r="D183" s="573"/>
      <c r="E183" s="573"/>
      <c r="F183" s="573"/>
      <c r="G183" s="573"/>
      <c r="H183" s="573"/>
      <c r="I183" s="573"/>
      <c r="J183" s="573"/>
      <c r="K183" s="573"/>
      <c r="L183" s="573"/>
      <c r="M183" s="573"/>
      <c r="N183" s="573"/>
      <c r="O183" s="573"/>
      <c r="P183" s="573"/>
      <c r="Q183" s="573"/>
      <c r="R183" s="573"/>
      <c r="S183" s="573"/>
    </row>
    <row r="184" spans="1:19" ht="13.5">
      <c r="A184" s="572"/>
      <c r="B184" s="572"/>
      <c r="C184" s="572"/>
      <c r="D184" s="573"/>
      <c r="E184" s="573"/>
      <c r="F184" s="573"/>
      <c r="G184" s="573"/>
      <c r="H184" s="573"/>
      <c r="I184" s="573"/>
      <c r="J184" s="573"/>
      <c r="K184" s="573"/>
      <c r="L184" s="573"/>
      <c r="M184" s="573"/>
      <c r="N184" s="573"/>
      <c r="O184" s="573"/>
      <c r="P184" s="573"/>
      <c r="Q184" s="573"/>
      <c r="R184" s="573"/>
      <c r="S184" s="573"/>
    </row>
    <row r="185" spans="1:19" ht="13.5">
      <c r="A185" s="572"/>
      <c r="B185" s="572"/>
      <c r="C185" s="572"/>
      <c r="D185" s="573"/>
      <c r="E185" s="573"/>
      <c r="F185" s="573"/>
      <c r="G185" s="573"/>
      <c r="H185" s="573"/>
      <c r="I185" s="573"/>
      <c r="J185" s="573"/>
      <c r="K185" s="573"/>
      <c r="L185" s="573"/>
      <c r="M185" s="573"/>
      <c r="N185" s="573"/>
      <c r="O185" s="573"/>
      <c r="P185" s="573"/>
      <c r="Q185" s="573"/>
      <c r="R185" s="573"/>
      <c r="S185" s="573"/>
    </row>
    <row r="186" spans="1:19" ht="13.5">
      <c r="A186" s="572"/>
      <c r="B186" s="572"/>
      <c r="C186" s="572"/>
      <c r="D186" s="573"/>
      <c r="E186" s="573"/>
      <c r="F186" s="573"/>
      <c r="G186" s="573"/>
      <c r="H186" s="573"/>
      <c r="I186" s="573"/>
      <c r="J186" s="573"/>
      <c r="K186" s="573"/>
      <c r="L186" s="573"/>
      <c r="M186" s="573"/>
      <c r="N186" s="573"/>
      <c r="O186" s="573"/>
      <c r="P186" s="573"/>
      <c r="Q186" s="573"/>
      <c r="R186" s="573"/>
      <c r="S186" s="573"/>
    </row>
    <row r="187" spans="1:19" ht="15.75">
      <c r="A187" s="620"/>
      <c r="B187" s="572"/>
      <c r="C187" s="572"/>
      <c r="D187" s="573"/>
      <c r="E187" s="573"/>
      <c r="F187" s="573"/>
      <c r="G187" s="573"/>
      <c r="H187" s="573"/>
      <c r="I187" s="573"/>
      <c r="J187" s="573"/>
      <c r="K187" s="573"/>
      <c r="L187" s="573"/>
      <c r="M187" s="573"/>
      <c r="N187" s="573"/>
      <c r="O187" s="573"/>
      <c r="P187" s="573"/>
      <c r="Q187" s="573"/>
      <c r="R187" s="573"/>
      <c r="S187" s="573"/>
    </row>
    <row r="188" spans="1:19" ht="15.75">
      <c r="A188" s="620"/>
      <c r="B188" s="572"/>
      <c r="C188" s="572"/>
      <c r="D188" s="573"/>
      <c r="E188" s="573"/>
      <c r="F188" s="573"/>
      <c r="G188" s="573"/>
      <c r="H188" s="573"/>
      <c r="I188" s="573"/>
      <c r="J188" s="573"/>
      <c r="K188" s="573"/>
      <c r="L188" s="573"/>
      <c r="M188" s="573"/>
      <c r="N188" s="573"/>
      <c r="O188" s="573"/>
      <c r="P188" s="573"/>
      <c r="Q188" s="573"/>
      <c r="R188" s="573"/>
      <c r="S188" s="573"/>
    </row>
    <row r="189" spans="1:19" ht="15.75">
      <c r="A189" s="620"/>
      <c r="B189" s="620"/>
      <c r="C189" s="620"/>
      <c r="D189" s="621"/>
      <c r="E189" s="621"/>
      <c r="F189" s="621"/>
      <c r="G189" s="621"/>
      <c r="H189" s="621"/>
      <c r="I189" s="621"/>
      <c r="J189" s="621"/>
      <c r="K189" s="621"/>
      <c r="L189" s="621"/>
      <c r="M189" s="621"/>
      <c r="N189" s="621"/>
      <c r="O189" s="621"/>
      <c r="P189" s="621"/>
      <c r="Q189" s="621"/>
      <c r="R189" s="621"/>
      <c r="S189" s="621"/>
    </row>
  </sheetData>
  <mergeCells count="4">
    <mergeCell ref="D100:E100"/>
    <mergeCell ref="A3:Q3"/>
    <mergeCell ref="A2:Q2"/>
    <mergeCell ref="N79:N80"/>
  </mergeCells>
  <phoneticPr fontId="73" type="noConversion"/>
  <pageMargins left="0.75" right="0.75" top="1" bottom="1" header="0.5" footer="0.5"/>
  <pageSetup scale="47" fitToHeight="4" orientation="landscape" r:id="rId1"/>
  <headerFooter alignWithMargins="0"/>
  <rowBreaks count="2" manualBreakCount="2">
    <brk id="73" max="16" man="1"/>
    <brk id="139"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Sch 1</vt:lpstr>
      <vt:lpstr>ATT H-1 </vt:lpstr>
      <vt:lpstr>1 - ADIT</vt:lpstr>
      <vt:lpstr>2 - Other Tax</vt:lpstr>
      <vt:lpstr>3 - Revenue Credits</vt:lpstr>
      <vt:lpstr>4 - 100 Basis Pt ROE</vt:lpstr>
      <vt:lpstr>5 - Cost Support</vt:lpstr>
      <vt:lpstr>6 - Est and True up</vt:lpstr>
      <vt:lpstr>6A-Colstrip</vt:lpstr>
      <vt:lpstr>6B-So Intertie</vt:lpstr>
      <vt:lpstr>7 - Cap Add WS</vt:lpstr>
      <vt:lpstr>8 - Depreciation Rates</vt:lpstr>
      <vt:lpstr>WKSHT1 - Rev Credits</vt:lpstr>
      <vt:lpstr>WKSHT2 - Prepaid</vt:lpstr>
      <vt:lpstr>WKSHT3 - All GIFs</vt:lpstr>
      <vt:lpstr>WKSHT4 - Monthly Tx System Peak</vt:lpstr>
      <vt:lpstr>WKSHT5 - Plant in Service 13mo </vt:lpstr>
      <vt:lpstr>WKSHT6 - Cost of Capital</vt:lpstr>
      <vt:lpstr>WKSHT7 - EDIT</vt:lpstr>
      <vt:lpstr>'2 - Other Tax'!Print_Area</vt:lpstr>
      <vt:lpstr>'3 - Revenue Credits'!Print_Area</vt:lpstr>
      <vt:lpstr>'5 - Cost Support'!Print_Area</vt:lpstr>
      <vt:lpstr>'6 - Est and True up'!Print_Area</vt:lpstr>
      <vt:lpstr>'6A-Colstrip'!Print_Area</vt:lpstr>
      <vt:lpstr>'6B-So Intertie'!Print_Area</vt:lpstr>
      <vt:lpstr>'7 - Cap Add WS'!Print_Area</vt:lpstr>
      <vt:lpstr>'8 - Depreciation Rates'!Print_Area</vt:lpstr>
      <vt:lpstr>'ATT H-1 '!Print_Area</vt:lpstr>
      <vt:lpstr>'Sch 1'!Print_Area</vt:lpstr>
      <vt:lpstr>'WKSHT1 - Rev Credits'!Print_Area</vt:lpstr>
      <vt:lpstr>'WKSHT3 - All GIFs'!Print_Area</vt:lpstr>
      <vt:lpstr>'WKSHT4 - Monthly Tx System Peak'!Print_Area</vt:lpstr>
      <vt:lpstr>'WKSHT6 - Cost of Capital'!Print_Area</vt:lpstr>
    </vt:vector>
  </TitlesOfParts>
  <Company>PSEG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Benscoter</dc:creator>
  <cp:lastModifiedBy>Dillender, Lynn</cp:lastModifiedBy>
  <cp:lastPrinted>2023-05-12T18:15:14Z</cp:lastPrinted>
  <dcterms:created xsi:type="dcterms:W3CDTF">2004-01-21T20:42:01Z</dcterms:created>
  <dcterms:modified xsi:type="dcterms:W3CDTF">2023-05-30T18:18:49Z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-177233148</vt:i4>
  </property>
  <property fmtid="{D5CDD505-2E9C-101B-9397-08002B2CF9AE}" pid="3" name="_ReviewCycleID">
    <vt:i4>-177233148</vt:i4>
  </property>
  <property fmtid="{D5CDD505-2E9C-101B-9397-08002B2CF9AE}" pid="4" name="_NewReviewCycle">
    <vt:lpwstr/>
  </property>
  <property fmtid="{D5CDD505-2E9C-101B-9397-08002B2CF9AE}" pid="5" name="_EmailEntryID">
    <vt:lpwstr>0000000010A293EFACE6DC46A1899B5022368A9907006EE6D7A68CD176418AD2920AD2EBAE49000001A8709B00001AA62B46D6D81C45A7B0C4FF830396030000001883DF0000</vt:lpwstr>
  </property>
  <property fmtid="{D5CDD505-2E9C-101B-9397-08002B2CF9AE}" pid="6" name="_EmailStoreID0">
    <vt:lpwstr>0000000038A1BB1005E5101AA1BB08002B2A56C200006D737073742E646C6C00000000004E495441F9BFB80100AA0037D96E0000000045003A005C00440061007400610020002800440029005C005300650074002000550070005C004F00750074006C006F006F006B005C004F00750074006C006F006F006B002E007000730</vt:lpwstr>
  </property>
  <property fmtid="{D5CDD505-2E9C-101B-9397-08002B2CF9AE}" pid="7" name="_EmailStoreID1">
    <vt:lpwstr>074000000</vt:lpwstr>
  </property>
</Properties>
</file>